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150" yWindow="0" windowWidth="15210" windowHeight="6210" tabRatio="767" activeTab="0"/>
  </bookViews>
  <sheets>
    <sheet name="Escala Docente" sheetId="2262" r:id="rId1"/>
    <sheet name="Valores" sheetId="2273" r:id="rId2"/>
  </sheets>
  <definedNames>
    <definedName name="_xlnm._FilterDatabase" localSheetId="0" hidden="1">'Escala Docente'!$B$5:$AP$317</definedName>
    <definedName name="_xlnm.Print_Area" localSheetId="0">'Escala Docente'!$D$3:$AL$321</definedName>
    <definedName name="wrn.Planilla._.de._.Sueldos._.Docentes." localSheetId="0" hidden="1">{#N/A,#N/A,TRUE,"CARGOS"}</definedName>
    <definedName name="wrn.Planilla._.de._.Sueldos._.Docentes." hidden="1">{#N/A,#N/A,TRUE,"CARGOS"}</definedName>
    <definedName name="_xlnm.Print_Titles" localSheetId="0">'Escala Docente'!$3:$5</definedName>
  </definedNames>
  <calcPr calcId="125725"/>
</workbook>
</file>

<file path=xl/sharedStrings.xml><?xml version="1.0" encoding="utf-8"?>
<sst xmlns="http://schemas.openxmlformats.org/spreadsheetml/2006/main" count="958" uniqueCount="489">
  <si>
    <t>NRO</t>
  </si>
  <si>
    <t>CGO</t>
  </si>
  <si>
    <t>DENOMINACION</t>
  </si>
  <si>
    <t>P001</t>
  </si>
  <si>
    <t>P1723</t>
  </si>
  <si>
    <t>P1763</t>
  </si>
  <si>
    <t>P1821</t>
  </si>
  <si>
    <t>LIQUIDO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</si>
  <si>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</si>
  <si>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</si>
  <si>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</si>
  <si>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</si>
  <si>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</si>
  <si>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</si>
  <si>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</si>
  <si>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</si>
  <si>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</si>
  <si>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</si>
  <si>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</si>
  <si>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</si>
  <si>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</si>
  <si>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</si>
  <si>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</si>
  <si>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</si>
  <si>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</si>
  <si>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</si>
  <si>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</si>
  <si>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</si>
  <si>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</si>
  <si>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</si>
  <si>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</si>
  <si>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</si>
  <si>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</si>
  <si>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</si>
  <si>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</si>
  <si>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</si>
  <si>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</si>
  <si>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</si>
  <si>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</si>
  <si>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</si>
  <si>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</si>
  <si>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</si>
  <si>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</si>
  <si>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</si>
  <si>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</si>
  <si>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</si>
  <si>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</si>
  <si>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</si>
  <si>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</si>
  <si>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</si>
  <si>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</si>
  <si>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</si>
  <si>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</si>
  <si>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</si>
  <si>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</si>
  <si>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</si>
  <si>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</si>
  <si>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</si>
  <si>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</si>
  <si>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</si>
  <si>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</si>
  <si>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</si>
  <si>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</si>
  <si>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</si>
  <si>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</si>
  <si>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</si>
  <si>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</si>
  <si>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</si>
  <si>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</si>
  <si>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</si>
  <si>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</si>
  <si>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</si>
  <si>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</si>
  <si>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</si>
  <si>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</si>
  <si>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</si>
  <si>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</si>
  <si>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</si>
  <si>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</si>
  <si>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</si>
  <si>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</si>
  <si>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</si>
  <si>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</si>
  <si>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</si>
  <si>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</si>
  <si>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</si>
  <si>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</si>
  <si>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</si>
  <si>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</si>
  <si>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</si>
  <si>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</si>
  <si>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</si>
  <si>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</si>
  <si>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</si>
  <si>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</si>
  <si>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</si>
  <si>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</si>
  <si>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</si>
  <si>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</si>
  <si>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</si>
  <si>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</si>
  <si>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</si>
  <si>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</si>
  <si>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</si>
  <si>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</si>
  <si>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</si>
  <si>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</si>
  <si>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</si>
  <si>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</si>
  <si>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</si>
  <si>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</si>
  <si>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</si>
  <si>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</si>
  <si>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</si>
  <si>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</si>
  <si>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</si>
  <si>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</si>
  <si>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</si>
  <si>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</si>
  <si>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</si>
  <si>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</si>
  <si>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</si>
  <si>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</si>
  <si>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</si>
  <si>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</si>
  <si>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</si>
  <si>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</si>
  <si>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</si>
  <si>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</si>
  <si>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</si>
  <si>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</si>
  <si>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</si>
  <si>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</si>
  <si>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</si>
  <si>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</si>
  <si>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</si>
  <si>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</si>
  <si>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</si>
  <si>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</si>
  <si>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</si>
  <si>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</si>
  <si>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</si>
  <si>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</si>
  <si>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</si>
  <si>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</si>
  <si>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</si>
  <si>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</si>
  <si>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</si>
  <si>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</si>
  <si>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</si>
  <si>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</si>
  <si>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</si>
  <si>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</si>
  <si>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</si>
  <si>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</si>
  <si>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</si>
  <si>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</si>
  <si>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</si>
  <si>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</si>
  <si>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13-256</t>
  </si>
  <si>
    <t>Director de 1ª Ens. Prim.T. P. P.</t>
  </si>
  <si>
    <t>13-260</t>
  </si>
  <si>
    <t>Director de 2ª Ens. Primaria</t>
  </si>
  <si>
    <t>13-265</t>
  </si>
  <si>
    <t>Director de 3ª Ens. Primaria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</si>
  <si>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</si>
  <si>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</si>
  <si>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</si>
  <si>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</si>
  <si>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</si>
  <si>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</si>
  <si>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</si>
  <si>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</si>
  <si>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</si>
  <si>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</si>
  <si>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</si>
  <si>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</si>
  <si>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</si>
  <si>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</si>
  <si>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</si>
  <si>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</si>
  <si>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</si>
  <si>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</si>
  <si>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</si>
  <si>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</si>
  <si>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</si>
  <si>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</si>
  <si>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</si>
  <si>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</si>
  <si>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</si>
  <si>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</si>
  <si>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</si>
  <si>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</si>
  <si>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</si>
  <si>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</si>
  <si>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</si>
  <si>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</si>
  <si>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</si>
  <si>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</si>
  <si>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</si>
  <si>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</si>
  <si>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</si>
  <si>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</si>
  <si>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</si>
  <si>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</si>
  <si>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</si>
  <si>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</si>
  <si>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</si>
  <si>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</si>
  <si>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</si>
  <si>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</si>
  <si>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</si>
  <si>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</si>
  <si>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</si>
  <si>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</si>
  <si>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</si>
  <si>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</si>
  <si>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</si>
  <si>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</si>
  <si>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</si>
  <si>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</si>
  <si>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</si>
  <si>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</si>
  <si>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</si>
  <si>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</si>
  <si>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</si>
  <si>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</si>
  <si>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</si>
  <si>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</si>
  <si>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</si>
  <si>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</si>
  <si>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</si>
  <si>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</si>
  <si>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</si>
  <si>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</si>
  <si>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</si>
  <si>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</si>
  <si>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</si>
  <si>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</si>
  <si>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</si>
  <si>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</si>
  <si>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</si>
  <si>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</si>
  <si>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</si>
  <si>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</si>
  <si>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</si>
  <si>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</si>
  <si>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</si>
  <si>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</si>
  <si>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</si>
  <si>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</si>
  <si>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</si>
  <si>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</si>
  <si>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</si>
  <si>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</si>
  <si>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</si>
  <si>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</si>
  <si>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</si>
  <si>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</si>
  <si>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</si>
  <si>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</si>
  <si>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</si>
  <si>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</si>
  <si>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</si>
  <si>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</si>
  <si>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</si>
  <si>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</si>
  <si>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</si>
  <si>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</si>
  <si>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</si>
  <si>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</si>
  <si>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</si>
  <si>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</si>
  <si>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</si>
  <si>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</si>
  <si>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</si>
  <si>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</si>
  <si>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</si>
  <si>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</si>
  <si>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</si>
  <si>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</si>
  <si>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</si>
  <si>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</si>
  <si>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</si>
  <si>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</si>
  <si>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</si>
  <si>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</si>
  <si>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</si>
  <si>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</si>
  <si>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</si>
  <si>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</si>
  <si>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</si>
  <si>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</si>
  <si>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</si>
  <si>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</si>
  <si>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</si>
  <si>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</si>
  <si>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13-517</t>
  </si>
  <si>
    <t>Maestro Esp Artística</t>
  </si>
  <si>
    <t>13-520</t>
  </si>
  <si>
    <t>Preceptor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</si>
  <si>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</si>
  <si>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</si>
  <si>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</si>
  <si>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</si>
  <si>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</si>
  <si>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</si>
  <si>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</si>
  <si>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</si>
  <si>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</si>
  <si>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</si>
  <si>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</si>
  <si>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</si>
  <si>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</si>
  <si>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</si>
  <si>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</si>
  <si>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</si>
  <si>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</si>
  <si>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</si>
  <si>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</si>
  <si>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</si>
  <si>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</si>
  <si>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</si>
  <si>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</si>
  <si>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</si>
  <si>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</si>
  <si>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</si>
  <si>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</si>
  <si>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</si>
  <si>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</si>
  <si>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</si>
  <si>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</si>
  <si>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</si>
  <si>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</si>
  <si>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</si>
  <si>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</si>
  <si>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</si>
  <si>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</si>
  <si>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</si>
  <si>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</si>
  <si>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</si>
  <si>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</si>
  <si>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</si>
  <si>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</si>
  <si>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</si>
  <si>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</si>
  <si>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</si>
  <si>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</si>
  <si>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</si>
  <si>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</si>
  <si>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</si>
  <si>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</si>
  <si>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</si>
  <si>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13-800</t>
  </si>
  <si>
    <t>Mtro. Mat. Esp. Esc. Hogar</t>
  </si>
  <si>
    <t>13-900</t>
  </si>
  <si>
    <t>13-910</t>
  </si>
  <si>
    <t>13-920</t>
  </si>
  <si>
    <t>Hs. Cat. Ley 22416 01 Hora</t>
  </si>
  <si>
    <t>Presidente Junta Clas. Primaria</t>
  </si>
  <si>
    <t>Vocal Junta Clas. Primaria</t>
  </si>
  <si>
    <t>Miembro Vocal de Junta D.E.M.E.S.</t>
  </si>
  <si>
    <t xml:space="preserve">Basico </t>
  </si>
  <si>
    <t>Ded. Funcional</t>
  </si>
  <si>
    <t>Ded. Excl.</t>
  </si>
  <si>
    <t>Compl. Esp.</t>
  </si>
  <si>
    <t xml:space="preserve">Ad. Rem </t>
  </si>
  <si>
    <t>Est. Doc</t>
  </si>
  <si>
    <t>Supl. Cap.</t>
  </si>
  <si>
    <t>P.Cal Ed.</t>
  </si>
  <si>
    <t>Func. Jer</t>
  </si>
  <si>
    <t>Pr.Jor Func.</t>
  </si>
  <si>
    <t>Pr.Jor Pts.</t>
  </si>
  <si>
    <t>Bon Minor.</t>
  </si>
  <si>
    <t>Fun. Dif</t>
  </si>
  <si>
    <t>Remun</t>
  </si>
  <si>
    <t>Total</t>
  </si>
  <si>
    <t>M.Did. Anual</t>
  </si>
  <si>
    <t>M.Did Men.</t>
  </si>
  <si>
    <t>A.N.R D944</t>
  </si>
  <si>
    <t>No Rem</t>
  </si>
  <si>
    <t>Antig</t>
  </si>
  <si>
    <t>Valor del Punto</t>
  </si>
  <si>
    <t>P1839</t>
  </si>
  <si>
    <t>Bon. Por Minoridad</t>
  </si>
  <si>
    <t>Años</t>
  </si>
  <si>
    <t>Porcentaje</t>
  </si>
  <si>
    <t>P1803</t>
  </si>
  <si>
    <t>Mat. Did. Mensual</t>
  </si>
  <si>
    <t>Maestro Mat. Esp. - Ex. Cons. Menor</t>
  </si>
  <si>
    <t>Estado Docente</t>
  </si>
  <si>
    <t>Ad Rem Hs</t>
  </si>
  <si>
    <t>Compl. Inicial</t>
  </si>
  <si>
    <t>Prom hs</t>
  </si>
  <si>
    <t>13-041</t>
  </si>
  <si>
    <t>Inspector de Jovenes y Adultos</t>
  </si>
  <si>
    <t>13-020</t>
  </si>
  <si>
    <t xml:space="preserve">Inspector Gral. De Adultos </t>
  </si>
  <si>
    <t>Fondo</t>
  </si>
  <si>
    <t>Ad R Doc</t>
  </si>
  <si>
    <t>Nuevo  A.R.D.</t>
  </si>
  <si>
    <t>C100003</t>
  </si>
  <si>
    <t>C117230</t>
  </si>
  <si>
    <t>C117630</t>
  </si>
  <si>
    <t>C118210</t>
  </si>
  <si>
    <t>C130300</t>
  </si>
  <si>
    <t>C110230</t>
  </si>
  <si>
    <t>C117730</t>
  </si>
  <si>
    <t>C117430</t>
  </si>
  <si>
    <t>C118420</t>
  </si>
  <si>
    <t>C117930</t>
  </si>
  <si>
    <t>C117830</t>
  </si>
  <si>
    <t>C118030</t>
  </si>
  <si>
    <t>C118510</t>
  </si>
  <si>
    <t>C 117900</t>
  </si>
  <si>
    <t>C114200</t>
  </si>
  <si>
    <t>C118390</t>
  </si>
  <si>
    <t>C117330</t>
  </si>
  <si>
    <t>C117530</t>
  </si>
  <si>
    <t>C118430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</si>
  <si>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</si>
  <si>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</si>
  <si>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</si>
  <si>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</si>
  <si>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</si>
  <si>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</si>
  <si>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</si>
  <si>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</si>
  <si>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</si>
  <si>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</si>
  <si>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</si>
  <si>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</si>
  <si>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</si>
  <si>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</si>
  <si>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</si>
  <si>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</si>
  <si>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</si>
  <si>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</si>
  <si>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</si>
  <si>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Prol Jor Dir, Vice y Reg Ens Media D1 5 hs</t>
  </si>
  <si>
    <t>Prol Jor Dir, Vice y Reg Ens Media D1 9 hs</t>
  </si>
  <si>
    <t>Prol Jor Jefe Gral Ens Práct Ens Media E (30 + 5hs)</t>
  </si>
  <si>
    <t>Prol Jor Dir Ens Media F1</t>
  </si>
  <si>
    <t>Prol Jor Reg y J Gral Ens Prác Ens Media F2</t>
  </si>
  <si>
    <t>Prol Jor J Secc Ens Prác Ens Media F3</t>
  </si>
  <si>
    <t>Prol Jor (13-485) F4</t>
  </si>
  <si>
    <t>Prol Jor Jefe Precep y Precep G</t>
  </si>
  <si>
    <t>Prol Jor Jefe Precep y Precep G dsd Sab 13:00 hs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</si>
  <si>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</si>
  <si>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</si>
  <si>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</si>
  <si>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</si>
  <si>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</si>
  <si>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</si>
  <si>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Preceptor Escuela de Mod Especial</t>
  </si>
  <si>
    <t>13-797</t>
  </si>
  <si>
    <t>Preceptor Jor Compl, Esc Hogar, An Alb</t>
  </si>
  <si>
    <t>13-930</t>
  </si>
  <si>
    <t>Zona</t>
  </si>
  <si>
    <t>ANTIGÜEDAD (EN AÑOS)</t>
  </si>
  <si>
    <t>ZONA DESFAVORABLE (EN NUMEROS)</t>
  </si>
  <si>
    <t>Jornada Extendida Modulo de 2 hs</t>
  </si>
  <si>
    <t>Mat. Did. Mens (5%)</t>
  </si>
  <si>
    <t>Mat. Did. Hs.</t>
  </si>
  <si>
    <t>Adel Inc Docente</t>
  </si>
  <si>
    <t>C130030</t>
  </si>
  <si>
    <t>HS FONID</t>
  </si>
  <si>
    <t>HS SEM</t>
  </si>
  <si>
    <t>Adic Rem Cgo 1</t>
  </si>
  <si>
    <t>Adic Rem Cgo 2</t>
  </si>
  <si>
    <t>Adic Rem Cgo 3</t>
  </si>
  <si>
    <t>Adic Rem Cgo 4</t>
  </si>
  <si>
    <t>Adic Rem Cgo 5</t>
  </si>
  <si>
    <t>Adic Rem Cgo 6</t>
  </si>
  <si>
    <t>C118360</t>
  </si>
  <si>
    <t>Prom Cgos 1</t>
  </si>
  <si>
    <t>Prom Cgos 2</t>
  </si>
  <si>
    <t>C118460</t>
  </si>
  <si>
    <t>x</t>
  </si>
  <si>
    <t>Supl. Cap</t>
  </si>
  <si>
    <t>Maestro Mat. Esp. - Ex. Cons. Menor Jubilado</t>
  </si>
  <si>
    <t>Ad. Extr.</t>
  </si>
  <si>
    <t>C119600</t>
  </si>
  <si>
    <t>Ad. Extr</t>
  </si>
  <si>
    <t>Adic Rem Cgo 7</t>
  </si>
  <si>
    <t>Adic Rem Cgo 8</t>
  </si>
  <si>
    <t>NO</t>
  </si>
  <si>
    <t>SI</t>
  </si>
  <si>
    <t>LIQ PN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</si>
</sst>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 * #,##0_ ;_ * \-#,##0_ ;_ * &quot;-&quot;??_ ;_ @_ "/>
    <numFmt numFmtId="166" formatCode="0.0000"/>
    <numFmt numFmtId="167" formatCode="0_ ;\-0\ "/>
  </numFmts>
  <fonts count="32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ck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7" fillId="0" borderId="0" applyNumberFormat="0" applyFill="0" applyBorder="0">
      <alignment/>
      <protection locked="0"/>
    </xf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6">
    <xf numFmtId="0" fontId="0" fillId="0" borderId="0" xfId="0"/>
    <xf numFmtId="2" fontId="0" fillId="0" borderId="0" xfId="0" applyNumberFormat="1"/>
    <xf numFmtId="0" fontId="3" fillId="0" borderId="0" xfId="56" applyFont="1" applyFill="1" applyBorder="1">
      <alignment/>
      <protection/>
    </xf>
    <xf numFmtId="0" fontId="3" fillId="0" borderId="0" xfId="56" applyFont="1" applyFill="1">
      <alignment/>
      <protection/>
    </xf>
    <xf numFmtId="0" fontId="4" fillId="0" borderId="0" xfId="56" applyFont="1" applyFill="1" applyBorder="1">
      <alignment/>
      <protection/>
    </xf>
    <xf numFmtId="43" fontId="3" fillId="0" borderId="0" xfId="54" applyNumberFormat="1" applyFont="1" applyFill="1" applyBorder="1"/>
    <xf numFmtId="43" fontId="3" fillId="0" borderId="0" xfId="56" applyNumberFormat="1" applyFont="1" applyFill="1" applyBorder="1">
      <alignment/>
      <protection/>
    </xf>
    <xf numFmtId="2" fontId="3" fillId="0" borderId="0" xfId="56" applyNumberFormat="1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43" fontId="4" fillId="0" borderId="12" xfId="56" applyNumberFormat="1" applyFont="1" applyFill="1" applyBorder="1" applyAlignment="1">
      <alignment horizontal="center" wrapText="1"/>
      <protection/>
    </xf>
    <xf numFmtId="43" fontId="4" fillId="0" borderId="13" xfId="56" applyNumberFormat="1" applyFont="1" applyFill="1" applyBorder="1" applyAlignment="1">
      <alignment horizontal="center" wrapText="1"/>
      <protection/>
    </xf>
    <xf numFmtId="43" fontId="6" fillId="0" borderId="10" xfId="56" applyNumberFormat="1" applyFont="1" applyFill="1" applyBorder="1" applyAlignment="1">
      <alignment horizontal="center" vertical="center" wrapText="1"/>
      <protection/>
    </xf>
    <xf numFmtId="43" fontId="4" fillId="0" borderId="14" xfId="56" applyNumberFormat="1" applyFont="1" applyFill="1" applyBorder="1" applyAlignment="1">
      <alignment horizontal="center" wrapText="1"/>
      <protection/>
    </xf>
    <xf numFmtId="43" fontId="4" fillId="0" borderId="10" xfId="56" applyNumberFormat="1" applyFont="1" applyFill="1" applyBorder="1" applyAlignment="1">
      <alignment horizontal="center" vertical="center" wrapText="1"/>
      <protection/>
    </xf>
    <xf numFmtId="43" fontId="5" fillId="0" borderId="0" xfId="54" applyNumberFormat="1" applyFont="1" applyFill="1" applyBorder="1" applyAlignment="1">
      <alignment/>
    </xf>
    <xf numFmtId="43" fontId="6" fillId="0" borderId="0" xfId="54" applyNumberFormat="1" applyFont="1" applyFill="1" applyBorder="1" applyAlignment="1">
      <alignment/>
    </xf>
    <xf numFmtId="43" fontId="5" fillId="0" borderId="0" xfId="56" applyNumberFormat="1" applyFont="1" applyFill="1" applyBorder="1" applyAlignment="1">
      <alignment wrapText="1"/>
      <protection/>
    </xf>
    <xf numFmtId="43" fontId="3" fillId="0" borderId="15" xfId="56" applyNumberFormat="1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left" wrapText="1"/>
      <protection/>
    </xf>
    <xf numFmtId="0" fontId="3" fillId="0" borderId="0" xfId="56" applyFont="1" applyFill="1" applyBorder="1" applyAlignment="1">
      <alignment horizontal="center"/>
      <protection/>
    </xf>
    <xf numFmtId="41" fontId="6" fillId="0" borderId="0" xfId="56" applyNumberFormat="1" applyFont="1" applyFill="1" applyBorder="1" applyAlignment="1">
      <alignment wrapText="1"/>
      <protection/>
    </xf>
    <xf numFmtId="165" fontId="6" fillId="0" borderId="0" xfId="54" applyNumberFormat="1" applyFont="1" applyFill="1" applyBorder="1" applyAlignment="1">
      <alignment/>
    </xf>
    <xf numFmtId="43" fontId="6" fillId="0" borderId="0" xfId="56" applyNumberFormat="1" applyFont="1" applyFill="1" applyBorder="1" applyAlignment="1">
      <alignment wrapText="1"/>
      <protection/>
    </xf>
    <xf numFmtId="43" fontId="5" fillId="0" borderId="0" xfId="56" applyNumberFormat="1" applyFont="1" applyFill="1" applyBorder="1" applyAlignment="1">
      <alignment/>
      <protection/>
    </xf>
    <xf numFmtId="41" fontId="6" fillId="0" borderId="0" xfId="54" applyNumberFormat="1" applyFont="1" applyFill="1" applyBorder="1" applyAlignment="1">
      <alignment/>
    </xf>
    <xf numFmtId="165" fontId="6" fillId="0" borderId="0" xfId="56" applyNumberFormat="1" applyFont="1" applyFill="1" applyBorder="1" applyAlignment="1">
      <alignment wrapText="1"/>
      <protection/>
    </xf>
    <xf numFmtId="166" fontId="0" fillId="0" borderId="0" xfId="0" applyNumberFormat="1"/>
    <xf numFmtId="43" fontId="0" fillId="0" borderId="0" xfId="0" applyNumberFormat="1"/>
    <xf numFmtId="43" fontId="6" fillId="0" borderId="0" xfId="56" applyNumberFormat="1" applyFont="1" applyFill="1" applyBorder="1" applyAlignment="1">
      <alignment horizontal="right" wrapText="1"/>
      <protection/>
    </xf>
    <xf numFmtId="165" fontId="6" fillId="0" borderId="0" xfId="52" applyNumberFormat="1" applyFont="1" applyFill="1" applyBorder="1" applyAlignment="1">
      <alignment/>
    </xf>
    <xf numFmtId="43" fontId="4" fillId="0" borderId="14" xfId="56" applyNumberFormat="1" applyFont="1" applyFill="1" applyBorder="1" applyAlignment="1">
      <alignment horizontal="center"/>
      <protection/>
    </xf>
    <xf numFmtId="2" fontId="10" fillId="0" borderId="0" xfId="52" applyNumberFormat="1" applyFont="1" applyFill="1" applyBorder="1"/>
    <xf numFmtId="43" fontId="7" fillId="0" borderId="0" xfId="50" applyNumberFormat="1" applyFill="1" applyBorder="1" applyAlignment="1" applyProtection="1">
      <alignment/>
      <protection/>
    </xf>
    <xf numFmtId="167" fontId="3" fillId="0" borderId="0" xfId="54" applyNumberFormat="1" applyFont="1" applyFill="1" applyBorder="1"/>
    <xf numFmtId="43" fontId="3" fillId="0" borderId="0" xfId="52" applyFont="1" applyFill="1" applyBorder="1"/>
    <xf numFmtId="43" fontId="4" fillId="0" borderId="12" xfId="52" applyFont="1" applyFill="1" applyBorder="1" applyAlignment="1">
      <alignment horizontal="center" wrapText="1"/>
    </xf>
    <xf numFmtId="43" fontId="5" fillId="0" borderId="0" xfId="52" applyFont="1" applyFill="1" applyBorder="1" applyAlignment="1">
      <alignment/>
    </xf>
    <xf numFmtId="43" fontId="0" fillId="0" borderId="0" xfId="52" applyFont="1"/>
    <xf numFmtId="43" fontId="3" fillId="0" borderId="0" xfId="52" applyFont="1" applyFill="1" applyBorder="1" applyAlignment="1">
      <alignment/>
    </xf>
    <xf numFmtId="43" fontId="4" fillId="0" borderId="12" xfId="52" applyFont="1" applyFill="1" applyBorder="1" applyAlignment="1">
      <alignment wrapText="1"/>
    </xf>
    <xf numFmtId="43" fontId="5" fillId="0" borderId="0" xfId="52" applyFont="1" applyFill="1" applyBorder="1"/>
    <xf numFmtId="0" fontId="5" fillId="0" borderId="16" xfId="56" applyFont="1" applyFill="1" applyBorder="1" applyAlignment="1">
      <alignment/>
      <protection/>
    </xf>
    <xf numFmtId="0" fontId="5" fillId="0" borderId="17" xfId="56" applyFont="1" applyFill="1" applyBorder="1" applyAlignment="1">
      <alignment/>
      <protection/>
    </xf>
    <xf numFmtId="43" fontId="5" fillId="0" borderId="16" xfId="56" applyNumberFormat="1" applyFont="1" applyFill="1" applyBorder="1" applyAlignment="1">
      <alignment/>
      <protection/>
    </xf>
    <xf numFmtId="0" fontId="6" fillId="0" borderId="18" xfId="56" applyFont="1" applyFill="1" applyBorder="1" applyAlignment="1">
      <alignment/>
      <protection/>
    </xf>
    <xf numFmtId="43" fontId="5" fillId="0" borderId="19" xfId="54" applyNumberFormat="1" applyFont="1" applyFill="1" applyBorder="1" applyAlignment="1">
      <alignment/>
    </xf>
    <xf numFmtId="0" fontId="6" fillId="0" borderId="19" xfId="56" applyFont="1" applyFill="1" applyBorder="1" applyAlignment="1">
      <alignment/>
      <protection/>
    </xf>
    <xf numFmtId="43" fontId="5" fillId="0" borderId="19" xfId="56" applyNumberFormat="1" applyFont="1" applyFill="1" applyBorder="1" applyAlignment="1">
      <alignment/>
      <protection/>
    </xf>
    <xf numFmtId="43" fontId="6" fillId="0" borderId="19" xfId="56" applyNumberFormat="1" applyFont="1" applyFill="1" applyBorder="1" applyAlignment="1">
      <alignment/>
      <protection/>
    </xf>
    <xf numFmtId="43" fontId="5" fillId="0" borderId="16" xfId="52" applyFont="1" applyFill="1" applyBorder="1" applyAlignment="1">
      <alignment/>
    </xf>
    <xf numFmtId="43" fontId="6" fillId="0" borderId="16" xfId="56" applyNumberFormat="1" applyFont="1" applyFill="1" applyBorder="1" applyAlignment="1">
      <alignment/>
      <protection/>
    </xf>
    <xf numFmtId="43" fontId="5" fillId="0" borderId="20" xfId="56" applyNumberFormat="1" applyFont="1" applyFill="1" applyBorder="1" applyAlignment="1">
      <alignment/>
      <protection/>
    </xf>
    <xf numFmtId="43" fontId="5" fillId="0" borderId="21" xfId="56" applyNumberFormat="1" applyFont="1" applyFill="1" applyBorder="1" applyAlignment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22" xfId="56" applyFont="1" applyFill="1" applyBorder="1">
      <alignment/>
      <protection/>
    </xf>
    <xf numFmtId="0" fontId="5" fillId="0" borderId="22" xfId="56" applyFont="1" applyFill="1" applyBorder="1" applyAlignment="1">
      <alignment horizontal="left" wrapText="1"/>
      <protection/>
    </xf>
    <xf numFmtId="165" fontId="6" fillId="0" borderId="22" xfId="56" applyNumberFormat="1" applyFont="1" applyFill="1" applyBorder="1" applyAlignment="1">
      <alignment wrapText="1"/>
      <protection/>
    </xf>
    <xf numFmtId="43" fontId="5" fillId="0" borderId="22" xfId="54" applyNumberFormat="1" applyFont="1" applyFill="1" applyBorder="1" applyAlignment="1">
      <alignment/>
    </xf>
    <xf numFmtId="41" fontId="6" fillId="0" borderId="22" xfId="56" applyNumberFormat="1" applyFont="1" applyFill="1" applyBorder="1" applyAlignment="1">
      <alignment wrapText="1"/>
      <protection/>
    </xf>
    <xf numFmtId="43" fontId="5" fillId="0" borderId="22" xfId="56" applyNumberFormat="1" applyFont="1" applyFill="1" applyBorder="1" applyAlignment="1">
      <alignment wrapText="1"/>
      <protection/>
    </xf>
    <xf numFmtId="165" fontId="6" fillId="0" borderId="22" xfId="54" applyNumberFormat="1" applyFont="1" applyFill="1" applyBorder="1" applyAlignment="1">
      <alignment/>
    </xf>
    <xf numFmtId="43" fontId="5" fillId="0" borderId="22" xfId="52" applyFont="1" applyFill="1" applyBorder="1" applyAlignment="1">
      <alignment/>
    </xf>
    <xf numFmtId="43" fontId="6" fillId="0" borderId="22" xfId="54" applyNumberFormat="1" applyFont="1" applyFill="1" applyBorder="1" applyAlignment="1">
      <alignment/>
    </xf>
    <xf numFmtId="43" fontId="6" fillId="0" borderId="22" xfId="56" applyNumberFormat="1" applyFont="1" applyFill="1" applyBorder="1" applyAlignment="1">
      <alignment horizontal="right" wrapText="1"/>
      <protection/>
    </xf>
    <xf numFmtId="43" fontId="6" fillId="0" borderId="22" xfId="56" applyNumberFormat="1" applyFont="1" applyFill="1" applyBorder="1" applyAlignment="1">
      <alignment wrapText="1"/>
      <protection/>
    </xf>
    <xf numFmtId="43" fontId="5" fillId="0" borderId="22" xfId="52" applyFont="1" applyFill="1" applyBorder="1"/>
    <xf numFmtId="0" fontId="5" fillId="0" borderId="22" xfId="56" applyFont="1" applyFill="1" applyBorder="1" applyAlignment="1">
      <alignment horizontal="center"/>
      <protection/>
    </xf>
    <xf numFmtId="41" fontId="6" fillId="0" borderId="22" xfId="54" applyNumberFormat="1" applyFont="1" applyFill="1" applyBorder="1" applyAlignment="1">
      <alignment/>
    </xf>
    <xf numFmtId="43" fontId="5" fillId="0" borderId="22" xfId="56" applyNumberFormat="1" applyFont="1" applyFill="1" applyBorder="1" applyAlignment="1">
      <alignment/>
      <protection/>
    </xf>
    <xf numFmtId="165" fontId="6" fillId="0" borderId="22" xfId="52" applyNumberFormat="1" applyFont="1" applyFill="1" applyBorder="1" applyAlignment="1">
      <alignment/>
    </xf>
    <xf numFmtId="0" fontId="3" fillId="0" borderId="22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/>
      <protection/>
    </xf>
    <xf numFmtId="43" fontId="3" fillId="0" borderId="22" xfId="52" applyFont="1" applyFill="1" applyBorder="1"/>
    <xf numFmtId="0" fontId="3" fillId="0" borderId="22" xfId="56" applyFont="1" applyFill="1" applyBorder="1">
      <alignment/>
      <protection/>
    </xf>
    <xf numFmtId="43" fontId="5" fillId="0" borderId="23" xfId="56" applyNumberFormat="1" applyFont="1" applyFill="1" applyBorder="1" applyAlignment="1">
      <alignment/>
      <protection/>
    </xf>
    <xf numFmtId="0" fontId="0" fillId="0" borderId="0" xfId="0" applyFont="1"/>
    <xf numFmtId="0" fontId="31" fillId="0" borderId="0" xfId="56" applyFont="1" applyFill="1" applyBorder="1">
      <alignment/>
      <protection/>
    </xf>
    <xf numFmtId="43" fontId="8" fillId="0" borderId="0" xfId="54" applyNumberFormat="1" applyFont="1" applyFill="1" applyBorder="1" applyAlignment="1">
      <alignment/>
    </xf>
    <xf numFmtId="165" fontId="30" fillId="0" borderId="22" xfId="54" applyNumberFormat="1" applyFont="1" applyFill="1" applyBorder="1" applyAlignment="1">
      <alignment/>
    </xf>
    <xf numFmtId="43" fontId="29" fillId="0" borderId="0" xfId="54" applyNumberFormat="1" applyFont="1" applyFill="1" applyBorder="1" applyAlignment="1">
      <alignment/>
    </xf>
    <xf numFmtId="43" fontId="8" fillId="0" borderId="0" xfId="56" applyNumberFormat="1" applyFont="1" applyFill="1" applyBorder="1" applyAlignment="1">
      <alignment wrapText="1"/>
      <protection/>
    </xf>
    <xf numFmtId="43" fontId="8" fillId="0" borderId="22" xfId="56" applyNumberFormat="1" applyFont="1" applyFill="1" applyBorder="1" applyAlignment="1">
      <alignment wrapText="1"/>
      <protection/>
    </xf>
    <xf numFmtId="0" fontId="4" fillId="0" borderId="0" xfId="56" applyFont="1" applyFill="1" applyBorder="1" applyAlignment="1">
      <alignment horizontal="left"/>
      <protection/>
    </xf>
    <xf numFmtId="1" fontId="0" fillId="0" borderId="0" xfId="0" applyNumberFormat="1" applyFill="1" applyBorder="1"/>
    <xf numFmtId="1" fontId="0" fillId="0" borderId="22" xfId="0" applyNumberFormat="1" applyFill="1" applyBorder="1"/>
    <xf numFmtId="166" fontId="11" fillId="0" borderId="0" xfId="53" applyNumberFormat="1" applyFont="1" applyFill="1" applyBorder="1" applyAlignment="1">
      <alignment horizontal="center"/>
    </xf>
    <xf numFmtId="166" fontId="11" fillId="0" borderId="24" xfId="53" applyNumberFormat="1" applyFont="1" applyFill="1" applyBorder="1" applyAlignment="1">
      <alignment horizontal="center"/>
    </xf>
    <xf numFmtId="0" fontId="9" fillId="0" borderId="0" xfId="56" applyFont="1" applyFill="1" applyAlignment="1">
      <alignment horizontal="center"/>
      <protection/>
    </xf>
    <xf numFmtId="0" fontId="4" fillId="0" borderId="13" xfId="56" applyFont="1" applyFill="1" applyBorder="1" applyAlignment="1">
      <alignment horizontal="center" wrapText="1"/>
      <protection/>
    </xf>
    <xf numFmtId="0" fontId="4" fillId="0" borderId="14" xfId="56" applyFont="1" applyFill="1" applyBorder="1" applyAlignment="1">
      <alignment horizontal="center" wrapText="1"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Hipervínculo" xfId="50"/>
    <cellStyle name="Incorrecto" xfId="51"/>
    <cellStyle name="Millares" xfId="52"/>
    <cellStyle name="Moneda" xfId="53"/>
    <cellStyle name="Moneda_Tabla Docente 2003" xfId="54"/>
    <cellStyle name="Neutral" xfId="55"/>
    <cellStyle name="Normal_Tabla Docente 2003" xfId="56"/>
    <cellStyle name="Notas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22"/>
  <sheetViews>
    <sheetView showGridLines="0" tabSelected="1" zoomScale="120" zoomScaleNormal="120" zoomScaleSheetLayoutView="100" workbookViewId="0" topLeftCell="A1">
      <pane xSplit="6" ySplit="5" topLeftCell="G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H2" sqref="H2"/>
    </sheetView>
  </sheetViews>
  <sheetFormatPr defaultColWidth="11.421875" defaultRowHeight="11.25" customHeight="1"/>
  <cols>
    <col min="1" max="1" width="6.00390625" style="2" hidden="1" customWidth="1"/>
    <col min="2" max="2" width="4.7109375" style="2" customWidth="1"/>
    <col min="3" max="3" width="4.7109375" style="2" hidden="1" customWidth="1"/>
    <col min="4" max="4" width="5.00390625" style="2" customWidth="1"/>
    <col min="5" max="5" width="3.00390625" style="2" hidden="1" customWidth="1"/>
    <col min="6" max="6" width="29.7109375" style="3" customWidth="1"/>
    <col min="7" max="7" width="4.7109375" style="4" customWidth="1"/>
    <col min="8" max="8" width="7.57421875" style="5" customWidth="1"/>
    <col min="9" max="9" width="5.57421875" style="2" customWidth="1"/>
    <col min="10" max="10" width="7.57421875" style="6" customWidth="1"/>
    <col min="11" max="11" width="4.57421875" style="2" customWidth="1"/>
    <col min="12" max="12" width="7.00390625" style="6" customWidth="1"/>
    <col min="13" max="13" width="5.140625" style="6" customWidth="1"/>
    <col min="14" max="14" width="6.7109375" style="6" customWidth="1"/>
    <col min="15" max="15" width="7.28125" style="6" customWidth="1"/>
    <col min="16" max="16" width="7.421875" style="6" bestFit="1" customWidth="1"/>
    <col min="17" max="17" width="7.00390625" style="6" customWidth="1"/>
    <col min="18" max="18" width="7.28125" style="6" customWidth="1"/>
    <col min="19" max="21" width="7.421875" style="6" customWidth="1"/>
    <col min="22" max="22" width="7.57421875" style="6" customWidth="1"/>
    <col min="23" max="23" width="6.421875" style="6" customWidth="1"/>
    <col min="24" max="24" width="3.57421875" style="6" customWidth="1"/>
    <col min="25" max="25" width="7.421875" style="6" customWidth="1"/>
    <col min="26" max="26" width="6.7109375" style="6" customWidth="1"/>
    <col min="27" max="27" width="5.57421875" style="41" customWidth="1"/>
    <col min="28" max="28" width="7.140625" style="6" customWidth="1"/>
    <col min="29" max="29" width="5.57421875" style="6" customWidth="1"/>
    <col min="30" max="30" width="3.28125" style="6" customWidth="1"/>
    <col min="31" max="31" width="5.57421875" style="6" customWidth="1"/>
    <col min="32" max="32" width="9.140625" style="6" customWidth="1"/>
    <col min="33" max="33" width="6.28125" style="6" customWidth="1"/>
    <col min="34" max="34" width="6.28125" style="37" customWidth="1"/>
    <col min="35" max="35" width="5.28125" style="37" customWidth="1"/>
    <col min="36" max="36" width="11.140625" style="6" customWidth="1"/>
    <col min="37" max="37" width="7.421875" style="6" customWidth="1"/>
    <col min="38" max="38" width="7.28125" style="6" customWidth="1"/>
    <col min="39" max="39" width="6.8515625" style="37" customWidth="1"/>
    <col min="40" max="40" width="5.28125" style="22" customWidth="1"/>
    <col min="41" max="41" width="5.8515625" style="22" customWidth="1"/>
    <col min="42" max="42" width="5.8515625" style="20" customWidth="1"/>
    <col min="43" max="43" width="5.8515625" style="2" customWidth="1"/>
    <col min="44" max="16384" width="11.421875" style="2" customWidth="1"/>
  </cols>
  <sheetData>
    <row r="1" spans="2:42" ht="11.25" customHeight="1">
      <c r="B1" s="90" t="s">
        <v>459</v>
      </c>
      <c r="C1" s="90"/>
      <c r="D1" s="90"/>
      <c r="E1" s="90"/>
      <c r="F1" s="90"/>
      <c r="H1" s="36">
        <v>0</v>
      </c>
      <c r="J1" s="34">
        <f>LOOKUP(H1,Valores!E:E,Valores!F:F)</f>
        <v>0</v>
      </c>
      <c r="P1" s="35"/>
      <c r="AP1" s="79">
        <f>(((H135+T135)*1.15)+Q135+R135+S135+AA135+AC135)*0.05</f>
        <v>373.03438500000004</v>
      </c>
    </row>
    <row r="2" spans="2:38" ht="11.25" customHeight="1">
      <c r="B2" s="90" t="s">
        <v>460</v>
      </c>
      <c r="C2" s="90"/>
      <c r="D2" s="90"/>
      <c r="E2" s="90"/>
      <c r="F2" s="90"/>
      <c r="H2" s="36">
        <v>0</v>
      </c>
      <c r="AK2" s="88">
        <f>Valores!B2</f>
        <v>2.321</v>
      </c>
      <c r="AL2" s="88">
        <f>Valores!B2</f>
        <v>2.321</v>
      </c>
    </row>
    <row r="3" spans="37:38" ht="13.5" customHeight="1">
      <c r="AK3" s="89"/>
      <c r="AL3" s="89"/>
    </row>
    <row r="4" spans="2:42" ht="18.75" customHeight="1">
      <c r="B4" s="7"/>
      <c r="C4" s="7"/>
      <c r="D4" s="8"/>
      <c r="E4" s="9"/>
      <c r="F4" s="8"/>
      <c r="G4" s="93" t="s">
        <v>362</v>
      </c>
      <c r="H4" s="94"/>
      <c r="I4" s="91" t="s">
        <v>363</v>
      </c>
      <c r="J4" s="92"/>
      <c r="K4" s="95" t="s">
        <v>364</v>
      </c>
      <c r="L4" s="94"/>
      <c r="M4" s="91" t="s">
        <v>365</v>
      </c>
      <c r="N4" s="92"/>
      <c r="O4" s="10" t="s">
        <v>392</v>
      </c>
      <c r="P4" s="33" t="s">
        <v>381</v>
      </c>
      <c r="Q4" s="10" t="s">
        <v>366</v>
      </c>
      <c r="R4" s="10" t="s">
        <v>367</v>
      </c>
      <c r="S4" s="10" t="s">
        <v>368</v>
      </c>
      <c r="T4" s="10" t="s">
        <v>369</v>
      </c>
      <c r="U4" s="10" t="s">
        <v>369</v>
      </c>
      <c r="V4" s="10" t="s">
        <v>370</v>
      </c>
      <c r="W4" s="10" t="s">
        <v>371</v>
      </c>
      <c r="X4" s="91" t="s">
        <v>372</v>
      </c>
      <c r="Y4" s="92"/>
      <c r="Z4" s="10" t="s">
        <v>373</v>
      </c>
      <c r="AA4" s="42" t="s">
        <v>399</v>
      </c>
      <c r="AB4" s="11" t="s">
        <v>458</v>
      </c>
      <c r="AC4" s="10" t="s">
        <v>400</v>
      </c>
      <c r="AD4" s="91" t="s">
        <v>374</v>
      </c>
      <c r="AE4" s="92"/>
      <c r="AF4" s="12" t="s">
        <v>376</v>
      </c>
      <c r="AG4" s="13" t="s">
        <v>377</v>
      </c>
      <c r="AH4" s="38" t="s">
        <v>378</v>
      </c>
      <c r="AI4" s="38" t="s">
        <v>481</v>
      </c>
      <c r="AJ4" s="10" t="s">
        <v>379</v>
      </c>
      <c r="AK4" s="14" t="s">
        <v>376</v>
      </c>
      <c r="AL4" s="18"/>
      <c r="AM4" s="38" t="s">
        <v>464</v>
      </c>
      <c r="AN4" s="38" t="s">
        <v>466</v>
      </c>
      <c r="AO4" s="38" t="s">
        <v>467</v>
      </c>
      <c r="AP4" s="20" t="s">
        <v>488</v>
      </c>
    </row>
    <row r="5" spans="2:42" s="19" customFormat="1" ht="11.25" customHeight="1" thickBot="1">
      <c r="B5" s="19" t="s">
        <v>0</v>
      </c>
      <c r="D5" s="44" t="s">
        <v>1</v>
      </c>
      <c r="E5" s="45"/>
      <c r="F5" s="46" t="s">
        <v>2</v>
      </c>
      <c r="G5" s="47" t="s">
        <v>3</v>
      </c>
      <c r="H5" s="48" t="s">
        <v>401</v>
      </c>
      <c r="I5" s="49" t="s">
        <v>4</v>
      </c>
      <c r="J5" s="50" t="s">
        <v>402</v>
      </c>
      <c r="K5" s="49" t="s">
        <v>5</v>
      </c>
      <c r="L5" s="50" t="s">
        <v>403</v>
      </c>
      <c r="M5" s="51" t="s">
        <v>6</v>
      </c>
      <c r="N5" s="50" t="s">
        <v>404</v>
      </c>
      <c r="O5" s="77" t="s">
        <v>405</v>
      </c>
      <c r="P5" s="46" t="s">
        <v>474</v>
      </c>
      <c r="Q5" s="46" t="s">
        <v>406</v>
      </c>
      <c r="R5" s="46" t="s">
        <v>407</v>
      </c>
      <c r="S5" s="46" t="s">
        <v>408</v>
      </c>
      <c r="T5" s="46" t="s">
        <v>409</v>
      </c>
      <c r="U5" s="46" t="s">
        <v>409</v>
      </c>
      <c r="V5" s="46" t="s">
        <v>410</v>
      </c>
      <c r="W5" s="50" t="s">
        <v>411</v>
      </c>
      <c r="X5" s="46" t="s">
        <v>387</v>
      </c>
      <c r="Y5" s="46" t="s">
        <v>412</v>
      </c>
      <c r="Z5" s="46" t="s">
        <v>413</v>
      </c>
      <c r="AA5" s="52" t="s">
        <v>414</v>
      </c>
      <c r="AB5" s="52" t="s">
        <v>477</v>
      </c>
      <c r="AC5" s="46" t="s">
        <v>415</v>
      </c>
      <c r="AD5" s="53" t="s">
        <v>383</v>
      </c>
      <c r="AE5" s="54" t="s">
        <v>416</v>
      </c>
      <c r="AF5" s="53" t="s">
        <v>375</v>
      </c>
      <c r="AG5" s="55" t="s">
        <v>417</v>
      </c>
      <c r="AH5" s="52" t="s">
        <v>418</v>
      </c>
      <c r="AI5" s="52" t="s">
        <v>482</v>
      </c>
      <c r="AJ5" s="46" t="s">
        <v>419</v>
      </c>
      <c r="AK5" s="53" t="s">
        <v>380</v>
      </c>
      <c r="AL5" s="55" t="s">
        <v>7</v>
      </c>
      <c r="AM5" s="39" t="s">
        <v>465</v>
      </c>
      <c r="AN5" s="56"/>
      <c r="AO5" s="56"/>
      <c r="AP5" s="20"/>
    </row>
    <row r="6" spans="2:42" s="20" customFormat="1" ht="11.25" customHeight="1">
      <c r="B6" s="20">
        <v>6</v>
      </c>
      <c r="D6" s="20" t="s">
        <v>8</v>
      </c>
      <c r="F6" s="21" t="s">
        <v>9</v>
      </c>
      <c r="G6" s="28">
        <v>107</v>
      </c>
      <c r="H6" s="15">
        <f>G6*Valores!$B$2</f>
        <v>248.347</v>
      </c>
      <c r="I6" s="28">
        <v>3779</v>
      </c>
      <c r="J6" s="15">
        <f>I6*Valores!$B$2</f>
        <v>8771.059000000001</v>
      </c>
      <c r="K6" s="23">
        <v>219</v>
      </c>
      <c r="L6" s="15">
        <f>K6*Valores!$B$2</f>
        <v>508.29900000000004</v>
      </c>
      <c r="M6" s="23">
        <v>0</v>
      </c>
      <c r="N6" s="15">
        <f>M6*Valores!$B$2</f>
        <v>0</v>
      </c>
      <c r="O6" s="15">
        <f aca="true" t="shared" si="0" ref="O6:O69">IF($J$1=0,(SUM(H6,J6,L6,N6,Y6,T6)*0.15),0)</f>
        <v>1429.1557500000001</v>
      </c>
      <c r="P6" s="15">
        <f aca="true" t="shared" si="1" ref="P6:P69">SUM(H6,J6,L6,N6,Y6)*$J$1</f>
        <v>0</v>
      </c>
      <c r="Q6" s="17">
        <f>Valores!$B$13</f>
        <v>1185</v>
      </c>
      <c r="R6" s="17">
        <f>Valores!$C$6</f>
        <v>1038.184</v>
      </c>
      <c r="S6" s="15">
        <v>0</v>
      </c>
      <c r="T6" s="15">
        <v>0</v>
      </c>
      <c r="U6" s="15">
        <f aca="true" t="shared" si="2" ref="U6:U69">T6*(1+$J$1)</f>
        <v>0</v>
      </c>
      <c r="V6" s="17">
        <f>SUM(H6,J6,L6)</f>
        <v>9527.705000000002</v>
      </c>
      <c r="W6" s="17">
        <f>SUM(H6,J6,L6)*0.4</f>
        <v>3811.082000000001</v>
      </c>
      <c r="X6" s="24">
        <v>0</v>
      </c>
      <c r="Y6" s="15">
        <f>X6*Valores!$B$2</f>
        <v>0</v>
      </c>
      <c r="Z6" s="15">
        <v>0</v>
      </c>
      <c r="AA6" s="39">
        <v>129.04</v>
      </c>
      <c r="AB6" s="15">
        <f aca="true" t="shared" si="3" ref="AB6:AB69">SUM(H6,J6,L6,Y6)*$H$2/100</f>
        <v>0</v>
      </c>
      <c r="AC6" s="15">
        <v>129.04</v>
      </c>
      <c r="AD6" s="16">
        <v>0</v>
      </c>
      <c r="AE6" s="15">
        <f>AD6*Valores!$B$2</f>
        <v>0</v>
      </c>
      <c r="AF6" s="31">
        <f aca="true" t="shared" si="4" ref="AF6:AF69">SUM(H6,J6,L6,N6,O6,P6,Q6,R6,S6,U6,V6,W6,Y6,Z6,AA6,AB6,AC6,AE6)</f>
        <v>26776.911750000007</v>
      </c>
      <c r="AG6" s="15">
        <v>0</v>
      </c>
      <c r="AH6" s="15">
        <v>0</v>
      </c>
      <c r="AI6" s="15">
        <f>Valores!$B$25</f>
        <v>0</v>
      </c>
      <c r="AJ6" s="15">
        <v>0</v>
      </c>
      <c r="AK6" s="25">
        <f aca="true" t="shared" si="5" ref="AK6:AK69">SUM(AH6:AJ6)</f>
        <v>0</v>
      </c>
      <c r="AL6" s="17">
        <f>(AF6*0.775)+AK6</f>
        <v>20752.106606250007</v>
      </c>
      <c r="AM6" s="43"/>
      <c r="AN6" s="56">
        <v>33</v>
      </c>
      <c r="AO6" s="56">
        <v>22</v>
      </c>
      <c r="AP6" s="20" t="s">
        <v>486</v>
      </c>
    </row>
    <row r="7" spans="2:42" s="20" customFormat="1" ht="11.25" customHeight="1">
      <c r="B7" s="20">
        <v>7</v>
      </c>
      <c r="D7" s="20" t="s">
        <v>10</v>
      </c>
      <c r="F7" s="21" t="s">
        <v>11</v>
      </c>
      <c r="G7" s="28">
        <v>107</v>
      </c>
      <c r="H7" s="15">
        <f>G7*Valores!$B$2</f>
        <v>248.347</v>
      </c>
      <c r="I7" s="28">
        <v>3779</v>
      </c>
      <c r="J7" s="15">
        <f>I7*Valores!$B$2</f>
        <v>8771.059000000001</v>
      </c>
      <c r="K7" s="23">
        <v>219</v>
      </c>
      <c r="L7" s="15">
        <f>K7*Valores!$B$2</f>
        <v>508.29900000000004</v>
      </c>
      <c r="M7" s="23">
        <v>0</v>
      </c>
      <c r="N7" s="15">
        <f>M7*Valores!$B$2</f>
        <v>0</v>
      </c>
      <c r="O7" s="15">
        <f t="shared" si="0"/>
        <v>1429.1557500000001</v>
      </c>
      <c r="P7" s="15">
        <f t="shared" si="1"/>
        <v>0</v>
      </c>
      <c r="Q7" s="17">
        <f>Valores!$B$13</f>
        <v>1185</v>
      </c>
      <c r="R7" s="17">
        <f>Valores!$C$6</f>
        <v>1038.184</v>
      </c>
      <c r="S7" s="15">
        <v>0</v>
      </c>
      <c r="T7" s="15">
        <v>0</v>
      </c>
      <c r="U7" s="15">
        <f t="shared" si="2"/>
        <v>0</v>
      </c>
      <c r="V7" s="17">
        <f>SUM(H7,J7,L7)</f>
        <v>9527.705000000002</v>
      </c>
      <c r="W7" s="17">
        <f>SUM(H7,J7,L7)*0.4</f>
        <v>3811.082000000001</v>
      </c>
      <c r="X7" s="24">
        <v>0</v>
      </c>
      <c r="Y7" s="15">
        <f>X7*Valores!$B$2</f>
        <v>0</v>
      </c>
      <c r="Z7" s="15">
        <v>0</v>
      </c>
      <c r="AA7" s="39">
        <v>129.04</v>
      </c>
      <c r="AB7" s="15">
        <f t="shared" si="3"/>
        <v>0</v>
      </c>
      <c r="AC7" s="15">
        <v>129.04</v>
      </c>
      <c r="AD7" s="16">
        <v>0</v>
      </c>
      <c r="AE7" s="15">
        <f>AD7*Valores!$B$2</f>
        <v>0</v>
      </c>
      <c r="AF7" s="31">
        <f t="shared" si="4"/>
        <v>26776.911750000007</v>
      </c>
      <c r="AG7" s="15">
        <v>0</v>
      </c>
      <c r="AH7" s="15">
        <v>0</v>
      </c>
      <c r="AI7" s="15">
        <f>Valores!$B$25</f>
        <v>0</v>
      </c>
      <c r="AJ7" s="15">
        <v>0</v>
      </c>
      <c r="AK7" s="25">
        <f t="shared" si="5"/>
        <v>0</v>
      </c>
      <c r="AL7" s="17">
        <f aca="true" t="shared" si="6" ref="AL7:AL70">(AF7*0.775)+AK7</f>
        <v>20752.106606250007</v>
      </c>
      <c r="AM7" s="43"/>
      <c r="AN7" s="56">
        <v>33</v>
      </c>
      <c r="AO7" s="56">
        <v>22</v>
      </c>
      <c r="AP7" s="20" t="s">
        <v>486</v>
      </c>
    </row>
    <row r="8" spans="2:42" s="20" customFormat="1" ht="11.25" customHeight="1">
      <c r="B8" s="20">
        <v>8</v>
      </c>
      <c r="D8" s="20" t="s">
        <v>12</v>
      </c>
      <c r="F8" s="21" t="s">
        <v>13</v>
      </c>
      <c r="G8" s="28">
        <v>107</v>
      </c>
      <c r="H8" s="80">
        <f>G8*Valores!$B$2</f>
        <v>248.347</v>
      </c>
      <c r="I8" s="28">
        <v>3720</v>
      </c>
      <c r="J8" s="15">
        <f>I8*Valores!$B$2</f>
        <v>8634.12</v>
      </c>
      <c r="K8" s="23">
        <v>1226</v>
      </c>
      <c r="L8" s="15">
        <f>K8*Valores!$B$2</f>
        <v>2845.5460000000003</v>
      </c>
      <c r="M8" s="23">
        <v>0</v>
      </c>
      <c r="N8" s="15">
        <f>M8*Valores!$B$2</f>
        <v>0</v>
      </c>
      <c r="O8" s="15">
        <f t="shared" si="0"/>
        <v>1872.4519500000001</v>
      </c>
      <c r="P8" s="15">
        <f t="shared" si="1"/>
        <v>0</v>
      </c>
      <c r="Q8" s="17">
        <f>Valores!$B$17</f>
        <v>1335</v>
      </c>
      <c r="R8" s="17">
        <f>Valores!$C$6</f>
        <v>1038.184</v>
      </c>
      <c r="S8" s="15">
        <v>0</v>
      </c>
      <c r="T8" s="15">
        <f>Valores!$B$20</f>
        <v>755</v>
      </c>
      <c r="U8" s="15">
        <f t="shared" si="2"/>
        <v>755</v>
      </c>
      <c r="V8" s="15">
        <v>0</v>
      </c>
      <c r="W8" s="15">
        <v>0</v>
      </c>
      <c r="X8" s="24">
        <v>0</v>
      </c>
      <c r="Y8" s="15">
        <f>X8*Valores!$B$2</f>
        <v>0</v>
      </c>
      <c r="Z8" s="15">
        <v>0</v>
      </c>
      <c r="AA8" s="39">
        <v>129.04</v>
      </c>
      <c r="AB8" s="15">
        <f t="shared" si="3"/>
        <v>0</v>
      </c>
      <c r="AC8" s="15">
        <v>129.04</v>
      </c>
      <c r="AD8" s="16">
        <v>0</v>
      </c>
      <c r="AE8" s="15">
        <f>AD8*Valores!$B$2</f>
        <v>0</v>
      </c>
      <c r="AF8" s="31">
        <f t="shared" si="4"/>
        <v>16986.728950000004</v>
      </c>
      <c r="AG8" s="15">
        <v>0</v>
      </c>
      <c r="AH8" s="15">
        <v>0</v>
      </c>
      <c r="AI8" s="15">
        <f>Valores!$B$25</f>
        <v>0</v>
      </c>
      <c r="AJ8" s="15">
        <v>0</v>
      </c>
      <c r="AK8" s="25">
        <f t="shared" si="5"/>
        <v>0</v>
      </c>
      <c r="AL8" s="17">
        <f t="shared" si="6"/>
        <v>13164.714936250004</v>
      </c>
      <c r="AM8" s="43"/>
      <c r="AN8" s="56">
        <v>35</v>
      </c>
      <c r="AO8" s="56">
        <v>22</v>
      </c>
      <c r="AP8" s="20" t="s">
        <v>487</v>
      </c>
    </row>
    <row r="9" spans="2:42" s="20" customFormat="1" ht="11.25" customHeight="1">
      <c r="B9" s="20">
        <v>9</v>
      </c>
      <c r="D9" s="20" t="s">
        <v>14</v>
      </c>
      <c r="F9" s="21" t="s">
        <v>15</v>
      </c>
      <c r="G9" s="28">
        <v>107</v>
      </c>
      <c r="H9" s="15">
        <f>G9*Valores!$B$2</f>
        <v>248.347</v>
      </c>
      <c r="I9" s="28">
        <v>3779</v>
      </c>
      <c r="J9" s="15">
        <f>I9*Valores!$B$2</f>
        <v>8771.059000000001</v>
      </c>
      <c r="K9" s="23">
        <v>219</v>
      </c>
      <c r="L9" s="15">
        <f>K9*Valores!$B$2</f>
        <v>508.29900000000004</v>
      </c>
      <c r="M9" s="23">
        <v>0</v>
      </c>
      <c r="N9" s="15">
        <f>M9*Valores!$B$2</f>
        <v>0</v>
      </c>
      <c r="O9" s="15">
        <f t="shared" si="0"/>
        <v>1429.1557500000001</v>
      </c>
      <c r="P9" s="15">
        <f t="shared" si="1"/>
        <v>0</v>
      </c>
      <c r="Q9" s="17">
        <f>Valores!$B$13</f>
        <v>1185</v>
      </c>
      <c r="R9" s="17">
        <f>Valores!$C$6</f>
        <v>1038.184</v>
      </c>
      <c r="S9" s="15">
        <v>0</v>
      </c>
      <c r="T9" s="15">
        <v>0</v>
      </c>
      <c r="U9" s="15">
        <f t="shared" si="2"/>
        <v>0</v>
      </c>
      <c r="V9" s="17">
        <f aca="true" t="shared" si="7" ref="V9:V18">SUM(H9,J9,L9)</f>
        <v>9527.705000000002</v>
      </c>
      <c r="W9" s="17">
        <f aca="true" t="shared" si="8" ref="W9:W18">SUM(H9,J9,L9)*0.4</f>
        <v>3811.082000000001</v>
      </c>
      <c r="X9" s="24">
        <v>0</v>
      </c>
      <c r="Y9" s="15">
        <f>X9*Valores!$B$2</f>
        <v>0</v>
      </c>
      <c r="Z9" s="15">
        <v>0</v>
      </c>
      <c r="AA9" s="39">
        <v>129.04</v>
      </c>
      <c r="AB9" s="15">
        <f t="shared" si="3"/>
        <v>0</v>
      </c>
      <c r="AC9" s="15">
        <v>129.04</v>
      </c>
      <c r="AD9" s="16">
        <v>0</v>
      </c>
      <c r="AE9" s="15">
        <f>AD9*Valores!$B$2</f>
        <v>0</v>
      </c>
      <c r="AF9" s="31">
        <f t="shared" si="4"/>
        <v>26776.911750000007</v>
      </c>
      <c r="AG9" s="15">
        <v>0</v>
      </c>
      <c r="AH9" s="15">
        <v>0</v>
      </c>
      <c r="AI9" s="15">
        <f>Valores!$B$25</f>
        <v>0</v>
      </c>
      <c r="AJ9" s="15">
        <v>0</v>
      </c>
      <c r="AK9" s="25">
        <f t="shared" si="5"/>
        <v>0</v>
      </c>
      <c r="AL9" s="17">
        <f t="shared" si="6"/>
        <v>20752.106606250007</v>
      </c>
      <c r="AM9" s="43"/>
      <c r="AN9" s="56">
        <v>33</v>
      </c>
      <c r="AO9" s="56">
        <v>22</v>
      </c>
      <c r="AP9" s="20" t="s">
        <v>486</v>
      </c>
    </row>
    <row r="10" spans="2:42" s="20" customFormat="1" ht="11.25" customHeight="1" thickBot="1">
      <c r="B10" s="20">
        <v>10</v>
      </c>
      <c r="C10" s="20" t="s">
        <v>478</v>
      </c>
      <c r="D10" s="57" t="s">
        <v>16</v>
      </c>
      <c r="E10" s="57"/>
      <c r="F10" s="58" t="s">
        <v>17</v>
      </c>
      <c r="G10" s="59">
        <v>107</v>
      </c>
      <c r="H10" s="60">
        <f>G10*Valores!$B$2</f>
        <v>248.347</v>
      </c>
      <c r="I10" s="59">
        <v>3779</v>
      </c>
      <c r="J10" s="60">
        <f>I10*Valores!$B$2</f>
        <v>8771.059000000001</v>
      </c>
      <c r="K10" s="61">
        <v>219</v>
      </c>
      <c r="L10" s="60">
        <f>K10*Valores!$B$2</f>
        <v>508.29900000000004</v>
      </c>
      <c r="M10" s="61">
        <v>0</v>
      </c>
      <c r="N10" s="60">
        <f>M10*Valores!$B$2</f>
        <v>0</v>
      </c>
      <c r="O10" s="60">
        <f t="shared" si="0"/>
        <v>1429.1557500000001</v>
      </c>
      <c r="P10" s="60">
        <f t="shared" si="1"/>
        <v>0</v>
      </c>
      <c r="Q10" s="62">
        <f>Valores!$B$13</f>
        <v>1185</v>
      </c>
      <c r="R10" s="62">
        <f>Valores!$C$6</f>
        <v>1038.184</v>
      </c>
      <c r="S10" s="60">
        <v>0</v>
      </c>
      <c r="T10" s="60">
        <v>0</v>
      </c>
      <c r="U10" s="60">
        <f t="shared" si="2"/>
        <v>0</v>
      </c>
      <c r="V10" s="62">
        <f t="shared" si="7"/>
        <v>9527.705000000002</v>
      </c>
      <c r="W10" s="62">
        <f t="shared" si="8"/>
        <v>3811.082000000001</v>
      </c>
      <c r="X10" s="63">
        <v>0</v>
      </c>
      <c r="Y10" s="60">
        <f>X10*Valores!$B$2</f>
        <v>0</v>
      </c>
      <c r="Z10" s="60">
        <v>0</v>
      </c>
      <c r="AA10" s="64">
        <v>129.04</v>
      </c>
      <c r="AB10" s="60">
        <f t="shared" si="3"/>
        <v>0</v>
      </c>
      <c r="AC10" s="60">
        <v>129.04</v>
      </c>
      <c r="AD10" s="65">
        <v>0</v>
      </c>
      <c r="AE10" s="60">
        <f>AD10*Valores!$B$2</f>
        <v>0</v>
      </c>
      <c r="AF10" s="66">
        <f t="shared" si="4"/>
        <v>26776.911750000007</v>
      </c>
      <c r="AG10" s="60">
        <v>0</v>
      </c>
      <c r="AH10" s="60">
        <v>0</v>
      </c>
      <c r="AI10" s="60">
        <f>Valores!$B$25</f>
        <v>0</v>
      </c>
      <c r="AJ10" s="60">
        <v>0</v>
      </c>
      <c r="AK10" s="67">
        <f t="shared" si="5"/>
        <v>0</v>
      </c>
      <c r="AL10" s="62">
        <f t="shared" si="6"/>
        <v>20752.106606250007</v>
      </c>
      <c r="AM10" s="68"/>
      <c r="AN10" s="69">
        <v>33</v>
      </c>
      <c r="AO10" s="69">
        <v>22</v>
      </c>
      <c r="AP10" s="20" t="s">
        <v>486</v>
      </c>
    </row>
    <row r="11" spans="2:42" s="20" customFormat="1" ht="11.25" customHeight="1" thickTop="1">
      <c r="B11" s="20">
        <v>11</v>
      </c>
      <c r="D11" s="20" t="s">
        <v>18</v>
      </c>
      <c r="F11" s="21" t="s">
        <v>19</v>
      </c>
      <c r="G11" s="28">
        <v>107</v>
      </c>
      <c r="H11" s="15">
        <f>G11*Valores!$B$2</f>
        <v>248.347</v>
      </c>
      <c r="I11" s="28">
        <v>3779</v>
      </c>
      <c r="J11" s="15">
        <f>I11*Valores!$B$2</f>
        <v>8771.059000000001</v>
      </c>
      <c r="K11" s="23">
        <v>219</v>
      </c>
      <c r="L11" s="15">
        <f>K11*Valores!$B$2</f>
        <v>508.29900000000004</v>
      </c>
      <c r="M11" s="23">
        <v>0</v>
      </c>
      <c r="N11" s="15">
        <f>M11*Valores!$B$2</f>
        <v>0</v>
      </c>
      <c r="O11" s="15">
        <f t="shared" si="0"/>
        <v>1429.1557500000001</v>
      </c>
      <c r="P11" s="15">
        <f t="shared" si="1"/>
        <v>0</v>
      </c>
      <c r="Q11" s="17">
        <f>Valores!$B$13</f>
        <v>1185</v>
      </c>
      <c r="R11" s="17">
        <f>Valores!$C$6</f>
        <v>1038.184</v>
      </c>
      <c r="S11" s="15">
        <v>0</v>
      </c>
      <c r="T11" s="15">
        <v>0</v>
      </c>
      <c r="U11" s="15">
        <f t="shared" si="2"/>
        <v>0</v>
      </c>
      <c r="V11" s="17">
        <f t="shared" si="7"/>
        <v>9527.705000000002</v>
      </c>
      <c r="W11" s="17">
        <f t="shared" si="8"/>
        <v>3811.082000000001</v>
      </c>
      <c r="X11" s="24">
        <v>0</v>
      </c>
      <c r="Y11" s="15">
        <f>X11*Valores!$B$2</f>
        <v>0</v>
      </c>
      <c r="Z11" s="15">
        <v>0</v>
      </c>
      <c r="AA11" s="39">
        <v>129.04</v>
      </c>
      <c r="AB11" s="15">
        <f t="shared" si="3"/>
        <v>0</v>
      </c>
      <c r="AC11" s="15">
        <v>129.04</v>
      </c>
      <c r="AD11" s="16">
        <v>0</v>
      </c>
      <c r="AE11" s="15">
        <f>AD11*Valores!$B$2</f>
        <v>0</v>
      </c>
      <c r="AF11" s="31">
        <f t="shared" si="4"/>
        <v>26776.911750000007</v>
      </c>
      <c r="AG11" s="15">
        <v>0</v>
      </c>
      <c r="AH11" s="15">
        <v>0</v>
      </c>
      <c r="AI11" s="15">
        <f>Valores!$B$25</f>
        <v>0</v>
      </c>
      <c r="AJ11" s="15">
        <v>0</v>
      </c>
      <c r="AK11" s="25">
        <f t="shared" si="5"/>
        <v>0</v>
      </c>
      <c r="AL11" s="17">
        <f t="shared" si="6"/>
        <v>20752.106606250007</v>
      </c>
      <c r="AM11" s="43"/>
      <c r="AN11" s="56">
        <v>33</v>
      </c>
      <c r="AO11" s="56">
        <v>22</v>
      </c>
      <c r="AP11" s="20" t="s">
        <v>486</v>
      </c>
    </row>
    <row r="12" spans="2:42" s="20" customFormat="1" ht="11.25" customHeight="1">
      <c r="B12" s="20">
        <v>12</v>
      </c>
      <c r="D12" s="20" t="s">
        <v>20</v>
      </c>
      <c r="F12" s="21" t="s">
        <v>21</v>
      </c>
      <c r="G12" s="28">
        <v>107</v>
      </c>
      <c r="H12" s="15">
        <f>G12*Valores!$B$2</f>
        <v>248.347</v>
      </c>
      <c r="I12" s="28">
        <v>3779</v>
      </c>
      <c r="J12" s="15">
        <f>I12*Valores!$B$2</f>
        <v>8771.059000000001</v>
      </c>
      <c r="K12" s="23">
        <v>219</v>
      </c>
      <c r="L12" s="15">
        <f>K12*Valores!$B$2</f>
        <v>508.29900000000004</v>
      </c>
      <c r="M12" s="23">
        <v>0</v>
      </c>
      <c r="N12" s="15">
        <f>M12*Valores!$B$2</f>
        <v>0</v>
      </c>
      <c r="O12" s="15">
        <f t="shared" si="0"/>
        <v>1429.1557500000001</v>
      </c>
      <c r="P12" s="15">
        <f t="shared" si="1"/>
        <v>0</v>
      </c>
      <c r="Q12" s="17">
        <f>Valores!$B$13</f>
        <v>1185</v>
      </c>
      <c r="R12" s="17">
        <f>Valores!$C$6</f>
        <v>1038.184</v>
      </c>
      <c r="S12" s="15">
        <v>0</v>
      </c>
      <c r="T12" s="15">
        <v>0</v>
      </c>
      <c r="U12" s="15">
        <f t="shared" si="2"/>
        <v>0</v>
      </c>
      <c r="V12" s="17">
        <f t="shared" si="7"/>
        <v>9527.705000000002</v>
      </c>
      <c r="W12" s="17">
        <f t="shared" si="8"/>
        <v>3811.082000000001</v>
      </c>
      <c r="X12" s="24">
        <v>0</v>
      </c>
      <c r="Y12" s="15">
        <f>X12*Valores!$B$2</f>
        <v>0</v>
      </c>
      <c r="Z12" s="15">
        <v>0</v>
      </c>
      <c r="AA12" s="39">
        <v>129.04</v>
      </c>
      <c r="AB12" s="15">
        <f t="shared" si="3"/>
        <v>0</v>
      </c>
      <c r="AC12" s="15">
        <v>129.04</v>
      </c>
      <c r="AD12" s="16">
        <v>0</v>
      </c>
      <c r="AE12" s="15">
        <f>AD12*Valores!$B$2</f>
        <v>0</v>
      </c>
      <c r="AF12" s="31">
        <f t="shared" si="4"/>
        <v>26776.911750000007</v>
      </c>
      <c r="AG12" s="15">
        <v>0</v>
      </c>
      <c r="AH12" s="15">
        <v>0</v>
      </c>
      <c r="AI12" s="15">
        <f>Valores!$B$25</f>
        <v>0</v>
      </c>
      <c r="AJ12" s="15">
        <v>0</v>
      </c>
      <c r="AK12" s="25">
        <f t="shared" si="5"/>
        <v>0</v>
      </c>
      <c r="AL12" s="17">
        <f t="shared" si="6"/>
        <v>20752.106606250007</v>
      </c>
      <c r="AM12" s="43"/>
      <c r="AN12" s="56">
        <v>33</v>
      </c>
      <c r="AO12" s="56">
        <v>22</v>
      </c>
      <c r="AP12" s="20" t="s">
        <v>486</v>
      </c>
    </row>
    <row r="13" spans="2:42" s="20" customFormat="1" ht="11.25" customHeight="1">
      <c r="B13" s="20">
        <v>13</v>
      </c>
      <c r="D13" s="20" t="s">
        <v>22</v>
      </c>
      <c r="F13" s="21" t="s">
        <v>23</v>
      </c>
      <c r="G13" s="28">
        <v>107</v>
      </c>
      <c r="H13" s="15">
        <f>G13*Valores!$B$2</f>
        <v>248.347</v>
      </c>
      <c r="I13" s="28">
        <v>3779</v>
      </c>
      <c r="J13" s="15">
        <f>I13*Valores!$B$2</f>
        <v>8771.059000000001</v>
      </c>
      <c r="K13" s="23">
        <v>219</v>
      </c>
      <c r="L13" s="15">
        <f>K13*Valores!$B$2</f>
        <v>508.29900000000004</v>
      </c>
      <c r="M13" s="23">
        <v>0</v>
      </c>
      <c r="N13" s="15">
        <f>M13*Valores!$B$2</f>
        <v>0</v>
      </c>
      <c r="O13" s="15">
        <f t="shared" si="0"/>
        <v>1429.1557500000001</v>
      </c>
      <c r="P13" s="15">
        <f t="shared" si="1"/>
        <v>0</v>
      </c>
      <c r="Q13" s="17">
        <f>Valores!$B$13</f>
        <v>1185</v>
      </c>
      <c r="R13" s="17">
        <f>Valores!$C$6</f>
        <v>1038.184</v>
      </c>
      <c r="S13" s="15">
        <v>0</v>
      </c>
      <c r="T13" s="15">
        <v>0</v>
      </c>
      <c r="U13" s="15">
        <f t="shared" si="2"/>
        <v>0</v>
      </c>
      <c r="V13" s="17">
        <f t="shared" si="7"/>
        <v>9527.705000000002</v>
      </c>
      <c r="W13" s="17">
        <f t="shared" si="8"/>
        <v>3811.082000000001</v>
      </c>
      <c r="X13" s="24">
        <v>0</v>
      </c>
      <c r="Y13" s="15">
        <f>X13*Valores!$B$2</f>
        <v>0</v>
      </c>
      <c r="Z13" s="15">
        <v>0</v>
      </c>
      <c r="AA13" s="39">
        <v>129.04</v>
      </c>
      <c r="AB13" s="15">
        <f t="shared" si="3"/>
        <v>0</v>
      </c>
      <c r="AC13" s="15">
        <v>129.04</v>
      </c>
      <c r="AD13" s="16">
        <v>0</v>
      </c>
      <c r="AE13" s="15">
        <f>AD13*Valores!$B$2</f>
        <v>0</v>
      </c>
      <c r="AF13" s="31">
        <f t="shared" si="4"/>
        <v>26776.911750000007</v>
      </c>
      <c r="AG13" s="15">
        <v>0</v>
      </c>
      <c r="AH13" s="15">
        <v>0</v>
      </c>
      <c r="AI13" s="15">
        <f>Valores!$B$25</f>
        <v>0</v>
      </c>
      <c r="AJ13" s="15">
        <v>0</v>
      </c>
      <c r="AK13" s="25">
        <f t="shared" si="5"/>
        <v>0</v>
      </c>
      <c r="AL13" s="17">
        <f t="shared" si="6"/>
        <v>20752.106606250007</v>
      </c>
      <c r="AM13" s="43"/>
      <c r="AN13" s="56">
        <v>33</v>
      </c>
      <c r="AO13" s="56">
        <v>22</v>
      </c>
      <c r="AP13" s="20" t="s">
        <v>486</v>
      </c>
    </row>
    <row r="14" spans="2:42" s="20" customFormat="1" ht="11.25" customHeight="1">
      <c r="B14" s="20">
        <v>14</v>
      </c>
      <c r="D14" s="20" t="s">
        <v>24</v>
      </c>
      <c r="F14" s="21" t="s">
        <v>25</v>
      </c>
      <c r="G14" s="28">
        <v>100</v>
      </c>
      <c r="H14" s="15">
        <f>G14*Valores!$B$2</f>
        <v>232.10000000000002</v>
      </c>
      <c r="I14" s="28">
        <v>3727</v>
      </c>
      <c r="J14" s="15">
        <f>I14*Valores!$B$2</f>
        <v>8650.367</v>
      </c>
      <c r="K14" s="23">
        <v>219</v>
      </c>
      <c r="L14" s="15">
        <f>K14*Valores!$B$2</f>
        <v>508.29900000000004</v>
      </c>
      <c r="M14" s="23">
        <v>0</v>
      </c>
      <c r="N14" s="15">
        <f>M14*Valores!$B$2</f>
        <v>0</v>
      </c>
      <c r="O14" s="15">
        <f t="shared" si="0"/>
        <v>1408.6149000000003</v>
      </c>
      <c r="P14" s="15">
        <f t="shared" si="1"/>
        <v>0</v>
      </c>
      <c r="Q14" s="17">
        <f>Valores!$B$13</f>
        <v>1185</v>
      </c>
      <c r="R14" s="17">
        <f>Valores!$C$6</f>
        <v>1038.184</v>
      </c>
      <c r="S14" s="15">
        <v>0</v>
      </c>
      <c r="T14" s="15">
        <v>0</v>
      </c>
      <c r="U14" s="15">
        <f t="shared" si="2"/>
        <v>0</v>
      </c>
      <c r="V14" s="17">
        <f t="shared" si="7"/>
        <v>9390.766000000001</v>
      </c>
      <c r="W14" s="17">
        <f t="shared" si="8"/>
        <v>3756.306400000001</v>
      </c>
      <c r="X14" s="24">
        <v>0</v>
      </c>
      <c r="Y14" s="15">
        <f>X14*Valores!$B$2</f>
        <v>0</v>
      </c>
      <c r="Z14" s="15">
        <v>0</v>
      </c>
      <c r="AA14" s="39">
        <v>129.04</v>
      </c>
      <c r="AB14" s="15">
        <f t="shared" si="3"/>
        <v>0</v>
      </c>
      <c r="AC14" s="15">
        <v>129.04</v>
      </c>
      <c r="AD14" s="16">
        <v>0</v>
      </c>
      <c r="AE14" s="15">
        <f>AD14*Valores!$B$2</f>
        <v>0</v>
      </c>
      <c r="AF14" s="31">
        <f t="shared" si="4"/>
        <v>26427.717300000004</v>
      </c>
      <c r="AG14" s="15">
        <v>0</v>
      </c>
      <c r="AH14" s="15">
        <v>0</v>
      </c>
      <c r="AI14" s="15">
        <f>Valores!$B$25</f>
        <v>0</v>
      </c>
      <c r="AJ14" s="15">
        <v>0</v>
      </c>
      <c r="AK14" s="25">
        <f t="shared" si="5"/>
        <v>0</v>
      </c>
      <c r="AL14" s="17">
        <f t="shared" si="6"/>
        <v>20481.480907500005</v>
      </c>
      <c r="AM14" s="43"/>
      <c r="AN14" s="56">
        <v>33</v>
      </c>
      <c r="AO14" s="56">
        <v>22</v>
      </c>
      <c r="AP14" s="20" t="s">
        <v>486</v>
      </c>
    </row>
    <row r="15" spans="2:42" s="20" customFormat="1" ht="11.25" customHeight="1" thickBot="1">
      <c r="B15" s="20">
        <v>15</v>
      </c>
      <c r="C15" s="20" t="s">
        <v>478</v>
      </c>
      <c r="D15" s="57" t="s">
        <v>26</v>
      </c>
      <c r="E15" s="57"/>
      <c r="F15" s="58" t="s">
        <v>27</v>
      </c>
      <c r="G15" s="59">
        <v>100</v>
      </c>
      <c r="H15" s="60">
        <f>G15*Valores!$B$2</f>
        <v>232.10000000000002</v>
      </c>
      <c r="I15" s="59">
        <v>3727</v>
      </c>
      <c r="J15" s="60">
        <f>I15*Valores!$B$2</f>
        <v>8650.367</v>
      </c>
      <c r="K15" s="61">
        <v>219</v>
      </c>
      <c r="L15" s="60">
        <f>K15*Valores!$B$2</f>
        <v>508.29900000000004</v>
      </c>
      <c r="M15" s="61">
        <v>0</v>
      </c>
      <c r="N15" s="60">
        <f>M15*Valores!$B$2</f>
        <v>0</v>
      </c>
      <c r="O15" s="60">
        <f t="shared" si="0"/>
        <v>1408.6149000000003</v>
      </c>
      <c r="P15" s="60">
        <f t="shared" si="1"/>
        <v>0</v>
      </c>
      <c r="Q15" s="62">
        <f>Valores!$B$13</f>
        <v>1185</v>
      </c>
      <c r="R15" s="62">
        <f>Valores!$C$6</f>
        <v>1038.184</v>
      </c>
      <c r="S15" s="60">
        <v>0</v>
      </c>
      <c r="T15" s="60">
        <v>0</v>
      </c>
      <c r="U15" s="60">
        <f t="shared" si="2"/>
        <v>0</v>
      </c>
      <c r="V15" s="62">
        <f t="shared" si="7"/>
        <v>9390.766000000001</v>
      </c>
      <c r="W15" s="62">
        <f t="shared" si="8"/>
        <v>3756.306400000001</v>
      </c>
      <c r="X15" s="63">
        <v>0</v>
      </c>
      <c r="Y15" s="60">
        <f>X15*Valores!$B$2</f>
        <v>0</v>
      </c>
      <c r="Z15" s="60">
        <v>0</v>
      </c>
      <c r="AA15" s="64">
        <v>129.04</v>
      </c>
      <c r="AB15" s="60">
        <f t="shared" si="3"/>
        <v>0</v>
      </c>
      <c r="AC15" s="60">
        <v>129.04</v>
      </c>
      <c r="AD15" s="65">
        <v>0</v>
      </c>
      <c r="AE15" s="60">
        <f>AD15*Valores!$B$2</f>
        <v>0</v>
      </c>
      <c r="AF15" s="66">
        <f t="shared" si="4"/>
        <v>26427.717300000004</v>
      </c>
      <c r="AG15" s="60">
        <v>0</v>
      </c>
      <c r="AH15" s="60">
        <v>0</v>
      </c>
      <c r="AI15" s="60">
        <f>Valores!$B$25</f>
        <v>0</v>
      </c>
      <c r="AJ15" s="60">
        <v>0</v>
      </c>
      <c r="AK15" s="60">
        <f t="shared" si="5"/>
        <v>0</v>
      </c>
      <c r="AL15" s="62">
        <f t="shared" si="6"/>
        <v>20481.480907500005</v>
      </c>
      <c r="AM15" s="68"/>
      <c r="AN15" s="69">
        <v>33</v>
      </c>
      <c r="AO15" s="69">
        <v>22</v>
      </c>
      <c r="AP15" s="20" t="s">
        <v>486</v>
      </c>
    </row>
    <row r="16" spans="2:42" s="20" customFormat="1" ht="11.25" customHeight="1" thickTop="1">
      <c r="B16" s="20">
        <v>16</v>
      </c>
      <c r="D16" s="20" t="s">
        <v>28</v>
      </c>
      <c r="F16" s="21" t="s">
        <v>29</v>
      </c>
      <c r="G16" s="28">
        <v>100</v>
      </c>
      <c r="H16" s="15">
        <f>G16*Valores!$B$2</f>
        <v>232.10000000000002</v>
      </c>
      <c r="I16" s="28">
        <v>3727</v>
      </c>
      <c r="J16" s="15">
        <f>I16*Valores!$B$2</f>
        <v>8650.367</v>
      </c>
      <c r="K16" s="23">
        <v>219</v>
      </c>
      <c r="L16" s="15">
        <f>K16*Valores!$B$2</f>
        <v>508.29900000000004</v>
      </c>
      <c r="M16" s="23">
        <v>0</v>
      </c>
      <c r="N16" s="15">
        <f>M16*Valores!$B$2</f>
        <v>0</v>
      </c>
      <c r="O16" s="15">
        <f t="shared" si="0"/>
        <v>1408.6149000000003</v>
      </c>
      <c r="P16" s="15">
        <f t="shared" si="1"/>
        <v>0</v>
      </c>
      <c r="Q16" s="17">
        <f>Valores!$B$13</f>
        <v>1185</v>
      </c>
      <c r="R16" s="17">
        <f>Valores!$C$6</f>
        <v>1038.184</v>
      </c>
      <c r="S16" s="15">
        <v>0</v>
      </c>
      <c r="T16" s="15">
        <v>0</v>
      </c>
      <c r="U16" s="15">
        <f t="shared" si="2"/>
        <v>0</v>
      </c>
      <c r="V16" s="17">
        <f t="shared" si="7"/>
        <v>9390.766000000001</v>
      </c>
      <c r="W16" s="17">
        <f t="shared" si="8"/>
        <v>3756.306400000001</v>
      </c>
      <c r="X16" s="24">
        <v>0</v>
      </c>
      <c r="Y16" s="15">
        <f>X16*Valores!$B$2</f>
        <v>0</v>
      </c>
      <c r="Z16" s="15">
        <v>0</v>
      </c>
      <c r="AA16" s="39">
        <v>129.04</v>
      </c>
      <c r="AB16" s="15">
        <f t="shared" si="3"/>
        <v>0</v>
      </c>
      <c r="AC16" s="15">
        <v>129.04</v>
      </c>
      <c r="AD16" s="16">
        <v>0</v>
      </c>
      <c r="AE16" s="15">
        <f>AD16*Valores!$B$2</f>
        <v>0</v>
      </c>
      <c r="AF16" s="31">
        <f t="shared" si="4"/>
        <v>26427.717300000004</v>
      </c>
      <c r="AG16" s="15">
        <v>0</v>
      </c>
      <c r="AH16" s="15">
        <v>0</v>
      </c>
      <c r="AI16" s="15">
        <f>Valores!$B$25</f>
        <v>0</v>
      </c>
      <c r="AJ16" s="15">
        <v>0</v>
      </c>
      <c r="AK16" s="25">
        <f t="shared" si="5"/>
        <v>0</v>
      </c>
      <c r="AL16" s="17">
        <f t="shared" si="6"/>
        <v>20481.480907500005</v>
      </c>
      <c r="AM16" s="43"/>
      <c r="AN16" s="56"/>
      <c r="AO16" s="56">
        <v>22</v>
      </c>
      <c r="AP16" s="20" t="s">
        <v>486</v>
      </c>
    </row>
    <row r="17" spans="2:42" s="20" customFormat="1" ht="11.25" customHeight="1">
      <c r="B17" s="20">
        <v>17</v>
      </c>
      <c r="D17" s="20" t="s">
        <v>30</v>
      </c>
      <c r="F17" s="21" t="s">
        <v>31</v>
      </c>
      <c r="G17" s="28">
        <v>100</v>
      </c>
      <c r="H17" s="15">
        <f>G17*Valores!$B$2</f>
        <v>232.10000000000002</v>
      </c>
      <c r="I17" s="28">
        <v>3727</v>
      </c>
      <c r="J17" s="15">
        <f>I17*Valores!$B$2</f>
        <v>8650.367</v>
      </c>
      <c r="K17" s="23">
        <v>219</v>
      </c>
      <c r="L17" s="15">
        <f>K17*Valores!$B$2</f>
        <v>508.29900000000004</v>
      </c>
      <c r="M17" s="23">
        <v>0</v>
      </c>
      <c r="N17" s="15">
        <f>M17*Valores!$B$2</f>
        <v>0</v>
      </c>
      <c r="O17" s="15">
        <f t="shared" si="0"/>
        <v>1408.6149000000003</v>
      </c>
      <c r="P17" s="15">
        <f t="shared" si="1"/>
        <v>0</v>
      </c>
      <c r="Q17" s="17">
        <f>Valores!$B$13</f>
        <v>1185</v>
      </c>
      <c r="R17" s="17">
        <f>Valores!$C$6</f>
        <v>1038.184</v>
      </c>
      <c r="S17" s="15">
        <v>0</v>
      </c>
      <c r="T17" s="15">
        <v>0</v>
      </c>
      <c r="U17" s="15">
        <f t="shared" si="2"/>
        <v>0</v>
      </c>
      <c r="V17" s="17">
        <f t="shared" si="7"/>
        <v>9390.766000000001</v>
      </c>
      <c r="W17" s="17">
        <f t="shared" si="8"/>
        <v>3756.306400000001</v>
      </c>
      <c r="X17" s="24">
        <v>0</v>
      </c>
      <c r="Y17" s="15">
        <f>X17*Valores!$B$2</f>
        <v>0</v>
      </c>
      <c r="Z17" s="15">
        <v>0</v>
      </c>
      <c r="AA17" s="39">
        <v>129.04</v>
      </c>
      <c r="AB17" s="15">
        <f t="shared" si="3"/>
        <v>0</v>
      </c>
      <c r="AC17" s="15">
        <v>129.04</v>
      </c>
      <c r="AD17" s="16">
        <v>0</v>
      </c>
      <c r="AE17" s="15">
        <f>AD17*Valores!$B$2</f>
        <v>0</v>
      </c>
      <c r="AF17" s="31">
        <f t="shared" si="4"/>
        <v>26427.717300000004</v>
      </c>
      <c r="AG17" s="15">
        <v>0</v>
      </c>
      <c r="AH17" s="15">
        <v>0</v>
      </c>
      <c r="AI17" s="15">
        <f>Valores!$B$25</f>
        <v>0</v>
      </c>
      <c r="AJ17" s="15">
        <v>0</v>
      </c>
      <c r="AK17" s="25">
        <f t="shared" si="5"/>
        <v>0</v>
      </c>
      <c r="AL17" s="17">
        <f t="shared" si="6"/>
        <v>20481.480907500005</v>
      </c>
      <c r="AM17" s="43"/>
      <c r="AN17" s="56"/>
      <c r="AO17" s="56">
        <v>22</v>
      </c>
      <c r="AP17" s="20" t="s">
        <v>486</v>
      </c>
    </row>
    <row r="18" spans="2:42" s="20" customFormat="1" ht="11.25" customHeight="1">
      <c r="B18" s="20">
        <v>18</v>
      </c>
      <c r="D18" s="20" t="s">
        <v>32</v>
      </c>
      <c r="F18" s="21" t="s">
        <v>33</v>
      </c>
      <c r="G18" s="28">
        <v>100</v>
      </c>
      <c r="H18" s="15">
        <f>G18*Valores!$B$2</f>
        <v>232.10000000000002</v>
      </c>
      <c r="I18" s="28">
        <v>3727</v>
      </c>
      <c r="J18" s="15">
        <f>I18*Valores!$B$2</f>
        <v>8650.367</v>
      </c>
      <c r="K18" s="23">
        <v>219</v>
      </c>
      <c r="L18" s="15">
        <f>K18*Valores!$B$2</f>
        <v>508.29900000000004</v>
      </c>
      <c r="M18" s="23">
        <v>0</v>
      </c>
      <c r="N18" s="15">
        <f>M18*Valores!$B$2</f>
        <v>0</v>
      </c>
      <c r="O18" s="15">
        <f t="shared" si="0"/>
        <v>1408.6149000000003</v>
      </c>
      <c r="P18" s="15">
        <f t="shared" si="1"/>
        <v>0</v>
      </c>
      <c r="Q18" s="17">
        <f>Valores!$B$13</f>
        <v>1185</v>
      </c>
      <c r="R18" s="17">
        <f>Valores!$C$6</f>
        <v>1038.184</v>
      </c>
      <c r="S18" s="15">
        <v>0</v>
      </c>
      <c r="T18" s="15">
        <v>0</v>
      </c>
      <c r="U18" s="15">
        <f t="shared" si="2"/>
        <v>0</v>
      </c>
      <c r="V18" s="17">
        <f t="shared" si="7"/>
        <v>9390.766000000001</v>
      </c>
      <c r="W18" s="17">
        <f t="shared" si="8"/>
        <v>3756.306400000001</v>
      </c>
      <c r="X18" s="24">
        <v>0</v>
      </c>
      <c r="Y18" s="15">
        <f>X18*Valores!$B$2</f>
        <v>0</v>
      </c>
      <c r="Z18" s="15">
        <v>0</v>
      </c>
      <c r="AA18" s="39">
        <v>129.04</v>
      </c>
      <c r="AB18" s="15">
        <f t="shared" si="3"/>
        <v>0</v>
      </c>
      <c r="AC18" s="15">
        <v>129.04</v>
      </c>
      <c r="AD18" s="16">
        <v>0</v>
      </c>
      <c r="AE18" s="15">
        <f>AD18*Valores!$B$2</f>
        <v>0</v>
      </c>
      <c r="AF18" s="31">
        <f t="shared" si="4"/>
        <v>26427.717300000004</v>
      </c>
      <c r="AG18" s="15">
        <v>0</v>
      </c>
      <c r="AH18" s="15">
        <v>0</v>
      </c>
      <c r="AI18" s="15">
        <f>Valores!$B$25</f>
        <v>0</v>
      </c>
      <c r="AJ18" s="15">
        <v>0</v>
      </c>
      <c r="AK18" s="25">
        <f t="shared" si="5"/>
        <v>0</v>
      </c>
      <c r="AL18" s="17">
        <f t="shared" si="6"/>
        <v>20481.480907500005</v>
      </c>
      <c r="AM18" s="43"/>
      <c r="AN18" s="56"/>
      <c r="AO18" s="56">
        <v>22</v>
      </c>
      <c r="AP18" s="20" t="s">
        <v>486</v>
      </c>
    </row>
    <row r="19" spans="2:42" s="20" customFormat="1" ht="11.25" customHeight="1">
      <c r="B19" s="20">
        <v>19</v>
      </c>
      <c r="D19" s="20" t="s">
        <v>34</v>
      </c>
      <c r="F19" s="21" t="s">
        <v>35</v>
      </c>
      <c r="G19" s="28">
        <v>107</v>
      </c>
      <c r="H19" s="15">
        <f>G19*Valores!$B$2</f>
        <v>248.347</v>
      </c>
      <c r="I19" s="28">
        <v>3720</v>
      </c>
      <c r="J19" s="15">
        <f>I19*Valores!$B$2</f>
        <v>8634.12</v>
      </c>
      <c r="K19" s="23">
        <v>1226</v>
      </c>
      <c r="L19" s="15">
        <f>K19*Valores!$B$2</f>
        <v>2845.5460000000003</v>
      </c>
      <c r="M19" s="23">
        <v>0</v>
      </c>
      <c r="N19" s="15">
        <f>M19*Valores!$B$2</f>
        <v>0</v>
      </c>
      <c r="O19" s="15">
        <f t="shared" si="0"/>
        <v>1872.4519500000001</v>
      </c>
      <c r="P19" s="15">
        <f t="shared" si="1"/>
        <v>0</v>
      </c>
      <c r="Q19" s="17">
        <f>Valores!$B$17</f>
        <v>1335</v>
      </c>
      <c r="R19" s="17">
        <f>Valores!$C$6</f>
        <v>1038.184</v>
      </c>
      <c r="S19" s="15">
        <v>0</v>
      </c>
      <c r="T19" s="15">
        <f>Valores!$B$20</f>
        <v>755</v>
      </c>
      <c r="U19" s="15">
        <f t="shared" si="2"/>
        <v>755</v>
      </c>
      <c r="V19" s="15">
        <v>0</v>
      </c>
      <c r="W19" s="15">
        <v>0</v>
      </c>
      <c r="X19" s="24">
        <v>0</v>
      </c>
      <c r="Y19" s="15">
        <f>X19*Valores!$B$2</f>
        <v>0</v>
      </c>
      <c r="Z19" s="15">
        <v>0</v>
      </c>
      <c r="AA19" s="39">
        <v>129.04</v>
      </c>
      <c r="AB19" s="15">
        <f t="shared" si="3"/>
        <v>0</v>
      </c>
      <c r="AC19" s="15">
        <v>129.04</v>
      </c>
      <c r="AD19" s="16">
        <v>0</v>
      </c>
      <c r="AE19" s="15">
        <f>AD19*Valores!$B$2</f>
        <v>0</v>
      </c>
      <c r="AF19" s="31">
        <f t="shared" si="4"/>
        <v>16986.728950000004</v>
      </c>
      <c r="AG19" s="15">
        <v>0</v>
      </c>
      <c r="AH19" s="15">
        <v>0</v>
      </c>
      <c r="AI19" s="15">
        <f>Valores!$B$25</f>
        <v>0</v>
      </c>
      <c r="AJ19" s="15">
        <v>0</v>
      </c>
      <c r="AK19" s="25">
        <f t="shared" si="5"/>
        <v>0</v>
      </c>
      <c r="AL19" s="17">
        <f t="shared" si="6"/>
        <v>13164.714936250004</v>
      </c>
      <c r="AM19" s="43"/>
      <c r="AN19" s="56"/>
      <c r="AO19" s="56">
        <v>22</v>
      </c>
      <c r="AP19" s="20" t="s">
        <v>487</v>
      </c>
    </row>
    <row r="20" spans="2:42" s="20" customFormat="1" ht="11.25" customHeight="1" thickBot="1">
      <c r="B20" s="20">
        <v>20</v>
      </c>
      <c r="C20" s="20" t="s">
        <v>478</v>
      </c>
      <c r="D20" s="57" t="s">
        <v>36</v>
      </c>
      <c r="E20" s="57"/>
      <c r="F20" s="58" t="s">
        <v>37</v>
      </c>
      <c r="G20" s="59">
        <v>100</v>
      </c>
      <c r="H20" s="60">
        <f>G20*Valores!$B$2</f>
        <v>232.10000000000002</v>
      </c>
      <c r="I20" s="59">
        <v>3727</v>
      </c>
      <c r="J20" s="60">
        <f>I20*Valores!$B$2</f>
        <v>8650.367</v>
      </c>
      <c r="K20" s="61">
        <v>219</v>
      </c>
      <c r="L20" s="60">
        <f>K20*Valores!$B$2</f>
        <v>508.29900000000004</v>
      </c>
      <c r="M20" s="61">
        <v>0</v>
      </c>
      <c r="N20" s="60">
        <f>M20*Valores!$B$2</f>
        <v>0</v>
      </c>
      <c r="O20" s="60">
        <f t="shared" si="0"/>
        <v>1408.6149000000003</v>
      </c>
      <c r="P20" s="60">
        <f t="shared" si="1"/>
        <v>0</v>
      </c>
      <c r="Q20" s="62">
        <f>Valores!$B$13</f>
        <v>1185</v>
      </c>
      <c r="R20" s="62">
        <f>Valores!$C$6</f>
        <v>1038.184</v>
      </c>
      <c r="S20" s="60">
        <v>0</v>
      </c>
      <c r="T20" s="60">
        <v>0</v>
      </c>
      <c r="U20" s="60">
        <f t="shared" si="2"/>
        <v>0</v>
      </c>
      <c r="V20" s="62">
        <f>SUM(H20,J20,L20)</f>
        <v>9390.766000000001</v>
      </c>
      <c r="W20" s="62">
        <f>SUM(H20,J20,L20)*0.4</f>
        <v>3756.306400000001</v>
      </c>
      <c r="X20" s="63">
        <v>0</v>
      </c>
      <c r="Y20" s="60">
        <f>X20*Valores!$B$2</f>
        <v>0</v>
      </c>
      <c r="Z20" s="60">
        <v>0</v>
      </c>
      <c r="AA20" s="64">
        <v>129.04</v>
      </c>
      <c r="AB20" s="60">
        <f t="shared" si="3"/>
        <v>0</v>
      </c>
      <c r="AC20" s="60">
        <v>129.04</v>
      </c>
      <c r="AD20" s="65">
        <v>0</v>
      </c>
      <c r="AE20" s="60">
        <f>AD20*Valores!$B$2</f>
        <v>0</v>
      </c>
      <c r="AF20" s="66">
        <f t="shared" si="4"/>
        <v>26427.717300000004</v>
      </c>
      <c r="AG20" s="60">
        <v>0</v>
      </c>
      <c r="AH20" s="60">
        <v>0</v>
      </c>
      <c r="AI20" s="60">
        <f>Valores!$B$25</f>
        <v>0</v>
      </c>
      <c r="AJ20" s="60">
        <v>0</v>
      </c>
      <c r="AK20" s="67">
        <f t="shared" si="5"/>
        <v>0</v>
      </c>
      <c r="AL20" s="62">
        <f t="shared" si="6"/>
        <v>20481.480907500005</v>
      </c>
      <c r="AM20" s="68"/>
      <c r="AN20" s="69"/>
      <c r="AO20" s="69">
        <v>22</v>
      </c>
      <c r="AP20" s="20" t="s">
        <v>486</v>
      </c>
    </row>
    <row r="21" spans="2:42" s="20" customFormat="1" ht="11.25" customHeight="1" thickTop="1">
      <c r="B21" s="20">
        <v>21</v>
      </c>
      <c r="D21" s="20" t="s">
        <v>38</v>
      </c>
      <c r="F21" s="21" t="s">
        <v>39</v>
      </c>
      <c r="G21" s="28">
        <v>100</v>
      </c>
      <c r="H21" s="15">
        <f>G21*Valores!$B$2</f>
        <v>232.10000000000002</v>
      </c>
      <c r="I21" s="28">
        <v>3727</v>
      </c>
      <c r="J21" s="15">
        <f>I21*Valores!$B$2</f>
        <v>8650.367</v>
      </c>
      <c r="K21" s="23">
        <v>219</v>
      </c>
      <c r="L21" s="15">
        <f>K21*Valores!$B$2</f>
        <v>508.29900000000004</v>
      </c>
      <c r="M21" s="23">
        <v>0</v>
      </c>
      <c r="N21" s="15">
        <f>M21*Valores!$B$2</f>
        <v>0</v>
      </c>
      <c r="O21" s="15">
        <f t="shared" si="0"/>
        <v>1408.6149000000003</v>
      </c>
      <c r="P21" s="15">
        <f t="shared" si="1"/>
        <v>0</v>
      </c>
      <c r="Q21" s="17">
        <f>Valores!$B$13</f>
        <v>1185</v>
      </c>
      <c r="R21" s="17">
        <f>Valores!$C$6</f>
        <v>1038.184</v>
      </c>
      <c r="S21" s="15">
        <v>0</v>
      </c>
      <c r="T21" s="15">
        <v>0</v>
      </c>
      <c r="U21" s="15">
        <f t="shared" si="2"/>
        <v>0</v>
      </c>
      <c r="V21" s="17">
        <f>SUM(H21,J21,L21)</f>
        <v>9390.766000000001</v>
      </c>
      <c r="W21" s="17">
        <f>SUM(H21,J21,L21)*0.4</f>
        <v>3756.306400000001</v>
      </c>
      <c r="X21" s="24">
        <v>0</v>
      </c>
      <c r="Y21" s="15">
        <f>X21*Valores!$B$2</f>
        <v>0</v>
      </c>
      <c r="Z21" s="15">
        <v>0</v>
      </c>
      <c r="AA21" s="39">
        <v>129.04</v>
      </c>
      <c r="AB21" s="15">
        <f t="shared" si="3"/>
        <v>0</v>
      </c>
      <c r="AC21" s="15">
        <v>129.04</v>
      </c>
      <c r="AD21" s="16">
        <v>0</v>
      </c>
      <c r="AE21" s="15">
        <f>AD21*Valores!$B$2</f>
        <v>0</v>
      </c>
      <c r="AF21" s="31">
        <f t="shared" si="4"/>
        <v>26427.717300000004</v>
      </c>
      <c r="AG21" s="15">
        <v>0</v>
      </c>
      <c r="AH21" s="15">
        <v>0</v>
      </c>
      <c r="AI21" s="15">
        <f>Valores!$B$25</f>
        <v>0</v>
      </c>
      <c r="AJ21" s="15">
        <v>0</v>
      </c>
      <c r="AK21" s="25">
        <f t="shared" si="5"/>
        <v>0</v>
      </c>
      <c r="AL21" s="17">
        <f t="shared" si="6"/>
        <v>20481.480907500005</v>
      </c>
      <c r="AM21" s="43"/>
      <c r="AN21" s="56"/>
      <c r="AO21" s="56">
        <v>22</v>
      </c>
      <c r="AP21" s="20" t="s">
        <v>486</v>
      </c>
    </row>
    <row r="22" spans="2:42" s="20" customFormat="1" ht="11.25" customHeight="1">
      <c r="B22" s="20">
        <v>22</v>
      </c>
      <c r="D22" s="20" t="s">
        <v>40</v>
      </c>
      <c r="F22" s="21" t="s">
        <v>41</v>
      </c>
      <c r="G22" s="28">
        <v>100</v>
      </c>
      <c r="H22" s="15">
        <f>G22*Valores!$B$2</f>
        <v>232.10000000000002</v>
      </c>
      <c r="I22" s="28">
        <v>3727</v>
      </c>
      <c r="J22" s="15">
        <f>I22*Valores!$B$2</f>
        <v>8650.367</v>
      </c>
      <c r="K22" s="23">
        <v>219</v>
      </c>
      <c r="L22" s="15">
        <f>K22*Valores!$B$2</f>
        <v>508.29900000000004</v>
      </c>
      <c r="M22" s="23">
        <v>0</v>
      </c>
      <c r="N22" s="15">
        <f>M22*Valores!$B$2</f>
        <v>0</v>
      </c>
      <c r="O22" s="15">
        <f t="shared" si="0"/>
        <v>1408.6149000000003</v>
      </c>
      <c r="P22" s="15">
        <f t="shared" si="1"/>
        <v>0</v>
      </c>
      <c r="Q22" s="17">
        <f>Valores!$B$13</f>
        <v>1185</v>
      </c>
      <c r="R22" s="17">
        <f>Valores!$C$6</f>
        <v>1038.184</v>
      </c>
      <c r="S22" s="15">
        <v>0</v>
      </c>
      <c r="T22" s="15">
        <v>0</v>
      </c>
      <c r="U22" s="15">
        <f t="shared" si="2"/>
        <v>0</v>
      </c>
      <c r="V22" s="17">
        <f>SUM(H22,J22,L22)</f>
        <v>9390.766000000001</v>
      </c>
      <c r="W22" s="17">
        <f>SUM(H22,J22,L22)*0.4</f>
        <v>3756.306400000001</v>
      </c>
      <c r="X22" s="24">
        <v>0</v>
      </c>
      <c r="Y22" s="15">
        <f>X22*Valores!$B$2</f>
        <v>0</v>
      </c>
      <c r="Z22" s="15">
        <v>0</v>
      </c>
      <c r="AA22" s="39">
        <v>129.04</v>
      </c>
      <c r="AB22" s="15">
        <f t="shared" si="3"/>
        <v>0</v>
      </c>
      <c r="AC22" s="15">
        <v>129.04</v>
      </c>
      <c r="AD22" s="16">
        <v>0</v>
      </c>
      <c r="AE22" s="15">
        <f>AD22*Valores!$B$2</f>
        <v>0</v>
      </c>
      <c r="AF22" s="31">
        <f t="shared" si="4"/>
        <v>26427.717300000004</v>
      </c>
      <c r="AG22" s="15">
        <v>0</v>
      </c>
      <c r="AH22" s="15">
        <v>0</v>
      </c>
      <c r="AI22" s="15">
        <f>Valores!$B$25</f>
        <v>0</v>
      </c>
      <c r="AJ22" s="15">
        <v>0</v>
      </c>
      <c r="AK22" s="25">
        <f t="shared" si="5"/>
        <v>0</v>
      </c>
      <c r="AL22" s="17">
        <f t="shared" si="6"/>
        <v>20481.480907500005</v>
      </c>
      <c r="AM22" s="43"/>
      <c r="AN22" s="56"/>
      <c r="AO22" s="56">
        <v>22</v>
      </c>
      <c r="AP22" s="20" t="s">
        <v>486</v>
      </c>
    </row>
    <row r="23" spans="2:42" s="20" customFormat="1" ht="11.25" customHeight="1">
      <c r="B23" s="20">
        <v>23</v>
      </c>
      <c r="D23" s="20" t="s">
        <v>42</v>
      </c>
      <c r="F23" s="21" t="s">
        <v>43</v>
      </c>
      <c r="G23" s="28">
        <v>96</v>
      </c>
      <c r="H23" s="15">
        <f>G23*Valores!$B$2</f>
        <v>222.81600000000003</v>
      </c>
      <c r="I23" s="28">
        <v>3737</v>
      </c>
      <c r="J23" s="15">
        <f>I23*Valores!$B$2</f>
        <v>8673.577000000001</v>
      </c>
      <c r="K23" s="23">
        <v>1220</v>
      </c>
      <c r="L23" s="15">
        <f>K23*Valores!$B$2</f>
        <v>2831.6200000000003</v>
      </c>
      <c r="M23" s="23">
        <v>0</v>
      </c>
      <c r="N23" s="15">
        <f>M23*Valores!$B$2</f>
        <v>0</v>
      </c>
      <c r="O23" s="15">
        <f t="shared" si="0"/>
        <v>1872.4519500000004</v>
      </c>
      <c r="P23" s="15">
        <f t="shared" si="1"/>
        <v>0</v>
      </c>
      <c r="Q23" s="17">
        <f>Valores!$B$17</f>
        <v>1335</v>
      </c>
      <c r="R23" s="17">
        <f>Valores!$C$6</f>
        <v>1038.184</v>
      </c>
      <c r="S23" s="15">
        <v>0</v>
      </c>
      <c r="T23" s="15">
        <f>Valores!$B$20</f>
        <v>755</v>
      </c>
      <c r="U23" s="15">
        <f t="shared" si="2"/>
        <v>755</v>
      </c>
      <c r="V23" s="15">
        <v>0</v>
      </c>
      <c r="W23" s="15">
        <v>0</v>
      </c>
      <c r="X23" s="24">
        <v>0</v>
      </c>
      <c r="Y23" s="15">
        <f>X23*Valores!$B$2</f>
        <v>0</v>
      </c>
      <c r="Z23" s="15">
        <v>0</v>
      </c>
      <c r="AA23" s="39">
        <v>129.04</v>
      </c>
      <c r="AB23" s="15">
        <f t="shared" si="3"/>
        <v>0</v>
      </c>
      <c r="AC23" s="15">
        <v>129.04</v>
      </c>
      <c r="AD23" s="16">
        <v>0</v>
      </c>
      <c r="AE23" s="15">
        <f>AD23*Valores!$B$2</f>
        <v>0</v>
      </c>
      <c r="AF23" s="31">
        <f t="shared" si="4"/>
        <v>16986.728950000004</v>
      </c>
      <c r="AG23" s="15">
        <v>0</v>
      </c>
      <c r="AH23" s="15">
        <v>0</v>
      </c>
      <c r="AI23" s="15">
        <f>Valores!$B$25</f>
        <v>0</v>
      </c>
      <c r="AJ23" s="15">
        <v>0</v>
      </c>
      <c r="AK23" s="25">
        <f t="shared" si="5"/>
        <v>0</v>
      </c>
      <c r="AL23" s="17">
        <f t="shared" si="6"/>
        <v>13164.714936250004</v>
      </c>
      <c r="AM23" s="43"/>
      <c r="AN23" s="56"/>
      <c r="AO23" s="56">
        <v>22</v>
      </c>
      <c r="AP23" s="20" t="s">
        <v>487</v>
      </c>
    </row>
    <row r="24" spans="2:42" s="20" customFormat="1" ht="11.25" customHeight="1">
      <c r="B24" s="20">
        <v>24</v>
      </c>
      <c r="D24" s="20" t="s">
        <v>396</v>
      </c>
      <c r="F24" s="21" t="s">
        <v>397</v>
      </c>
      <c r="G24" s="28">
        <v>96</v>
      </c>
      <c r="H24" s="15">
        <f>G24*Valores!$B$2</f>
        <v>222.81600000000003</v>
      </c>
      <c r="I24" s="28">
        <v>3737</v>
      </c>
      <c r="J24" s="15">
        <f>I24*Valores!$B$2</f>
        <v>8673.577000000001</v>
      </c>
      <c r="K24" s="23">
        <v>1220</v>
      </c>
      <c r="L24" s="15">
        <f>K24*Valores!$B$2</f>
        <v>2831.6200000000003</v>
      </c>
      <c r="M24" s="23">
        <v>0</v>
      </c>
      <c r="N24" s="15">
        <f>M24*Valores!$B$2</f>
        <v>0</v>
      </c>
      <c r="O24" s="15">
        <f t="shared" si="0"/>
        <v>1872.4519500000004</v>
      </c>
      <c r="P24" s="15">
        <f t="shared" si="1"/>
        <v>0</v>
      </c>
      <c r="Q24" s="17">
        <f>Valores!$B$17</f>
        <v>1335</v>
      </c>
      <c r="R24" s="17">
        <f>Valores!$C$6</f>
        <v>1038.184</v>
      </c>
      <c r="S24" s="15">
        <v>0</v>
      </c>
      <c r="T24" s="15">
        <f>Valores!$B$20</f>
        <v>755</v>
      </c>
      <c r="U24" s="15">
        <f t="shared" si="2"/>
        <v>755</v>
      </c>
      <c r="V24" s="15">
        <v>0</v>
      </c>
      <c r="W24" s="15">
        <v>0</v>
      </c>
      <c r="X24" s="24">
        <v>0</v>
      </c>
      <c r="Y24" s="15">
        <f>X24*Valores!$B$2</f>
        <v>0</v>
      </c>
      <c r="Z24" s="15">
        <v>0</v>
      </c>
      <c r="AA24" s="39">
        <v>129.04</v>
      </c>
      <c r="AB24" s="15">
        <f t="shared" si="3"/>
        <v>0</v>
      </c>
      <c r="AC24" s="15">
        <v>129.04</v>
      </c>
      <c r="AD24" s="16">
        <v>0</v>
      </c>
      <c r="AE24" s="15">
        <f>AD24*Valores!$B$2</f>
        <v>0</v>
      </c>
      <c r="AF24" s="31">
        <f t="shared" si="4"/>
        <v>16986.728950000004</v>
      </c>
      <c r="AG24" s="15">
        <v>0</v>
      </c>
      <c r="AH24" s="15">
        <v>0</v>
      </c>
      <c r="AI24" s="15">
        <f>Valores!$B$25</f>
        <v>0</v>
      </c>
      <c r="AJ24" s="15">
        <v>0</v>
      </c>
      <c r="AK24" s="25">
        <f t="shared" si="5"/>
        <v>0</v>
      </c>
      <c r="AL24" s="17">
        <f t="shared" si="6"/>
        <v>13164.714936250004</v>
      </c>
      <c r="AM24" s="43"/>
      <c r="AN24" s="56"/>
      <c r="AO24" s="56">
        <v>22</v>
      </c>
      <c r="AP24" s="20" t="s">
        <v>487</v>
      </c>
    </row>
    <row r="25" spans="2:42" s="20" customFormat="1" ht="11.25" customHeight="1" thickBot="1">
      <c r="B25" s="20">
        <v>25</v>
      </c>
      <c r="C25" s="20" t="s">
        <v>478</v>
      </c>
      <c r="D25" s="57" t="s">
        <v>44</v>
      </c>
      <c r="E25" s="57"/>
      <c r="F25" s="58" t="s">
        <v>45</v>
      </c>
      <c r="G25" s="59">
        <v>96</v>
      </c>
      <c r="H25" s="60">
        <f>G25*Valores!$B$2</f>
        <v>222.81600000000003</v>
      </c>
      <c r="I25" s="59">
        <v>3737</v>
      </c>
      <c r="J25" s="60">
        <f>I25*Valores!$B$2</f>
        <v>8673.577000000001</v>
      </c>
      <c r="K25" s="61">
        <v>1220</v>
      </c>
      <c r="L25" s="60">
        <f>K25*Valores!$B$2</f>
        <v>2831.6200000000003</v>
      </c>
      <c r="M25" s="61">
        <v>0</v>
      </c>
      <c r="N25" s="60">
        <f>M25*Valores!$B$2</f>
        <v>0</v>
      </c>
      <c r="O25" s="60">
        <f t="shared" si="0"/>
        <v>1872.4519500000004</v>
      </c>
      <c r="P25" s="60">
        <f t="shared" si="1"/>
        <v>0</v>
      </c>
      <c r="Q25" s="62">
        <f>Valores!$B$17</f>
        <v>1335</v>
      </c>
      <c r="R25" s="62">
        <f>Valores!$C$6</f>
        <v>1038.184</v>
      </c>
      <c r="S25" s="60">
        <v>0</v>
      </c>
      <c r="T25" s="60">
        <f>Valores!$B$20</f>
        <v>755</v>
      </c>
      <c r="U25" s="60">
        <f t="shared" si="2"/>
        <v>755</v>
      </c>
      <c r="V25" s="60">
        <v>0</v>
      </c>
      <c r="W25" s="60">
        <v>0</v>
      </c>
      <c r="X25" s="63">
        <v>0</v>
      </c>
      <c r="Y25" s="60">
        <f>X25*Valores!$B$2</f>
        <v>0</v>
      </c>
      <c r="Z25" s="60">
        <v>0</v>
      </c>
      <c r="AA25" s="64">
        <v>129.04</v>
      </c>
      <c r="AB25" s="60">
        <f t="shared" si="3"/>
        <v>0</v>
      </c>
      <c r="AC25" s="60">
        <v>129.04</v>
      </c>
      <c r="AD25" s="65">
        <v>0</v>
      </c>
      <c r="AE25" s="60">
        <f>AD25*Valores!$B$2</f>
        <v>0</v>
      </c>
      <c r="AF25" s="66">
        <f t="shared" si="4"/>
        <v>16986.728950000004</v>
      </c>
      <c r="AG25" s="60">
        <v>0</v>
      </c>
      <c r="AH25" s="60">
        <v>0</v>
      </c>
      <c r="AI25" s="60">
        <f>Valores!$B$25</f>
        <v>0</v>
      </c>
      <c r="AJ25" s="60">
        <v>0</v>
      </c>
      <c r="AK25" s="67">
        <f t="shared" si="5"/>
        <v>0</v>
      </c>
      <c r="AL25" s="62">
        <f t="shared" si="6"/>
        <v>13164.714936250004</v>
      </c>
      <c r="AM25" s="68"/>
      <c r="AN25" s="69"/>
      <c r="AO25" s="69">
        <v>22</v>
      </c>
      <c r="AP25" s="20" t="s">
        <v>487</v>
      </c>
    </row>
    <row r="26" spans="2:42" s="20" customFormat="1" ht="11.25" customHeight="1" thickTop="1">
      <c r="B26" s="20">
        <v>26</v>
      </c>
      <c r="D26" s="20" t="s">
        <v>46</v>
      </c>
      <c r="F26" s="21" t="s">
        <v>47</v>
      </c>
      <c r="G26" s="28">
        <v>107</v>
      </c>
      <c r="H26" s="15">
        <f>G26*Valores!$B$2</f>
        <v>248.347</v>
      </c>
      <c r="I26" s="28">
        <v>3728</v>
      </c>
      <c r="J26" s="15">
        <f>I26*Valores!$B$2</f>
        <v>8652.688</v>
      </c>
      <c r="K26" s="23">
        <v>1218</v>
      </c>
      <c r="L26" s="15">
        <f>K26*Valores!$B$2</f>
        <v>2826.978</v>
      </c>
      <c r="M26" s="23">
        <v>0</v>
      </c>
      <c r="N26" s="15">
        <f>M26*Valores!$B$2</f>
        <v>0</v>
      </c>
      <c r="O26" s="15">
        <f t="shared" si="0"/>
        <v>1872.4519499999997</v>
      </c>
      <c r="P26" s="15">
        <f t="shared" si="1"/>
        <v>0</v>
      </c>
      <c r="Q26" s="17">
        <f>Valores!$B$17</f>
        <v>1335</v>
      </c>
      <c r="R26" s="17">
        <f>Valores!$C$6</f>
        <v>1038.184</v>
      </c>
      <c r="S26" s="15">
        <v>0</v>
      </c>
      <c r="T26" s="15">
        <f>Valores!$B$20</f>
        <v>755</v>
      </c>
      <c r="U26" s="15">
        <f t="shared" si="2"/>
        <v>755</v>
      </c>
      <c r="V26" s="15">
        <v>0</v>
      </c>
      <c r="W26" s="15">
        <v>0</v>
      </c>
      <c r="X26" s="24">
        <v>0</v>
      </c>
      <c r="Y26" s="15">
        <f>X26*Valores!$B$2</f>
        <v>0</v>
      </c>
      <c r="Z26" s="15">
        <v>0</v>
      </c>
      <c r="AA26" s="39">
        <v>129.04</v>
      </c>
      <c r="AB26" s="15">
        <f t="shared" si="3"/>
        <v>0</v>
      </c>
      <c r="AC26" s="15">
        <v>129.04</v>
      </c>
      <c r="AD26" s="16">
        <v>0</v>
      </c>
      <c r="AE26" s="15">
        <f>AD26*Valores!$B$2</f>
        <v>0</v>
      </c>
      <c r="AF26" s="31">
        <f t="shared" si="4"/>
        <v>16986.728949999997</v>
      </c>
      <c r="AG26" s="15">
        <v>0</v>
      </c>
      <c r="AH26" s="15">
        <v>0</v>
      </c>
      <c r="AI26" s="15">
        <f>Valores!$B$25</f>
        <v>0</v>
      </c>
      <c r="AJ26" s="15">
        <v>0</v>
      </c>
      <c r="AK26" s="25">
        <f t="shared" si="5"/>
        <v>0</v>
      </c>
      <c r="AL26" s="17">
        <f t="shared" si="6"/>
        <v>13164.714936249999</v>
      </c>
      <c r="AM26" s="43"/>
      <c r="AN26" s="56"/>
      <c r="AO26" s="56">
        <v>22</v>
      </c>
      <c r="AP26" s="20" t="s">
        <v>486</v>
      </c>
    </row>
    <row r="27" spans="2:42" s="20" customFormat="1" ht="11.25" customHeight="1">
      <c r="B27" s="20">
        <v>27</v>
      </c>
      <c r="D27" s="20" t="s">
        <v>48</v>
      </c>
      <c r="F27" s="21" t="s">
        <v>49</v>
      </c>
      <c r="G27" s="28">
        <v>94</v>
      </c>
      <c r="H27" s="15">
        <f>G27*Valores!$B$2</f>
        <v>218.174</v>
      </c>
      <c r="I27" s="28">
        <v>3624</v>
      </c>
      <c r="J27" s="15">
        <f>I27*Valores!$B$2</f>
        <v>8411.304</v>
      </c>
      <c r="K27" s="23">
        <v>1219</v>
      </c>
      <c r="L27" s="15">
        <f>K27*Valores!$B$2</f>
        <v>2829.2990000000004</v>
      </c>
      <c r="M27" s="23">
        <v>0</v>
      </c>
      <c r="N27" s="15">
        <f>M27*Valores!$B$2</f>
        <v>0</v>
      </c>
      <c r="O27" s="15">
        <f t="shared" si="0"/>
        <v>1832.0665500000002</v>
      </c>
      <c r="P27" s="15">
        <f t="shared" si="1"/>
        <v>0</v>
      </c>
      <c r="Q27" s="17">
        <f>Valores!$B$15</f>
        <v>1285</v>
      </c>
      <c r="R27" s="17">
        <f>Valores!$C$6</f>
        <v>1038.184</v>
      </c>
      <c r="S27" s="15">
        <v>0</v>
      </c>
      <c r="T27" s="15">
        <f>Valores!$B$20</f>
        <v>755</v>
      </c>
      <c r="U27" s="15">
        <f t="shared" si="2"/>
        <v>755</v>
      </c>
      <c r="V27" s="15">
        <v>0</v>
      </c>
      <c r="W27" s="15">
        <v>0</v>
      </c>
      <c r="X27" s="24">
        <v>0</v>
      </c>
      <c r="Y27" s="15">
        <f>X27*Valores!$B$2</f>
        <v>0</v>
      </c>
      <c r="Z27" s="15">
        <v>0</v>
      </c>
      <c r="AA27" s="39">
        <v>129.04</v>
      </c>
      <c r="AB27" s="15">
        <f t="shared" si="3"/>
        <v>0</v>
      </c>
      <c r="AC27" s="15">
        <v>129.04</v>
      </c>
      <c r="AD27" s="16">
        <v>0</v>
      </c>
      <c r="AE27" s="15">
        <f>AD27*Valores!$B$2</f>
        <v>0</v>
      </c>
      <c r="AF27" s="31">
        <f t="shared" si="4"/>
        <v>16627.10755</v>
      </c>
      <c r="AG27" s="15">
        <v>0</v>
      </c>
      <c r="AH27" s="15">
        <v>0</v>
      </c>
      <c r="AI27" s="15">
        <f>Valores!$B$25</f>
        <v>0</v>
      </c>
      <c r="AJ27" s="15">
        <v>0</v>
      </c>
      <c r="AK27" s="25">
        <f t="shared" si="5"/>
        <v>0</v>
      </c>
      <c r="AL27" s="17">
        <f t="shared" si="6"/>
        <v>12886.00835125</v>
      </c>
      <c r="AM27" s="43"/>
      <c r="AN27" s="56"/>
      <c r="AO27" s="56">
        <v>22</v>
      </c>
      <c r="AP27" s="20" t="s">
        <v>487</v>
      </c>
    </row>
    <row r="28" spans="2:42" s="20" customFormat="1" ht="11.25" customHeight="1">
      <c r="B28" s="20">
        <v>28</v>
      </c>
      <c r="D28" s="20" t="s">
        <v>50</v>
      </c>
      <c r="F28" s="21" t="s">
        <v>51</v>
      </c>
      <c r="G28" s="28">
        <v>93</v>
      </c>
      <c r="H28" s="15">
        <f>G28*Valores!$B$2</f>
        <v>215.853</v>
      </c>
      <c r="I28" s="28">
        <v>3627</v>
      </c>
      <c r="J28" s="15">
        <f>I28*Valores!$B$2</f>
        <v>8418.267</v>
      </c>
      <c r="K28" s="23">
        <v>210</v>
      </c>
      <c r="L28" s="15">
        <f>K28*Valores!$B$2</f>
        <v>487.41</v>
      </c>
      <c r="M28" s="23">
        <v>0</v>
      </c>
      <c r="N28" s="15">
        <f>M28*Valores!$B$2</f>
        <v>0</v>
      </c>
      <c r="O28" s="15">
        <f t="shared" si="0"/>
        <v>1481.4794999999997</v>
      </c>
      <c r="P28" s="15">
        <f t="shared" si="1"/>
        <v>0</v>
      </c>
      <c r="Q28" s="17">
        <f>Valores!$B$15</f>
        <v>1285</v>
      </c>
      <c r="R28" s="17">
        <f>Valores!$C$6</f>
        <v>1038.184</v>
      </c>
      <c r="S28" s="15">
        <v>0</v>
      </c>
      <c r="T28" s="15">
        <f>Valores!$B$20</f>
        <v>755</v>
      </c>
      <c r="U28" s="15">
        <f t="shared" si="2"/>
        <v>755</v>
      </c>
      <c r="V28" s="15">
        <v>0</v>
      </c>
      <c r="W28" s="15">
        <v>0</v>
      </c>
      <c r="X28" s="24">
        <v>0</v>
      </c>
      <c r="Y28" s="15">
        <f>X28*Valores!$B$2</f>
        <v>0</v>
      </c>
      <c r="Z28" s="15">
        <v>0</v>
      </c>
      <c r="AA28" s="39">
        <v>129.04</v>
      </c>
      <c r="AB28" s="15">
        <f t="shared" si="3"/>
        <v>0</v>
      </c>
      <c r="AC28" s="15">
        <v>129.04</v>
      </c>
      <c r="AD28" s="16">
        <v>0</v>
      </c>
      <c r="AE28" s="15">
        <f>AD28*Valores!$B$2</f>
        <v>0</v>
      </c>
      <c r="AF28" s="31">
        <f t="shared" si="4"/>
        <v>13939.2735</v>
      </c>
      <c r="AG28" s="15">
        <v>0</v>
      </c>
      <c r="AH28" s="15">
        <v>0</v>
      </c>
      <c r="AI28" s="15">
        <f>Valores!$B$25</f>
        <v>0</v>
      </c>
      <c r="AJ28" s="15">
        <v>0</v>
      </c>
      <c r="AK28" s="25">
        <f t="shared" si="5"/>
        <v>0</v>
      </c>
      <c r="AL28" s="17">
        <f t="shared" si="6"/>
        <v>10802.9369625</v>
      </c>
      <c r="AM28" s="43"/>
      <c r="AN28" s="56"/>
      <c r="AO28" s="56">
        <v>22</v>
      </c>
      <c r="AP28" s="20" t="s">
        <v>486</v>
      </c>
    </row>
    <row r="29" spans="2:42" s="20" customFormat="1" ht="11.25" customHeight="1">
      <c r="B29" s="20">
        <v>29</v>
      </c>
      <c r="D29" s="20" t="s">
        <v>52</v>
      </c>
      <c r="F29" s="21" t="s">
        <v>53</v>
      </c>
      <c r="G29" s="28">
        <v>93</v>
      </c>
      <c r="H29" s="15">
        <f>G29*Valores!$B$2</f>
        <v>215.853</v>
      </c>
      <c r="I29" s="28">
        <v>3630</v>
      </c>
      <c r="J29" s="15">
        <f>I29*Valores!$B$2</f>
        <v>8425.230000000001</v>
      </c>
      <c r="K29" s="23">
        <v>1214</v>
      </c>
      <c r="L29" s="15">
        <f>K29*Valores!$B$2</f>
        <v>2817.6940000000004</v>
      </c>
      <c r="M29" s="23">
        <v>0</v>
      </c>
      <c r="N29" s="15">
        <f>M29*Valores!$B$2</f>
        <v>0</v>
      </c>
      <c r="O29" s="15">
        <f t="shared" si="0"/>
        <v>1832.0665500000002</v>
      </c>
      <c r="P29" s="15">
        <f t="shared" si="1"/>
        <v>0</v>
      </c>
      <c r="Q29" s="17">
        <f>Valores!$B$15</f>
        <v>1285</v>
      </c>
      <c r="R29" s="17">
        <f>Valores!$C$6</f>
        <v>1038.184</v>
      </c>
      <c r="S29" s="15">
        <v>0</v>
      </c>
      <c r="T29" s="15">
        <f>Valores!$B$20</f>
        <v>755</v>
      </c>
      <c r="U29" s="15">
        <f t="shared" si="2"/>
        <v>755</v>
      </c>
      <c r="V29" s="15">
        <v>0</v>
      </c>
      <c r="W29" s="15">
        <v>0</v>
      </c>
      <c r="X29" s="24">
        <v>0</v>
      </c>
      <c r="Y29" s="15">
        <f>X29*Valores!$B$2</f>
        <v>0</v>
      </c>
      <c r="Z29" s="15">
        <v>0</v>
      </c>
      <c r="AA29" s="39">
        <v>129.04</v>
      </c>
      <c r="AB29" s="15">
        <f t="shared" si="3"/>
        <v>0</v>
      </c>
      <c r="AC29" s="15">
        <v>129.04</v>
      </c>
      <c r="AD29" s="16">
        <v>0</v>
      </c>
      <c r="AE29" s="15">
        <f>AD29*Valores!$B$2</f>
        <v>0</v>
      </c>
      <c r="AF29" s="31">
        <f t="shared" si="4"/>
        <v>16627.10755</v>
      </c>
      <c r="AG29" s="15">
        <v>0</v>
      </c>
      <c r="AH29" s="15">
        <v>0</v>
      </c>
      <c r="AI29" s="15">
        <f>Valores!$B$25</f>
        <v>0</v>
      </c>
      <c r="AJ29" s="15">
        <v>0</v>
      </c>
      <c r="AK29" s="25">
        <f t="shared" si="5"/>
        <v>0</v>
      </c>
      <c r="AL29" s="17">
        <f t="shared" si="6"/>
        <v>12886.00835125</v>
      </c>
      <c r="AM29" s="43">
        <v>220</v>
      </c>
      <c r="AN29" s="56"/>
      <c r="AO29" s="56">
        <v>22</v>
      </c>
      <c r="AP29" s="20" t="s">
        <v>487</v>
      </c>
    </row>
    <row r="30" spans="2:42" s="20" customFormat="1" ht="11.25" customHeight="1" thickBot="1">
      <c r="B30" s="20">
        <v>30</v>
      </c>
      <c r="C30" s="20" t="s">
        <v>478</v>
      </c>
      <c r="D30" s="57" t="s">
        <v>54</v>
      </c>
      <c r="E30" s="57"/>
      <c r="F30" s="58" t="s">
        <v>55</v>
      </c>
      <c r="G30" s="59">
        <v>96</v>
      </c>
      <c r="H30" s="60">
        <f>G30*Valores!$B$2</f>
        <v>222.81600000000003</v>
      </c>
      <c r="I30" s="59">
        <v>3737</v>
      </c>
      <c r="J30" s="60">
        <f>I30*Valores!$B$2</f>
        <v>8673.577000000001</v>
      </c>
      <c r="K30" s="61">
        <v>1220</v>
      </c>
      <c r="L30" s="60">
        <f>K30*Valores!$B$2</f>
        <v>2831.6200000000003</v>
      </c>
      <c r="M30" s="61">
        <v>0</v>
      </c>
      <c r="N30" s="60">
        <f>M30*Valores!$B$2</f>
        <v>0</v>
      </c>
      <c r="O30" s="60">
        <f t="shared" si="0"/>
        <v>1872.4519500000004</v>
      </c>
      <c r="P30" s="60">
        <f t="shared" si="1"/>
        <v>0</v>
      </c>
      <c r="Q30" s="62">
        <f>Valores!$B$17</f>
        <v>1335</v>
      </c>
      <c r="R30" s="62">
        <f>Valores!$C$6</f>
        <v>1038.184</v>
      </c>
      <c r="S30" s="60">
        <v>0</v>
      </c>
      <c r="T30" s="60">
        <f>Valores!$B$20</f>
        <v>755</v>
      </c>
      <c r="U30" s="60">
        <f t="shared" si="2"/>
        <v>755</v>
      </c>
      <c r="V30" s="60">
        <v>0</v>
      </c>
      <c r="W30" s="60">
        <v>0</v>
      </c>
      <c r="X30" s="63">
        <v>0</v>
      </c>
      <c r="Y30" s="60">
        <f>X30*Valores!$B$2</f>
        <v>0</v>
      </c>
      <c r="Z30" s="60">
        <f>SUM(H30,J30,L30)*Valores!$B$3</f>
        <v>1759.2019500000004</v>
      </c>
      <c r="AA30" s="64">
        <v>129.04</v>
      </c>
      <c r="AB30" s="60">
        <f t="shared" si="3"/>
        <v>0</v>
      </c>
      <c r="AC30" s="60">
        <v>129.04</v>
      </c>
      <c r="AD30" s="65">
        <v>0</v>
      </c>
      <c r="AE30" s="60">
        <f>AD30*Valores!$B$2</f>
        <v>0</v>
      </c>
      <c r="AF30" s="66">
        <f t="shared" si="4"/>
        <v>18745.930900000003</v>
      </c>
      <c r="AG30" s="60">
        <v>0</v>
      </c>
      <c r="AH30" s="60">
        <v>0</v>
      </c>
      <c r="AI30" s="60">
        <f>Valores!$B$25</f>
        <v>0</v>
      </c>
      <c r="AJ30" s="60">
        <v>0</v>
      </c>
      <c r="AK30" s="67">
        <f t="shared" si="5"/>
        <v>0</v>
      </c>
      <c r="AL30" s="62">
        <f t="shared" si="6"/>
        <v>14528.096447500002</v>
      </c>
      <c r="AM30" s="68"/>
      <c r="AN30" s="69"/>
      <c r="AO30" s="69">
        <v>22</v>
      </c>
      <c r="AP30" s="20" t="s">
        <v>486</v>
      </c>
    </row>
    <row r="31" spans="2:42" s="20" customFormat="1" ht="11.25" customHeight="1" thickTop="1">
      <c r="B31" s="20">
        <v>31</v>
      </c>
      <c r="D31" s="20" t="s">
        <v>56</v>
      </c>
      <c r="F31" s="21" t="s">
        <v>57</v>
      </c>
      <c r="G31" s="28">
        <v>92</v>
      </c>
      <c r="H31" s="15">
        <f>G31*Valores!$B$2</f>
        <v>213.532</v>
      </c>
      <c r="I31" s="28">
        <v>3483</v>
      </c>
      <c r="J31" s="15">
        <f>I31*Valores!$B$2</f>
        <v>8084.043000000001</v>
      </c>
      <c r="K31" s="23">
        <v>1217</v>
      </c>
      <c r="L31" s="15">
        <f>K31*Valores!$B$2</f>
        <v>2824.657</v>
      </c>
      <c r="M31" s="23">
        <v>0</v>
      </c>
      <c r="N31" s="15">
        <f>M31*Valores!$B$2</f>
        <v>0</v>
      </c>
      <c r="O31" s="15">
        <f t="shared" si="0"/>
        <v>1781.5847999999999</v>
      </c>
      <c r="P31" s="15">
        <f t="shared" si="1"/>
        <v>0</v>
      </c>
      <c r="Q31" s="17">
        <f>Valores!$B$16</f>
        <v>1685</v>
      </c>
      <c r="R31" s="17">
        <f>Valores!$C$6</f>
        <v>1038.184</v>
      </c>
      <c r="S31" s="15">
        <v>0</v>
      </c>
      <c r="T31" s="15">
        <f>Valores!$B$20</f>
        <v>755</v>
      </c>
      <c r="U31" s="15">
        <f t="shared" si="2"/>
        <v>755</v>
      </c>
      <c r="V31" s="15">
        <v>0</v>
      </c>
      <c r="W31" s="15">
        <v>0</v>
      </c>
      <c r="X31" s="24">
        <v>0</v>
      </c>
      <c r="Y31" s="15">
        <f>X31*Valores!$B$2</f>
        <v>0</v>
      </c>
      <c r="Z31" s="15">
        <v>0</v>
      </c>
      <c r="AA31" s="39">
        <v>129.04</v>
      </c>
      <c r="AB31" s="15">
        <f t="shared" si="3"/>
        <v>0</v>
      </c>
      <c r="AC31" s="15">
        <v>129.04</v>
      </c>
      <c r="AD31" s="16">
        <v>0</v>
      </c>
      <c r="AE31" s="15">
        <f>AD31*Valores!$B$2</f>
        <v>0</v>
      </c>
      <c r="AF31" s="31">
        <f t="shared" si="4"/>
        <v>16640.0808</v>
      </c>
      <c r="AG31" s="15">
        <v>0</v>
      </c>
      <c r="AH31" s="15">
        <v>0</v>
      </c>
      <c r="AI31" s="15">
        <f>Valores!$B$25</f>
        <v>0</v>
      </c>
      <c r="AJ31" s="15">
        <v>0</v>
      </c>
      <c r="AK31" s="25">
        <f t="shared" si="5"/>
        <v>0</v>
      </c>
      <c r="AL31" s="17">
        <f t="shared" si="6"/>
        <v>12896.06262</v>
      </c>
      <c r="AM31" s="43">
        <v>220</v>
      </c>
      <c r="AN31" s="56"/>
      <c r="AO31" s="56">
        <v>22</v>
      </c>
      <c r="AP31" s="20" t="s">
        <v>487</v>
      </c>
    </row>
    <row r="32" spans="2:42" s="20" customFormat="1" ht="11.25" customHeight="1">
      <c r="B32" s="20">
        <v>32</v>
      </c>
      <c r="D32" s="20" t="s">
        <v>394</v>
      </c>
      <c r="F32" s="21" t="s">
        <v>395</v>
      </c>
      <c r="G32" s="28">
        <v>85</v>
      </c>
      <c r="H32" s="15">
        <f>G32*Valores!$B$2</f>
        <v>197.28500000000003</v>
      </c>
      <c r="I32" s="28">
        <v>3498</v>
      </c>
      <c r="J32" s="15">
        <f>I32*Valores!$B$2</f>
        <v>8118.858</v>
      </c>
      <c r="K32" s="23">
        <v>1209</v>
      </c>
      <c r="L32" s="15">
        <f>K32*Valores!$B$2</f>
        <v>2806.0890000000004</v>
      </c>
      <c r="M32" s="23">
        <v>0</v>
      </c>
      <c r="N32" s="15">
        <f>M32*Valores!$B$2</f>
        <v>0</v>
      </c>
      <c r="O32" s="15">
        <f t="shared" si="0"/>
        <v>1781.5847999999999</v>
      </c>
      <c r="P32" s="15">
        <f t="shared" si="1"/>
        <v>0</v>
      </c>
      <c r="Q32" s="17">
        <f>Valores!$B$16</f>
        <v>1685</v>
      </c>
      <c r="R32" s="17">
        <f>Valores!$C$6</f>
        <v>1038.184</v>
      </c>
      <c r="S32" s="15">
        <v>0</v>
      </c>
      <c r="T32" s="15">
        <f>Valores!$B$20</f>
        <v>755</v>
      </c>
      <c r="U32" s="15">
        <f t="shared" si="2"/>
        <v>755</v>
      </c>
      <c r="V32" s="15">
        <v>0</v>
      </c>
      <c r="W32" s="15">
        <v>0</v>
      </c>
      <c r="X32" s="24">
        <v>0</v>
      </c>
      <c r="Y32" s="15">
        <f>X32*Valores!$B$2</f>
        <v>0</v>
      </c>
      <c r="Z32" s="15">
        <v>0</v>
      </c>
      <c r="AA32" s="39">
        <v>129.04</v>
      </c>
      <c r="AB32" s="15">
        <f t="shared" si="3"/>
        <v>0</v>
      </c>
      <c r="AC32" s="15">
        <v>129.04</v>
      </c>
      <c r="AD32" s="16">
        <v>0</v>
      </c>
      <c r="AE32" s="15">
        <f>AD32*Valores!$B$2</f>
        <v>0</v>
      </c>
      <c r="AF32" s="31">
        <f t="shared" si="4"/>
        <v>16640.0808</v>
      </c>
      <c r="AG32" s="15">
        <v>0</v>
      </c>
      <c r="AH32" s="15">
        <v>0</v>
      </c>
      <c r="AI32" s="15">
        <f>Valores!$B$25</f>
        <v>0</v>
      </c>
      <c r="AJ32" s="15">
        <v>0</v>
      </c>
      <c r="AK32" s="25">
        <f t="shared" si="5"/>
        <v>0</v>
      </c>
      <c r="AL32" s="17">
        <f t="shared" si="6"/>
        <v>12896.06262</v>
      </c>
      <c r="AM32" s="43"/>
      <c r="AN32" s="56"/>
      <c r="AO32" s="56">
        <v>22</v>
      </c>
      <c r="AP32" s="20" t="s">
        <v>487</v>
      </c>
    </row>
    <row r="33" spans="2:42" s="20" customFormat="1" ht="11.25" customHeight="1">
      <c r="B33" s="20">
        <v>33</v>
      </c>
      <c r="D33" s="20" t="s">
        <v>58</v>
      </c>
      <c r="F33" s="21" t="s">
        <v>59</v>
      </c>
      <c r="G33" s="28">
        <v>92</v>
      </c>
      <c r="H33" s="15">
        <f>G33*Valores!$B$2</f>
        <v>213.532</v>
      </c>
      <c r="I33" s="28">
        <v>3483</v>
      </c>
      <c r="J33" s="15">
        <f>I33*Valores!$B$2</f>
        <v>8084.043000000001</v>
      </c>
      <c r="K33" s="23">
        <v>1217</v>
      </c>
      <c r="L33" s="15">
        <f>K33*Valores!$B$2</f>
        <v>2824.657</v>
      </c>
      <c r="M33" s="23">
        <v>0</v>
      </c>
      <c r="N33" s="15">
        <f>M33*Valores!$B$2</f>
        <v>0</v>
      </c>
      <c r="O33" s="15">
        <f t="shared" si="0"/>
        <v>1781.5847999999999</v>
      </c>
      <c r="P33" s="15">
        <f t="shared" si="1"/>
        <v>0</v>
      </c>
      <c r="Q33" s="17">
        <f>Valores!$B$16</f>
        <v>1685</v>
      </c>
      <c r="R33" s="17">
        <f>Valores!$C$6</f>
        <v>1038.184</v>
      </c>
      <c r="S33" s="15">
        <v>0</v>
      </c>
      <c r="T33" s="15">
        <f>Valores!$B$20</f>
        <v>755</v>
      </c>
      <c r="U33" s="15">
        <f t="shared" si="2"/>
        <v>755</v>
      </c>
      <c r="V33" s="15">
        <v>0</v>
      </c>
      <c r="W33" s="15">
        <v>0</v>
      </c>
      <c r="X33" s="24">
        <v>0</v>
      </c>
      <c r="Y33" s="15">
        <f>X33*Valores!$B$2</f>
        <v>0</v>
      </c>
      <c r="Z33" s="15">
        <v>0</v>
      </c>
      <c r="AA33" s="39">
        <v>129.04</v>
      </c>
      <c r="AB33" s="15">
        <f t="shared" si="3"/>
        <v>0</v>
      </c>
      <c r="AC33" s="15">
        <v>129.04</v>
      </c>
      <c r="AD33" s="16">
        <v>0</v>
      </c>
      <c r="AE33" s="15">
        <f>AD33*Valores!$B$2</f>
        <v>0</v>
      </c>
      <c r="AF33" s="31">
        <f t="shared" si="4"/>
        <v>16640.0808</v>
      </c>
      <c r="AG33" s="15">
        <v>0</v>
      </c>
      <c r="AH33" s="15">
        <v>0</v>
      </c>
      <c r="AI33" s="15">
        <f>Valores!$B$25</f>
        <v>0</v>
      </c>
      <c r="AJ33" s="15">
        <v>0</v>
      </c>
      <c r="AK33" s="25">
        <f t="shared" si="5"/>
        <v>0</v>
      </c>
      <c r="AL33" s="17">
        <f t="shared" si="6"/>
        <v>12896.06262</v>
      </c>
      <c r="AM33" s="43"/>
      <c r="AN33" s="56"/>
      <c r="AO33" s="56">
        <v>22</v>
      </c>
      <c r="AP33" s="20" t="s">
        <v>487</v>
      </c>
    </row>
    <row r="34" spans="2:42" s="20" customFormat="1" ht="11.25" customHeight="1">
      <c r="B34" s="20">
        <v>34</v>
      </c>
      <c r="D34" s="20" t="s">
        <v>60</v>
      </c>
      <c r="F34" s="21" t="s">
        <v>61</v>
      </c>
      <c r="G34" s="28">
        <v>85</v>
      </c>
      <c r="H34" s="15">
        <f>G34*Valores!$B$2</f>
        <v>197.28500000000003</v>
      </c>
      <c r="I34" s="28">
        <v>3498</v>
      </c>
      <c r="J34" s="15">
        <f>I34*Valores!$B$2</f>
        <v>8118.858</v>
      </c>
      <c r="K34" s="23">
        <v>1209</v>
      </c>
      <c r="L34" s="15">
        <f>K34*Valores!$B$2</f>
        <v>2806.0890000000004</v>
      </c>
      <c r="M34" s="23">
        <v>0</v>
      </c>
      <c r="N34" s="15">
        <f>M34*Valores!$B$2</f>
        <v>0</v>
      </c>
      <c r="O34" s="15">
        <f t="shared" si="0"/>
        <v>1781.5847999999999</v>
      </c>
      <c r="P34" s="15">
        <f t="shared" si="1"/>
        <v>0</v>
      </c>
      <c r="Q34" s="17">
        <f>Valores!$B$16</f>
        <v>1685</v>
      </c>
      <c r="R34" s="17">
        <f>Valores!$C$6</f>
        <v>1038.184</v>
      </c>
      <c r="S34" s="15">
        <v>0</v>
      </c>
      <c r="T34" s="15">
        <f>Valores!$B$20</f>
        <v>755</v>
      </c>
      <c r="U34" s="15">
        <f t="shared" si="2"/>
        <v>755</v>
      </c>
      <c r="V34" s="15">
        <v>0</v>
      </c>
      <c r="W34" s="15">
        <v>0</v>
      </c>
      <c r="X34" s="24">
        <v>0</v>
      </c>
      <c r="Y34" s="15">
        <f>X34*Valores!$B$2</f>
        <v>0</v>
      </c>
      <c r="Z34" s="15">
        <v>0</v>
      </c>
      <c r="AA34" s="39">
        <v>129.04</v>
      </c>
      <c r="AB34" s="15">
        <f t="shared" si="3"/>
        <v>0</v>
      </c>
      <c r="AC34" s="15">
        <v>129.04</v>
      </c>
      <c r="AD34" s="16">
        <v>0</v>
      </c>
      <c r="AE34" s="15">
        <f>AD34*Valores!$B$2</f>
        <v>0</v>
      </c>
      <c r="AF34" s="31">
        <f t="shared" si="4"/>
        <v>16640.0808</v>
      </c>
      <c r="AG34" s="15">
        <v>0</v>
      </c>
      <c r="AH34" s="15">
        <v>0</v>
      </c>
      <c r="AI34" s="15">
        <f>Valores!$B$25</f>
        <v>0</v>
      </c>
      <c r="AJ34" s="15">
        <v>0</v>
      </c>
      <c r="AK34" s="25">
        <f t="shared" si="5"/>
        <v>0</v>
      </c>
      <c r="AL34" s="17">
        <f t="shared" si="6"/>
        <v>12896.06262</v>
      </c>
      <c r="AM34" s="43"/>
      <c r="AN34" s="56"/>
      <c r="AO34" s="56">
        <v>22</v>
      </c>
      <c r="AP34" s="20" t="s">
        <v>486</v>
      </c>
    </row>
    <row r="35" spans="2:42" s="20" customFormat="1" ht="11.25" customHeight="1" thickBot="1">
      <c r="B35" s="20">
        <v>35</v>
      </c>
      <c r="C35" s="20" t="s">
        <v>478</v>
      </c>
      <c r="D35" s="57" t="s">
        <v>62</v>
      </c>
      <c r="E35" s="57"/>
      <c r="F35" s="58" t="s">
        <v>63</v>
      </c>
      <c r="G35" s="59">
        <v>92</v>
      </c>
      <c r="H35" s="60">
        <f>G35*Valores!$B$2</f>
        <v>213.532</v>
      </c>
      <c r="I35" s="59">
        <v>3483</v>
      </c>
      <c r="J35" s="60">
        <f>I35*Valores!$B$2</f>
        <v>8084.043000000001</v>
      </c>
      <c r="K35" s="61">
        <v>1217</v>
      </c>
      <c r="L35" s="60">
        <f>K35*Valores!$B$2</f>
        <v>2824.657</v>
      </c>
      <c r="M35" s="61">
        <v>0</v>
      </c>
      <c r="N35" s="60">
        <f>M35*Valores!$B$2</f>
        <v>0</v>
      </c>
      <c r="O35" s="60">
        <f t="shared" si="0"/>
        <v>1781.5847999999999</v>
      </c>
      <c r="P35" s="60">
        <f t="shared" si="1"/>
        <v>0</v>
      </c>
      <c r="Q35" s="62">
        <f>Valores!$B$16</f>
        <v>1685</v>
      </c>
      <c r="R35" s="62">
        <f>Valores!$C$6</f>
        <v>1038.184</v>
      </c>
      <c r="S35" s="60">
        <v>0</v>
      </c>
      <c r="T35" s="60">
        <f>Valores!$B$20</f>
        <v>755</v>
      </c>
      <c r="U35" s="60">
        <f t="shared" si="2"/>
        <v>755</v>
      </c>
      <c r="V35" s="60">
        <v>0</v>
      </c>
      <c r="W35" s="60">
        <v>0</v>
      </c>
      <c r="X35" s="63">
        <v>0</v>
      </c>
      <c r="Y35" s="60">
        <f>X35*Valores!$B$2</f>
        <v>0</v>
      </c>
      <c r="Z35" s="60">
        <f>SUM(L35,J35,H35)*Valores!$B$3</f>
        <v>1668.3347999999999</v>
      </c>
      <c r="AA35" s="64">
        <v>129.04</v>
      </c>
      <c r="AB35" s="60">
        <f t="shared" si="3"/>
        <v>0</v>
      </c>
      <c r="AC35" s="60">
        <v>129.04</v>
      </c>
      <c r="AD35" s="65">
        <v>0</v>
      </c>
      <c r="AE35" s="60">
        <f>AD35*Valores!$B$2</f>
        <v>0</v>
      </c>
      <c r="AF35" s="66">
        <f t="shared" si="4"/>
        <v>18308.4156</v>
      </c>
      <c r="AG35" s="60">
        <v>0</v>
      </c>
      <c r="AH35" s="60">
        <v>0</v>
      </c>
      <c r="AI35" s="60">
        <f>Valores!$B$25</f>
        <v>0</v>
      </c>
      <c r="AJ35" s="60">
        <v>0</v>
      </c>
      <c r="AK35" s="67">
        <f t="shared" si="5"/>
        <v>0</v>
      </c>
      <c r="AL35" s="62">
        <f t="shared" si="6"/>
        <v>14189.02209</v>
      </c>
      <c r="AM35" s="68"/>
      <c r="AN35" s="69"/>
      <c r="AO35" s="69">
        <v>22</v>
      </c>
      <c r="AP35" s="20" t="s">
        <v>486</v>
      </c>
    </row>
    <row r="36" spans="2:42" s="20" customFormat="1" ht="11.25" customHeight="1" thickTop="1">
      <c r="B36" s="20">
        <v>36</v>
      </c>
      <c r="D36" s="20" t="s">
        <v>64</v>
      </c>
      <c r="F36" s="21" t="s">
        <v>65</v>
      </c>
      <c r="G36" s="28">
        <v>85</v>
      </c>
      <c r="H36" s="15">
        <f>G36*Valores!$B$2</f>
        <v>197.28500000000003</v>
      </c>
      <c r="I36" s="28">
        <v>3498</v>
      </c>
      <c r="J36" s="15">
        <f>I36*Valores!$B$2</f>
        <v>8118.858</v>
      </c>
      <c r="K36" s="23">
        <v>202</v>
      </c>
      <c r="L36" s="15">
        <f>K36*Valores!$B$2</f>
        <v>468.84200000000004</v>
      </c>
      <c r="M36" s="23">
        <v>0</v>
      </c>
      <c r="N36" s="15">
        <f>M36*Valores!$B$2</f>
        <v>0</v>
      </c>
      <c r="O36" s="15">
        <f t="shared" si="0"/>
        <v>1430.99775</v>
      </c>
      <c r="P36" s="15">
        <f t="shared" si="1"/>
        <v>0</v>
      </c>
      <c r="Q36" s="17">
        <f>Valores!$B$16</f>
        <v>1685</v>
      </c>
      <c r="R36" s="17">
        <f>Valores!$C$6</f>
        <v>1038.184</v>
      </c>
      <c r="S36" s="15">
        <v>0</v>
      </c>
      <c r="T36" s="15">
        <f>Valores!$B$20</f>
        <v>755</v>
      </c>
      <c r="U36" s="15">
        <f t="shared" si="2"/>
        <v>755</v>
      </c>
      <c r="V36" s="15">
        <v>0</v>
      </c>
      <c r="W36" s="15">
        <v>0</v>
      </c>
      <c r="X36" s="24">
        <v>0</v>
      </c>
      <c r="Y36" s="15">
        <f>X36*Valores!$B$2</f>
        <v>0</v>
      </c>
      <c r="Z36" s="15">
        <v>0</v>
      </c>
      <c r="AA36" s="39">
        <v>129.04</v>
      </c>
      <c r="AB36" s="15">
        <f t="shared" si="3"/>
        <v>0</v>
      </c>
      <c r="AC36" s="15">
        <v>129.04</v>
      </c>
      <c r="AD36" s="16">
        <v>0</v>
      </c>
      <c r="AE36" s="15">
        <f>AD36*Valores!$B$2</f>
        <v>0</v>
      </c>
      <c r="AF36" s="31">
        <f t="shared" si="4"/>
        <v>13952.246750000002</v>
      </c>
      <c r="AG36" s="15">
        <v>0</v>
      </c>
      <c r="AH36" s="15">
        <v>0</v>
      </c>
      <c r="AI36" s="15">
        <f>Valores!$B$25</f>
        <v>0</v>
      </c>
      <c r="AJ36" s="15">
        <v>0</v>
      </c>
      <c r="AK36" s="25">
        <f t="shared" si="5"/>
        <v>0</v>
      </c>
      <c r="AL36" s="17">
        <f t="shared" si="6"/>
        <v>10812.991231250002</v>
      </c>
      <c r="AM36" s="43"/>
      <c r="AN36" s="56"/>
      <c r="AO36" s="56">
        <v>22</v>
      </c>
      <c r="AP36" s="20" t="s">
        <v>486</v>
      </c>
    </row>
    <row r="37" spans="2:42" s="20" customFormat="1" ht="11.25" customHeight="1">
      <c r="B37" s="20">
        <v>37</v>
      </c>
      <c r="D37" s="20" t="s">
        <v>66</v>
      </c>
      <c r="F37" s="21" t="s">
        <v>67</v>
      </c>
      <c r="G37" s="28">
        <v>85</v>
      </c>
      <c r="H37" s="15">
        <f>G37*Valores!$B$2</f>
        <v>197.28500000000003</v>
      </c>
      <c r="I37" s="28">
        <v>3498</v>
      </c>
      <c r="J37" s="15">
        <f>I37*Valores!$B$2</f>
        <v>8118.858</v>
      </c>
      <c r="K37" s="23">
        <v>1209</v>
      </c>
      <c r="L37" s="15">
        <f>K37*Valores!$B$2</f>
        <v>2806.0890000000004</v>
      </c>
      <c r="M37" s="23">
        <v>0</v>
      </c>
      <c r="N37" s="15">
        <f>M37*Valores!$B$2</f>
        <v>0</v>
      </c>
      <c r="O37" s="15">
        <f t="shared" si="0"/>
        <v>1781.5847999999999</v>
      </c>
      <c r="P37" s="15">
        <f t="shared" si="1"/>
        <v>0</v>
      </c>
      <c r="Q37" s="17">
        <f>Valores!$B$16</f>
        <v>1685</v>
      </c>
      <c r="R37" s="17">
        <f>Valores!$C$6</f>
        <v>1038.184</v>
      </c>
      <c r="S37" s="15">
        <v>0</v>
      </c>
      <c r="T37" s="15">
        <f>Valores!$B$20</f>
        <v>755</v>
      </c>
      <c r="U37" s="15">
        <f t="shared" si="2"/>
        <v>755</v>
      </c>
      <c r="V37" s="15">
        <v>0</v>
      </c>
      <c r="W37" s="15">
        <v>0</v>
      </c>
      <c r="X37" s="24">
        <v>0</v>
      </c>
      <c r="Y37" s="15">
        <f>X37*Valores!$B$2</f>
        <v>0</v>
      </c>
      <c r="Z37" s="15">
        <v>0</v>
      </c>
      <c r="AA37" s="39">
        <v>129.04</v>
      </c>
      <c r="AB37" s="15">
        <f t="shared" si="3"/>
        <v>0</v>
      </c>
      <c r="AC37" s="15">
        <v>129.04</v>
      </c>
      <c r="AD37" s="16">
        <v>0</v>
      </c>
      <c r="AE37" s="15">
        <f>AD37*Valores!$B$2</f>
        <v>0</v>
      </c>
      <c r="AF37" s="31">
        <f t="shared" si="4"/>
        <v>16640.0808</v>
      </c>
      <c r="AG37" s="15">
        <v>0</v>
      </c>
      <c r="AH37" s="15">
        <v>0</v>
      </c>
      <c r="AI37" s="15">
        <f>Valores!$B$25</f>
        <v>0</v>
      </c>
      <c r="AJ37" s="15">
        <v>0</v>
      </c>
      <c r="AK37" s="25">
        <f t="shared" si="5"/>
        <v>0</v>
      </c>
      <c r="AL37" s="17">
        <f t="shared" si="6"/>
        <v>12896.06262</v>
      </c>
      <c r="AM37" s="43">
        <v>220</v>
      </c>
      <c r="AN37" s="56"/>
      <c r="AO37" s="56">
        <v>22</v>
      </c>
      <c r="AP37" s="20" t="s">
        <v>487</v>
      </c>
    </row>
    <row r="38" spans="2:42" s="20" customFormat="1" ht="11.25" customHeight="1">
      <c r="B38" s="20">
        <v>38</v>
      </c>
      <c r="D38" s="20" t="s">
        <v>68</v>
      </c>
      <c r="F38" s="21" t="s">
        <v>69</v>
      </c>
      <c r="G38" s="28">
        <v>85</v>
      </c>
      <c r="H38" s="15">
        <f>G38*Valores!$B$2</f>
        <v>197.28500000000003</v>
      </c>
      <c r="I38" s="28">
        <v>3498</v>
      </c>
      <c r="J38" s="15">
        <f>I38*Valores!$B$2</f>
        <v>8118.858</v>
      </c>
      <c r="K38" s="23">
        <v>1209</v>
      </c>
      <c r="L38" s="15">
        <f>K38*Valores!$B$2</f>
        <v>2806.0890000000004</v>
      </c>
      <c r="M38" s="23">
        <v>0</v>
      </c>
      <c r="N38" s="15">
        <f>M38*Valores!$B$2</f>
        <v>0</v>
      </c>
      <c r="O38" s="15">
        <f t="shared" si="0"/>
        <v>1781.5847999999999</v>
      </c>
      <c r="P38" s="15">
        <f t="shared" si="1"/>
        <v>0</v>
      </c>
      <c r="Q38" s="17">
        <f>Valores!$B$16</f>
        <v>1685</v>
      </c>
      <c r="R38" s="17">
        <f>Valores!$C$6</f>
        <v>1038.184</v>
      </c>
      <c r="S38" s="15">
        <v>0</v>
      </c>
      <c r="T38" s="15">
        <f>Valores!$B$20</f>
        <v>755</v>
      </c>
      <c r="U38" s="15">
        <f t="shared" si="2"/>
        <v>755</v>
      </c>
      <c r="V38" s="15">
        <v>0</v>
      </c>
      <c r="W38" s="15">
        <v>0</v>
      </c>
      <c r="X38" s="24">
        <v>0</v>
      </c>
      <c r="Y38" s="15">
        <f>X38*Valores!$B$2</f>
        <v>0</v>
      </c>
      <c r="Z38" s="15">
        <v>0</v>
      </c>
      <c r="AA38" s="39">
        <v>129.04</v>
      </c>
      <c r="AB38" s="15">
        <f t="shared" si="3"/>
        <v>0</v>
      </c>
      <c r="AC38" s="15">
        <v>129.04</v>
      </c>
      <c r="AD38" s="16">
        <v>0</v>
      </c>
      <c r="AE38" s="15">
        <f>AD38*Valores!$B$2</f>
        <v>0</v>
      </c>
      <c r="AF38" s="31">
        <f t="shared" si="4"/>
        <v>16640.0808</v>
      </c>
      <c r="AG38" s="15">
        <v>0</v>
      </c>
      <c r="AH38" s="15">
        <v>0</v>
      </c>
      <c r="AI38" s="15">
        <f>Valores!$B$25</f>
        <v>0</v>
      </c>
      <c r="AJ38" s="15">
        <v>0</v>
      </c>
      <c r="AK38" s="25">
        <f t="shared" si="5"/>
        <v>0</v>
      </c>
      <c r="AL38" s="17">
        <f t="shared" si="6"/>
        <v>12896.06262</v>
      </c>
      <c r="AM38" s="43"/>
      <c r="AN38" s="56"/>
      <c r="AO38" s="56">
        <v>22</v>
      </c>
      <c r="AP38" s="20" t="s">
        <v>486</v>
      </c>
    </row>
    <row r="39" spans="2:42" s="20" customFormat="1" ht="11.25" customHeight="1">
      <c r="B39" s="20">
        <v>39</v>
      </c>
      <c r="D39" s="20" t="s">
        <v>70</v>
      </c>
      <c r="F39" s="21" t="s">
        <v>71</v>
      </c>
      <c r="G39" s="28">
        <v>101</v>
      </c>
      <c r="H39" s="15">
        <f>G39*Valores!$B$2</f>
        <v>234.42100000000002</v>
      </c>
      <c r="I39" s="28">
        <v>2548</v>
      </c>
      <c r="J39" s="15">
        <f>I39*Valores!$B$2</f>
        <v>5913.908</v>
      </c>
      <c r="K39" s="23">
        <v>216</v>
      </c>
      <c r="L39" s="15">
        <f>K39*Valores!$B$2</f>
        <v>501.336</v>
      </c>
      <c r="M39" s="23">
        <v>0</v>
      </c>
      <c r="N39" s="15">
        <f>M39*Valores!$B$2</f>
        <v>0</v>
      </c>
      <c r="O39" s="15">
        <f t="shared" si="0"/>
        <v>1110.69975</v>
      </c>
      <c r="P39" s="15">
        <f t="shared" si="1"/>
        <v>0</v>
      </c>
      <c r="Q39" s="17">
        <f>Valores!$B$13</f>
        <v>1185</v>
      </c>
      <c r="R39" s="17">
        <f>Valores!$C$6</f>
        <v>1038.184</v>
      </c>
      <c r="S39" s="15">
        <v>0</v>
      </c>
      <c r="T39" s="15">
        <f>Valores!$B$20</f>
        <v>755</v>
      </c>
      <c r="U39" s="15">
        <f t="shared" si="2"/>
        <v>755</v>
      </c>
      <c r="V39" s="15">
        <v>0</v>
      </c>
      <c r="W39" s="15">
        <v>0</v>
      </c>
      <c r="X39" s="24">
        <v>0</v>
      </c>
      <c r="Y39" s="15">
        <f>X39*Valores!$B$2</f>
        <v>0</v>
      </c>
      <c r="Z39" s="15">
        <v>0</v>
      </c>
      <c r="AA39" s="39">
        <v>129.04</v>
      </c>
      <c r="AB39" s="15">
        <f t="shared" si="3"/>
        <v>0</v>
      </c>
      <c r="AC39" s="15">
        <v>129.04</v>
      </c>
      <c r="AD39" s="16">
        <v>0</v>
      </c>
      <c r="AE39" s="15">
        <f>AD39*Valores!$B$2</f>
        <v>0</v>
      </c>
      <c r="AF39" s="31">
        <f t="shared" si="4"/>
        <v>10996.628750000002</v>
      </c>
      <c r="AG39" s="15">
        <v>0</v>
      </c>
      <c r="AH39" s="15">
        <v>0</v>
      </c>
      <c r="AI39" s="15">
        <f>Valores!$B$25</f>
        <v>0</v>
      </c>
      <c r="AJ39" s="15">
        <v>0</v>
      </c>
      <c r="AK39" s="25">
        <f t="shared" si="5"/>
        <v>0</v>
      </c>
      <c r="AL39" s="17">
        <f t="shared" si="6"/>
        <v>8522.387281250001</v>
      </c>
      <c r="AM39" s="43"/>
      <c r="AN39" s="56"/>
      <c r="AO39" s="56">
        <v>22</v>
      </c>
      <c r="AP39" s="20" t="s">
        <v>486</v>
      </c>
    </row>
    <row r="40" spans="2:42" s="20" customFormat="1" ht="11.25" customHeight="1" thickBot="1">
      <c r="B40" s="20">
        <v>40</v>
      </c>
      <c r="C40" s="20" t="s">
        <v>478</v>
      </c>
      <c r="D40" s="57" t="s">
        <v>72</v>
      </c>
      <c r="E40" s="57"/>
      <c r="F40" s="58" t="s">
        <v>71</v>
      </c>
      <c r="G40" s="59">
        <v>101</v>
      </c>
      <c r="H40" s="60">
        <f>G40*Valores!$B$2</f>
        <v>234.42100000000002</v>
      </c>
      <c r="I40" s="59">
        <v>2548</v>
      </c>
      <c r="J40" s="60">
        <f>I40*Valores!$B$2</f>
        <v>5913.908</v>
      </c>
      <c r="K40" s="61">
        <v>216</v>
      </c>
      <c r="L40" s="60">
        <f>K40*Valores!$B$2</f>
        <v>501.336</v>
      </c>
      <c r="M40" s="61">
        <v>0</v>
      </c>
      <c r="N40" s="60">
        <f>M40*Valores!$B$2</f>
        <v>0</v>
      </c>
      <c r="O40" s="60">
        <f t="shared" si="0"/>
        <v>1110.69975</v>
      </c>
      <c r="P40" s="60">
        <f t="shared" si="1"/>
        <v>0</v>
      </c>
      <c r="Q40" s="62">
        <f>Valores!$B$13</f>
        <v>1185</v>
      </c>
      <c r="R40" s="62">
        <f>Valores!$C$6</f>
        <v>1038.184</v>
      </c>
      <c r="S40" s="60">
        <v>0</v>
      </c>
      <c r="T40" s="60">
        <f>Valores!$B$20</f>
        <v>755</v>
      </c>
      <c r="U40" s="60">
        <f t="shared" si="2"/>
        <v>755</v>
      </c>
      <c r="V40" s="60">
        <v>0</v>
      </c>
      <c r="W40" s="60">
        <v>0</v>
      </c>
      <c r="X40" s="63">
        <v>0</v>
      </c>
      <c r="Y40" s="60">
        <f>X40*Valores!$B$2</f>
        <v>0</v>
      </c>
      <c r="Z40" s="60">
        <v>0</v>
      </c>
      <c r="AA40" s="64">
        <v>129.04</v>
      </c>
      <c r="AB40" s="60">
        <f t="shared" si="3"/>
        <v>0</v>
      </c>
      <c r="AC40" s="60">
        <v>129.04</v>
      </c>
      <c r="AD40" s="65">
        <v>0</v>
      </c>
      <c r="AE40" s="60">
        <f>AD40*Valores!$B$2</f>
        <v>0</v>
      </c>
      <c r="AF40" s="66">
        <f t="shared" si="4"/>
        <v>10996.628750000002</v>
      </c>
      <c r="AG40" s="60">
        <v>0</v>
      </c>
      <c r="AH40" s="60">
        <v>0</v>
      </c>
      <c r="AI40" s="60">
        <f>Valores!$B$25</f>
        <v>0</v>
      </c>
      <c r="AJ40" s="60">
        <v>0</v>
      </c>
      <c r="AK40" s="67">
        <f t="shared" si="5"/>
        <v>0</v>
      </c>
      <c r="AL40" s="62">
        <f t="shared" si="6"/>
        <v>8522.387281250001</v>
      </c>
      <c r="AM40" s="68"/>
      <c r="AN40" s="69"/>
      <c r="AO40" s="69">
        <v>22</v>
      </c>
      <c r="AP40" s="20" t="s">
        <v>486</v>
      </c>
    </row>
    <row r="41" spans="2:42" s="20" customFormat="1" ht="11.25" customHeight="1" thickTop="1">
      <c r="B41" s="20">
        <v>41</v>
      </c>
      <c r="D41" s="20" t="s">
        <v>73</v>
      </c>
      <c r="F41" s="21" t="s">
        <v>74</v>
      </c>
      <c r="G41" s="28">
        <v>96</v>
      </c>
      <c r="H41" s="15">
        <f>G41*Valores!$B$2</f>
        <v>222.81600000000003</v>
      </c>
      <c r="I41" s="28">
        <v>2475</v>
      </c>
      <c r="J41" s="15">
        <f>I41*Valores!$B$2</f>
        <v>5744.475</v>
      </c>
      <c r="K41" s="23">
        <v>213</v>
      </c>
      <c r="L41" s="15">
        <f>K41*Valores!$B$2</f>
        <v>494.37300000000005</v>
      </c>
      <c r="M41" s="23">
        <v>0</v>
      </c>
      <c r="N41" s="15">
        <f>M41*Valores!$B$2</f>
        <v>0</v>
      </c>
      <c r="O41" s="15">
        <f t="shared" si="0"/>
        <v>1082.4996</v>
      </c>
      <c r="P41" s="15">
        <f t="shared" si="1"/>
        <v>0</v>
      </c>
      <c r="Q41" s="17">
        <f>Valores!$B$13</f>
        <v>1185</v>
      </c>
      <c r="R41" s="17">
        <f>Valores!$C$6</f>
        <v>1038.184</v>
      </c>
      <c r="S41" s="15">
        <v>0</v>
      </c>
      <c r="T41" s="15">
        <f>Valores!$B$20</f>
        <v>755</v>
      </c>
      <c r="U41" s="15">
        <f t="shared" si="2"/>
        <v>755</v>
      </c>
      <c r="V41" s="15">
        <v>0</v>
      </c>
      <c r="W41" s="15">
        <v>0</v>
      </c>
      <c r="X41" s="24">
        <v>0</v>
      </c>
      <c r="Y41" s="15">
        <f>X41*Valores!$B$2</f>
        <v>0</v>
      </c>
      <c r="Z41" s="15">
        <v>0</v>
      </c>
      <c r="AA41" s="39">
        <v>129.04</v>
      </c>
      <c r="AB41" s="15">
        <f t="shared" si="3"/>
        <v>0</v>
      </c>
      <c r="AC41" s="15">
        <v>129.04</v>
      </c>
      <c r="AD41" s="16">
        <v>0</v>
      </c>
      <c r="AE41" s="15">
        <f>AD41*Valores!$B$2</f>
        <v>0</v>
      </c>
      <c r="AF41" s="31">
        <f t="shared" si="4"/>
        <v>10780.4276</v>
      </c>
      <c r="AG41" s="15">
        <v>0</v>
      </c>
      <c r="AH41" s="39">
        <f>Valores!$B$4</f>
        <v>340</v>
      </c>
      <c r="AI41" s="15">
        <f>Valores!$B$25</f>
        <v>0</v>
      </c>
      <c r="AJ41" s="15">
        <v>0</v>
      </c>
      <c r="AK41" s="25">
        <f t="shared" si="5"/>
        <v>340</v>
      </c>
      <c r="AL41" s="17">
        <f t="shared" si="6"/>
        <v>8694.831390000001</v>
      </c>
      <c r="AM41" s="43"/>
      <c r="AN41" s="56"/>
      <c r="AO41" s="56">
        <v>22</v>
      </c>
      <c r="AP41" s="20" t="s">
        <v>487</v>
      </c>
    </row>
    <row r="42" spans="2:42" s="20" customFormat="1" ht="11.25" customHeight="1">
      <c r="B42" s="20">
        <v>42</v>
      </c>
      <c r="D42" s="20" t="s">
        <v>75</v>
      </c>
      <c r="F42" s="21" t="s">
        <v>76</v>
      </c>
      <c r="G42" s="28">
        <v>72</v>
      </c>
      <c r="H42" s="15">
        <f>G42*Valores!$B$2</f>
        <v>167.11200000000002</v>
      </c>
      <c r="I42" s="28">
        <v>2471</v>
      </c>
      <c r="J42" s="15">
        <f>I42*Valores!$B$2</f>
        <v>5735.191000000001</v>
      </c>
      <c r="K42" s="23">
        <v>199</v>
      </c>
      <c r="L42" s="15">
        <f>K42*Valores!$B$2</f>
        <v>461.879</v>
      </c>
      <c r="M42" s="23">
        <v>0</v>
      </c>
      <c r="N42" s="15">
        <f>M42*Valores!$B$2</f>
        <v>0</v>
      </c>
      <c r="O42" s="15">
        <f t="shared" si="0"/>
        <v>1067.8773</v>
      </c>
      <c r="P42" s="15">
        <f t="shared" si="1"/>
        <v>0</v>
      </c>
      <c r="Q42" s="17">
        <f>Valores!$B$13</f>
        <v>1185</v>
      </c>
      <c r="R42" s="17">
        <f>Valores!$C$6</f>
        <v>1038.184</v>
      </c>
      <c r="S42" s="15">
        <v>0</v>
      </c>
      <c r="T42" s="15">
        <f>Valores!$B$20</f>
        <v>755</v>
      </c>
      <c r="U42" s="15">
        <f t="shared" si="2"/>
        <v>755</v>
      </c>
      <c r="V42" s="15">
        <v>0</v>
      </c>
      <c r="W42" s="15">
        <v>0</v>
      </c>
      <c r="X42" s="24">
        <v>0</v>
      </c>
      <c r="Y42" s="15">
        <f>X42*Valores!$B$2</f>
        <v>0</v>
      </c>
      <c r="Z42" s="15">
        <v>0</v>
      </c>
      <c r="AA42" s="39">
        <v>129.04</v>
      </c>
      <c r="AB42" s="15">
        <f t="shared" si="3"/>
        <v>0</v>
      </c>
      <c r="AC42" s="15">
        <v>129.04</v>
      </c>
      <c r="AD42" s="16">
        <v>0</v>
      </c>
      <c r="AE42" s="15">
        <f>AD42*Valores!$B$2</f>
        <v>0</v>
      </c>
      <c r="AF42" s="31">
        <f t="shared" si="4"/>
        <v>10668.323300000002</v>
      </c>
      <c r="AG42" s="15">
        <v>0</v>
      </c>
      <c r="AH42" s="15">
        <v>0</v>
      </c>
      <c r="AI42" s="15">
        <f>Valores!$B$25</f>
        <v>0</v>
      </c>
      <c r="AJ42" s="15">
        <v>0</v>
      </c>
      <c r="AK42" s="25">
        <f t="shared" si="5"/>
        <v>0</v>
      </c>
      <c r="AL42" s="17">
        <f t="shared" si="6"/>
        <v>8267.950557500002</v>
      </c>
      <c r="AM42" s="43"/>
      <c r="AN42" s="56"/>
      <c r="AO42" s="56">
        <v>22</v>
      </c>
      <c r="AP42" s="20" t="s">
        <v>487</v>
      </c>
    </row>
    <row r="43" spans="2:42" s="20" customFormat="1" ht="11.25" customHeight="1">
      <c r="B43" s="20">
        <v>43</v>
      </c>
      <c r="D43" s="20" t="s">
        <v>77</v>
      </c>
      <c r="F43" s="21" t="s">
        <v>78</v>
      </c>
      <c r="G43" s="28">
        <v>108</v>
      </c>
      <c r="H43" s="15">
        <f>G43*Valores!$B$2</f>
        <v>250.668</v>
      </c>
      <c r="I43" s="28">
        <v>2907</v>
      </c>
      <c r="J43" s="15">
        <f>I43*Valores!$B$2</f>
        <v>6747.147000000001</v>
      </c>
      <c r="K43" s="27">
        <v>0</v>
      </c>
      <c r="L43" s="15">
        <f>K43*Valores!$B$2</f>
        <v>0</v>
      </c>
      <c r="M43" s="23">
        <v>0</v>
      </c>
      <c r="N43" s="15">
        <f>M43*Valores!$B$2</f>
        <v>0</v>
      </c>
      <c r="O43" s="15">
        <f t="shared" si="0"/>
        <v>1162.92225</v>
      </c>
      <c r="P43" s="15">
        <f t="shared" si="1"/>
        <v>0</v>
      </c>
      <c r="Q43" s="17">
        <f>Valores!$B$13</f>
        <v>1185</v>
      </c>
      <c r="R43" s="17">
        <f>Valores!$C$6</f>
        <v>1038.184</v>
      </c>
      <c r="S43" s="17">
        <f>Valores!$B$23</f>
        <v>870</v>
      </c>
      <c r="T43" s="15">
        <f>Valores!$B$20</f>
        <v>755</v>
      </c>
      <c r="U43" s="15">
        <f t="shared" si="2"/>
        <v>755</v>
      </c>
      <c r="V43" s="15">
        <v>0</v>
      </c>
      <c r="W43" s="15">
        <v>0</v>
      </c>
      <c r="X43" s="24">
        <v>0</v>
      </c>
      <c r="Y43" s="15">
        <f>X43*Valores!$B$2</f>
        <v>0</v>
      </c>
      <c r="Z43" s="15">
        <v>0</v>
      </c>
      <c r="AA43" s="39">
        <v>129.04</v>
      </c>
      <c r="AB43" s="15">
        <f t="shared" si="3"/>
        <v>0</v>
      </c>
      <c r="AC43" s="15">
        <v>129.04</v>
      </c>
      <c r="AD43" s="16">
        <v>0</v>
      </c>
      <c r="AE43" s="15">
        <f>AD43*Valores!$B$2</f>
        <v>0</v>
      </c>
      <c r="AF43" s="31">
        <f t="shared" si="4"/>
        <v>12267.001250000001</v>
      </c>
      <c r="AG43" s="15">
        <v>0</v>
      </c>
      <c r="AH43" s="39">
        <f>Valores!$B$4</f>
        <v>340</v>
      </c>
      <c r="AI43" s="15">
        <f>Valores!$B$25</f>
        <v>0</v>
      </c>
      <c r="AJ43" s="15">
        <v>0</v>
      </c>
      <c r="AK43" s="25">
        <f t="shared" si="5"/>
        <v>340</v>
      </c>
      <c r="AL43" s="17">
        <f t="shared" si="6"/>
        <v>9846.925968750002</v>
      </c>
      <c r="AM43" s="43">
        <v>110</v>
      </c>
      <c r="AN43" s="56"/>
      <c r="AO43" s="56"/>
      <c r="AP43" s="20" t="s">
        <v>487</v>
      </c>
    </row>
    <row r="44" spans="2:42" s="20" customFormat="1" ht="11.25" customHeight="1">
      <c r="B44" s="20">
        <v>44</v>
      </c>
      <c r="D44" s="20" t="s">
        <v>79</v>
      </c>
      <c r="F44" s="21" t="s">
        <v>80</v>
      </c>
      <c r="G44" s="28">
        <v>88</v>
      </c>
      <c r="H44" s="15">
        <f>G44*Valores!$B$2</f>
        <v>204.24800000000002</v>
      </c>
      <c r="I44" s="28">
        <v>2622</v>
      </c>
      <c r="J44" s="15">
        <f>I44*Valores!$B$2</f>
        <v>6085.662</v>
      </c>
      <c r="K44" s="27">
        <v>0</v>
      </c>
      <c r="L44" s="15">
        <f>K44*Valores!$B$2</f>
        <v>0</v>
      </c>
      <c r="M44" s="27">
        <v>0</v>
      </c>
      <c r="N44" s="15">
        <f>M44*Valores!$B$2</f>
        <v>0</v>
      </c>
      <c r="O44" s="15">
        <f t="shared" si="0"/>
        <v>1056.7365</v>
      </c>
      <c r="P44" s="15">
        <f t="shared" si="1"/>
        <v>0</v>
      </c>
      <c r="Q44" s="17">
        <f>Valores!$B$13</f>
        <v>1185</v>
      </c>
      <c r="R44" s="17">
        <f>Valores!$C$6</f>
        <v>1038.184</v>
      </c>
      <c r="S44" s="17">
        <f>Valores!$B$23</f>
        <v>870</v>
      </c>
      <c r="T44" s="15">
        <f>Valores!$B$20</f>
        <v>755</v>
      </c>
      <c r="U44" s="15">
        <f t="shared" si="2"/>
        <v>755</v>
      </c>
      <c r="V44" s="15">
        <v>0</v>
      </c>
      <c r="W44" s="15">
        <v>0</v>
      </c>
      <c r="X44" s="24">
        <v>0</v>
      </c>
      <c r="Y44" s="15">
        <f>X44*Valores!$B$2</f>
        <v>0</v>
      </c>
      <c r="Z44" s="15">
        <v>0</v>
      </c>
      <c r="AA44" s="39">
        <v>129.04</v>
      </c>
      <c r="AB44" s="15">
        <f t="shared" si="3"/>
        <v>0</v>
      </c>
      <c r="AC44" s="15">
        <v>129.04</v>
      </c>
      <c r="AD44" s="16">
        <v>0</v>
      </c>
      <c r="AE44" s="15">
        <f>AD44*Valores!$B$2</f>
        <v>0</v>
      </c>
      <c r="AF44" s="31">
        <f t="shared" si="4"/>
        <v>11452.9105</v>
      </c>
      <c r="AG44" s="15">
        <v>0</v>
      </c>
      <c r="AH44" s="39">
        <f>Valores!$B$4</f>
        <v>340</v>
      </c>
      <c r="AI44" s="15">
        <f>Valores!$B$25</f>
        <v>0</v>
      </c>
      <c r="AJ44" s="15">
        <v>0</v>
      </c>
      <c r="AK44" s="25">
        <f t="shared" si="5"/>
        <v>340</v>
      </c>
      <c r="AL44" s="17">
        <f t="shared" si="6"/>
        <v>9216.0056375</v>
      </c>
      <c r="AM44" s="43">
        <v>110</v>
      </c>
      <c r="AN44" s="56"/>
      <c r="AO44" s="56"/>
      <c r="AP44" s="20" t="s">
        <v>487</v>
      </c>
    </row>
    <row r="45" spans="2:42" s="20" customFormat="1" ht="11.25" customHeight="1" thickBot="1">
      <c r="B45" s="20">
        <v>45</v>
      </c>
      <c r="C45" s="20" t="s">
        <v>478</v>
      </c>
      <c r="D45" s="57" t="s">
        <v>81</v>
      </c>
      <c r="E45" s="57"/>
      <c r="F45" s="58" t="s">
        <v>82</v>
      </c>
      <c r="G45" s="59">
        <v>88</v>
      </c>
      <c r="H45" s="60">
        <f>G45*Valores!$B$2</f>
        <v>204.24800000000002</v>
      </c>
      <c r="I45" s="59">
        <v>2622</v>
      </c>
      <c r="J45" s="60">
        <f>I45*Valores!$B$2</f>
        <v>6085.662</v>
      </c>
      <c r="K45" s="70">
        <v>0</v>
      </c>
      <c r="L45" s="60">
        <f>K45*Valores!$B$2</f>
        <v>0</v>
      </c>
      <c r="M45" s="70">
        <v>0</v>
      </c>
      <c r="N45" s="60">
        <f>M45*Valores!$B$2</f>
        <v>0</v>
      </c>
      <c r="O45" s="60">
        <f t="shared" si="0"/>
        <v>1056.7365</v>
      </c>
      <c r="P45" s="60">
        <f t="shared" si="1"/>
        <v>0</v>
      </c>
      <c r="Q45" s="62">
        <f>Valores!$B$13</f>
        <v>1185</v>
      </c>
      <c r="R45" s="62">
        <f>Valores!$C$6</f>
        <v>1038.184</v>
      </c>
      <c r="S45" s="60">
        <f>Valores!$B$23</f>
        <v>870</v>
      </c>
      <c r="T45" s="60">
        <f>Valores!$B$20</f>
        <v>755</v>
      </c>
      <c r="U45" s="60">
        <f t="shared" si="2"/>
        <v>755</v>
      </c>
      <c r="V45" s="60">
        <v>0</v>
      </c>
      <c r="W45" s="60">
        <v>0</v>
      </c>
      <c r="X45" s="63">
        <v>0</v>
      </c>
      <c r="Y45" s="60">
        <f>X45*Valores!$B$2</f>
        <v>0</v>
      </c>
      <c r="Z45" s="60">
        <v>0</v>
      </c>
      <c r="AA45" s="64">
        <v>129.04</v>
      </c>
      <c r="AB45" s="60">
        <f t="shared" si="3"/>
        <v>0</v>
      </c>
      <c r="AC45" s="60">
        <v>129.04</v>
      </c>
      <c r="AD45" s="65">
        <v>0</v>
      </c>
      <c r="AE45" s="60">
        <f>AD45*Valores!$B$2</f>
        <v>0</v>
      </c>
      <c r="AF45" s="66">
        <f t="shared" si="4"/>
        <v>11452.9105</v>
      </c>
      <c r="AG45" s="60">
        <v>0</v>
      </c>
      <c r="AH45" s="64">
        <f>Valores!$B$4</f>
        <v>340</v>
      </c>
      <c r="AI45" s="64">
        <f>Valores!$B$25</f>
        <v>0</v>
      </c>
      <c r="AJ45" s="60">
        <v>0</v>
      </c>
      <c r="AK45" s="67">
        <f t="shared" si="5"/>
        <v>340</v>
      </c>
      <c r="AL45" s="62">
        <f t="shared" si="6"/>
        <v>9216.0056375</v>
      </c>
      <c r="AM45" s="68">
        <v>110</v>
      </c>
      <c r="AN45" s="69"/>
      <c r="AO45" s="69"/>
      <c r="AP45" s="20" t="s">
        <v>487</v>
      </c>
    </row>
    <row r="46" spans="2:42" s="20" customFormat="1" ht="11.25" customHeight="1" thickTop="1">
      <c r="B46" s="20">
        <v>46</v>
      </c>
      <c r="D46" s="20" t="s">
        <v>83</v>
      </c>
      <c r="F46" s="21" t="s">
        <v>84</v>
      </c>
      <c r="G46" s="28">
        <v>80</v>
      </c>
      <c r="H46" s="15">
        <f>G46*Valores!$B$2</f>
        <v>185.68</v>
      </c>
      <c r="I46" s="28">
        <v>2278</v>
      </c>
      <c r="J46" s="15">
        <f>I46*Valores!$B$2</f>
        <v>5287.238</v>
      </c>
      <c r="K46" s="27">
        <v>0</v>
      </c>
      <c r="L46" s="15">
        <f>K46*Valores!$B$2</f>
        <v>0</v>
      </c>
      <c r="M46" s="27">
        <v>0</v>
      </c>
      <c r="N46" s="15">
        <f>M46*Valores!$B$2</f>
        <v>0</v>
      </c>
      <c r="O46" s="15">
        <f t="shared" si="0"/>
        <v>934.1877000000001</v>
      </c>
      <c r="P46" s="15">
        <f t="shared" si="1"/>
        <v>0</v>
      </c>
      <c r="Q46" s="17">
        <f>Valores!$B$13</f>
        <v>1185</v>
      </c>
      <c r="R46" s="17">
        <f>Valores!$C$6</f>
        <v>1038.184</v>
      </c>
      <c r="S46" s="17">
        <f>Valores!$B$23</f>
        <v>870</v>
      </c>
      <c r="T46" s="15">
        <f>Valores!$B$20</f>
        <v>755</v>
      </c>
      <c r="U46" s="15">
        <f t="shared" si="2"/>
        <v>755</v>
      </c>
      <c r="V46" s="15">
        <v>0</v>
      </c>
      <c r="W46" s="15">
        <v>0</v>
      </c>
      <c r="X46" s="24">
        <v>0</v>
      </c>
      <c r="Y46" s="15">
        <f>X46*Valores!$B$2</f>
        <v>0</v>
      </c>
      <c r="Z46" s="15">
        <v>0</v>
      </c>
      <c r="AA46" s="39">
        <v>129.04</v>
      </c>
      <c r="AB46" s="15">
        <f t="shared" si="3"/>
        <v>0</v>
      </c>
      <c r="AC46" s="15">
        <v>129.04</v>
      </c>
      <c r="AD46" s="16">
        <v>0</v>
      </c>
      <c r="AE46" s="15">
        <f>AD46*Valores!$B$2</f>
        <v>0</v>
      </c>
      <c r="AF46" s="31">
        <f t="shared" si="4"/>
        <v>10513.369700000003</v>
      </c>
      <c r="AG46" s="15">
        <v>0</v>
      </c>
      <c r="AH46" s="39">
        <f>Valores!$B$4</f>
        <v>340</v>
      </c>
      <c r="AI46" s="15">
        <f>Valores!$B$25</f>
        <v>0</v>
      </c>
      <c r="AJ46" s="15">
        <v>0</v>
      </c>
      <c r="AK46" s="25">
        <f t="shared" si="5"/>
        <v>340</v>
      </c>
      <c r="AL46" s="17">
        <f t="shared" si="6"/>
        <v>8487.861517500001</v>
      </c>
      <c r="AM46" s="43">
        <v>110</v>
      </c>
      <c r="AN46" s="56"/>
      <c r="AO46" s="56"/>
      <c r="AP46" s="20" t="s">
        <v>487</v>
      </c>
    </row>
    <row r="47" spans="2:42" s="20" customFormat="1" ht="11.25" customHeight="1">
      <c r="B47" s="20">
        <v>47</v>
      </c>
      <c r="D47" s="20" t="s">
        <v>85</v>
      </c>
      <c r="F47" s="21" t="s">
        <v>86</v>
      </c>
      <c r="G47" s="28">
        <v>100</v>
      </c>
      <c r="H47" s="15">
        <f>G47*Valores!$B$2</f>
        <v>232.10000000000002</v>
      </c>
      <c r="I47" s="28">
        <v>3620</v>
      </c>
      <c r="J47" s="15">
        <f>I47*Valores!$B$2</f>
        <v>8402.02</v>
      </c>
      <c r="K47" s="27">
        <v>0</v>
      </c>
      <c r="L47" s="15">
        <f>K47*Valores!$B$2</f>
        <v>0</v>
      </c>
      <c r="M47" s="27">
        <v>0</v>
      </c>
      <c r="N47" s="15">
        <f>M47*Valores!$B$2</f>
        <v>0</v>
      </c>
      <c r="O47" s="15">
        <f t="shared" si="0"/>
        <v>1408.3680000000002</v>
      </c>
      <c r="P47" s="15">
        <f t="shared" si="1"/>
        <v>0</v>
      </c>
      <c r="Q47" s="17">
        <f>Valores!$B$13</f>
        <v>1185</v>
      </c>
      <c r="R47" s="17">
        <f>Valores!$C$6</f>
        <v>1038.184</v>
      </c>
      <c r="S47" s="17">
        <f>Valores!$B$23</f>
        <v>870</v>
      </c>
      <c r="T47" s="15">
        <f>Valores!$B$20</f>
        <v>755</v>
      </c>
      <c r="U47" s="15">
        <f t="shared" si="2"/>
        <v>755</v>
      </c>
      <c r="V47" s="15">
        <v>0</v>
      </c>
      <c r="W47" s="15">
        <v>0</v>
      </c>
      <c r="X47" s="24">
        <v>0</v>
      </c>
      <c r="Y47" s="15">
        <f>X47*Valores!$B$2</f>
        <v>0</v>
      </c>
      <c r="Z47" s="15">
        <v>0</v>
      </c>
      <c r="AA47" s="39">
        <v>129.04</v>
      </c>
      <c r="AB47" s="15">
        <f t="shared" si="3"/>
        <v>0</v>
      </c>
      <c r="AC47" s="15">
        <v>129.04</v>
      </c>
      <c r="AD47" s="16">
        <v>0</v>
      </c>
      <c r="AE47" s="15">
        <f>AD47*Valores!$B$2</f>
        <v>0</v>
      </c>
      <c r="AF47" s="31">
        <f t="shared" si="4"/>
        <v>14148.752000000002</v>
      </c>
      <c r="AG47" s="15">
        <v>0</v>
      </c>
      <c r="AH47" s="39">
        <f>Valores!$B$4</f>
        <v>340</v>
      </c>
      <c r="AI47" s="15">
        <f>Valores!$B$25</f>
        <v>0</v>
      </c>
      <c r="AJ47" s="15">
        <v>0</v>
      </c>
      <c r="AK47" s="25">
        <f t="shared" si="5"/>
        <v>340</v>
      </c>
      <c r="AL47" s="17">
        <f t="shared" si="6"/>
        <v>11305.282800000003</v>
      </c>
      <c r="AM47" s="43">
        <v>220</v>
      </c>
      <c r="AN47" s="56"/>
      <c r="AO47" s="56">
        <v>22</v>
      </c>
      <c r="AP47" s="20" t="s">
        <v>487</v>
      </c>
    </row>
    <row r="48" spans="2:42" s="20" customFormat="1" ht="11.25" customHeight="1">
      <c r="B48" s="20">
        <v>48</v>
      </c>
      <c r="D48" s="20" t="s">
        <v>87</v>
      </c>
      <c r="F48" s="21" t="s">
        <v>88</v>
      </c>
      <c r="G48" s="28">
        <v>100</v>
      </c>
      <c r="H48" s="15">
        <f>G48*Valores!$B$2</f>
        <v>232.10000000000002</v>
      </c>
      <c r="I48" s="28">
        <v>3560</v>
      </c>
      <c r="J48" s="15">
        <f>I48*Valores!$B$2</f>
        <v>8262.76</v>
      </c>
      <c r="K48" s="27">
        <v>0</v>
      </c>
      <c r="L48" s="15">
        <f>K48*Valores!$B$2</f>
        <v>0</v>
      </c>
      <c r="M48" s="27">
        <v>0</v>
      </c>
      <c r="N48" s="15">
        <f>M48*Valores!$B$2</f>
        <v>0</v>
      </c>
      <c r="O48" s="15">
        <f t="shared" si="0"/>
        <v>1387.479</v>
      </c>
      <c r="P48" s="15">
        <f t="shared" si="1"/>
        <v>0</v>
      </c>
      <c r="Q48" s="17">
        <f>Valores!$B$13</f>
        <v>1185</v>
      </c>
      <c r="R48" s="17">
        <f>Valores!$C$6</f>
        <v>1038.184</v>
      </c>
      <c r="S48" s="15">
        <v>0</v>
      </c>
      <c r="T48" s="15">
        <f>Valores!$B$20</f>
        <v>755</v>
      </c>
      <c r="U48" s="15">
        <f t="shared" si="2"/>
        <v>755</v>
      </c>
      <c r="V48" s="15">
        <v>0</v>
      </c>
      <c r="W48" s="15">
        <v>0</v>
      </c>
      <c r="X48" s="24">
        <v>0</v>
      </c>
      <c r="Y48" s="15">
        <f>X48*Valores!$B$2</f>
        <v>0</v>
      </c>
      <c r="Z48" s="15">
        <v>0</v>
      </c>
      <c r="AA48" s="39">
        <v>129.04</v>
      </c>
      <c r="AB48" s="15">
        <f t="shared" si="3"/>
        <v>0</v>
      </c>
      <c r="AC48" s="15">
        <v>129.04</v>
      </c>
      <c r="AD48" s="16">
        <v>0</v>
      </c>
      <c r="AE48" s="15">
        <f>AD48*Valores!$B$2</f>
        <v>0</v>
      </c>
      <c r="AF48" s="31">
        <f t="shared" si="4"/>
        <v>13118.603000000001</v>
      </c>
      <c r="AG48" s="15">
        <v>0</v>
      </c>
      <c r="AH48" s="15">
        <v>0</v>
      </c>
      <c r="AI48" s="15">
        <f>Valores!$B$25</f>
        <v>0</v>
      </c>
      <c r="AJ48" s="15">
        <v>0</v>
      </c>
      <c r="AK48" s="25">
        <f t="shared" si="5"/>
        <v>0</v>
      </c>
      <c r="AL48" s="17">
        <f t="shared" si="6"/>
        <v>10166.917325</v>
      </c>
      <c r="AM48" s="43"/>
      <c r="AN48" s="56"/>
      <c r="AO48" s="56">
        <v>22</v>
      </c>
      <c r="AP48" s="20" t="s">
        <v>486</v>
      </c>
    </row>
    <row r="49" spans="2:42" s="20" customFormat="1" ht="11.25" customHeight="1">
      <c r="B49" s="20">
        <v>49</v>
      </c>
      <c r="D49" s="20" t="s">
        <v>89</v>
      </c>
      <c r="F49" s="21" t="s">
        <v>90</v>
      </c>
      <c r="G49" s="28">
        <v>100</v>
      </c>
      <c r="H49" s="15">
        <f>G49*Valores!$B$2</f>
        <v>232.10000000000002</v>
      </c>
      <c r="I49" s="28">
        <v>3360</v>
      </c>
      <c r="J49" s="15">
        <f>I49*Valores!$B$2</f>
        <v>7798.56</v>
      </c>
      <c r="K49" s="27">
        <v>0</v>
      </c>
      <c r="L49" s="15">
        <f>K49*Valores!$B$2</f>
        <v>0</v>
      </c>
      <c r="M49" s="27">
        <v>0</v>
      </c>
      <c r="N49" s="15">
        <f>M49*Valores!$B$2</f>
        <v>0</v>
      </c>
      <c r="O49" s="15">
        <f t="shared" si="0"/>
        <v>1317.849</v>
      </c>
      <c r="P49" s="15">
        <f t="shared" si="1"/>
        <v>0</v>
      </c>
      <c r="Q49" s="17">
        <f>Valores!$B$13</f>
        <v>1185</v>
      </c>
      <c r="R49" s="17">
        <f>Valores!$C$6</f>
        <v>1038.184</v>
      </c>
      <c r="S49" s="17">
        <f>Valores!$B$23</f>
        <v>870</v>
      </c>
      <c r="T49" s="15">
        <f>Valores!$B$20</f>
        <v>755</v>
      </c>
      <c r="U49" s="15">
        <f t="shared" si="2"/>
        <v>755</v>
      </c>
      <c r="V49" s="15">
        <v>0</v>
      </c>
      <c r="W49" s="15">
        <v>0</v>
      </c>
      <c r="X49" s="24">
        <v>0</v>
      </c>
      <c r="Y49" s="15">
        <f>X49*Valores!$B$2</f>
        <v>0</v>
      </c>
      <c r="Z49" s="15">
        <v>0</v>
      </c>
      <c r="AA49" s="39">
        <v>129.04</v>
      </c>
      <c r="AB49" s="15">
        <f t="shared" si="3"/>
        <v>0</v>
      </c>
      <c r="AC49" s="15">
        <v>129.04</v>
      </c>
      <c r="AD49" s="16">
        <v>0</v>
      </c>
      <c r="AE49" s="15">
        <f>AD49*Valores!$B$2</f>
        <v>0</v>
      </c>
      <c r="AF49" s="31">
        <f t="shared" si="4"/>
        <v>13454.773000000001</v>
      </c>
      <c r="AG49" s="15">
        <v>0</v>
      </c>
      <c r="AH49" s="39">
        <f>Valores!$B$4</f>
        <v>340</v>
      </c>
      <c r="AI49" s="15">
        <f>Valores!$B$25</f>
        <v>0</v>
      </c>
      <c r="AJ49" s="15">
        <v>0</v>
      </c>
      <c r="AK49" s="25">
        <f t="shared" si="5"/>
        <v>340</v>
      </c>
      <c r="AL49" s="17">
        <f t="shared" si="6"/>
        <v>10767.449075</v>
      </c>
      <c r="AM49" s="43"/>
      <c r="AN49" s="56"/>
      <c r="AO49" s="56">
        <v>22</v>
      </c>
      <c r="AP49" s="20" t="s">
        <v>487</v>
      </c>
    </row>
    <row r="50" spans="2:42" s="20" customFormat="1" ht="11.25" customHeight="1" thickBot="1">
      <c r="B50" s="20">
        <v>50</v>
      </c>
      <c r="C50" s="20" t="s">
        <v>478</v>
      </c>
      <c r="D50" s="57" t="s">
        <v>91</v>
      </c>
      <c r="E50" s="57"/>
      <c r="F50" s="58" t="s">
        <v>92</v>
      </c>
      <c r="G50" s="59">
        <v>98</v>
      </c>
      <c r="H50" s="60">
        <f>G50*Valores!$B$2</f>
        <v>227.45800000000003</v>
      </c>
      <c r="I50" s="59">
        <v>2686</v>
      </c>
      <c r="J50" s="60">
        <f>I50*Valores!$B$2</f>
        <v>6234.206</v>
      </c>
      <c r="K50" s="70">
        <v>0</v>
      </c>
      <c r="L50" s="60">
        <f>K50*Valores!$B$2</f>
        <v>0</v>
      </c>
      <c r="M50" s="70">
        <v>0</v>
      </c>
      <c r="N50" s="60">
        <f>M50*Valores!$B$2</f>
        <v>0</v>
      </c>
      <c r="O50" s="60">
        <f t="shared" si="0"/>
        <v>1082.4995999999999</v>
      </c>
      <c r="P50" s="60">
        <f t="shared" si="1"/>
        <v>0</v>
      </c>
      <c r="Q50" s="62">
        <f>Valores!$B$13</f>
        <v>1185</v>
      </c>
      <c r="R50" s="62">
        <f>Valores!$C$6</f>
        <v>1038.184</v>
      </c>
      <c r="S50" s="60">
        <f>Valores!$B$23</f>
        <v>870</v>
      </c>
      <c r="T50" s="60">
        <f>Valores!$B$20</f>
        <v>755</v>
      </c>
      <c r="U50" s="60">
        <f t="shared" si="2"/>
        <v>755</v>
      </c>
      <c r="V50" s="60">
        <v>0</v>
      </c>
      <c r="W50" s="60">
        <v>0</v>
      </c>
      <c r="X50" s="63">
        <v>0</v>
      </c>
      <c r="Y50" s="60">
        <f>X50*Valores!$B$2</f>
        <v>0</v>
      </c>
      <c r="Z50" s="60">
        <v>0</v>
      </c>
      <c r="AA50" s="64">
        <v>129.04</v>
      </c>
      <c r="AB50" s="60">
        <f t="shared" si="3"/>
        <v>0</v>
      </c>
      <c r="AC50" s="60">
        <v>129.04</v>
      </c>
      <c r="AD50" s="65">
        <v>0</v>
      </c>
      <c r="AE50" s="60">
        <f>AD50*Valores!$B$2</f>
        <v>0</v>
      </c>
      <c r="AF50" s="66">
        <f t="shared" si="4"/>
        <v>11650.4276</v>
      </c>
      <c r="AG50" s="60">
        <v>0</v>
      </c>
      <c r="AH50" s="64">
        <f>Valores!$B$4</f>
        <v>340</v>
      </c>
      <c r="AI50" s="64">
        <f>Valores!$B$25</f>
        <v>0</v>
      </c>
      <c r="AJ50" s="60">
        <v>0</v>
      </c>
      <c r="AK50" s="67">
        <f t="shared" si="5"/>
        <v>340</v>
      </c>
      <c r="AL50" s="62">
        <f t="shared" si="6"/>
        <v>9369.081390000001</v>
      </c>
      <c r="AM50" s="68">
        <v>110</v>
      </c>
      <c r="AN50" s="69"/>
      <c r="AO50" s="69"/>
      <c r="AP50" s="20" t="s">
        <v>487</v>
      </c>
    </row>
    <row r="51" spans="2:42" s="20" customFormat="1" ht="11.25" customHeight="1" thickTop="1">
      <c r="B51" s="20">
        <v>51</v>
      </c>
      <c r="D51" s="20" t="s">
        <v>93</v>
      </c>
      <c r="F51" s="21" t="s">
        <v>94</v>
      </c>
      <c r="G51" s="28">
        <v>94</v>
      </c>
      <c r="H51" s="15">
        <f>G51*Valores!$B$2</f>
        <v>218.174</v>
      </c>
      <c r="I51" s="28">
        <v>2690</v>
      </c>
      <c r="J51" s="15">
        <f>I51*Valores!$B$2</f>
        <v>6243.490000000001</v>
      </c>
      <c r="K51" s="27">
        <v>0</v>
      </c>
      <c r="L51" s="15">
        <f>K51*Valores!$B$2</f>
        <v>0</v>
      </c>
      <c r="M51" s="27">
        <v>0</v>
      </c>
      <c r="N51" s="15">
        <f>M51*Valores!$B$2</f>
        <v>0</v>
      </c>
      <c r="O51" s="15">
        <f t="shared" si="0"/>
        <v>1082.4996</v>
      </c>
      <c r="P51" s="15">
        <f t="shared" si="1"/>
        <v>0</v>
      </c>
      <c r="Q51" s="17">
        <f>Valores!$B$13</f>
        <v>1185</v>
      </c>
      <c r="R51" s="17">
        <f>Valores!$C$6</f>
        <v>1038.184</v>
      </c>
      <c r="S51" s="17">
        <f>Valores!$B$23</f>
        <v>870</v>
      </c>
      <c r="T51" s="15">
        <f>Valores!$B$20</f>
        <v>755</v>
      </c>
      <c r="U51" s="15">
        <f t="shared" si="2"/>
        <v>755</v>
      </c>
      <c r="V51" s="15">
        <v>0</v>
      </c>
      <c r="W51" s="15">
        <v>0</v>
      </c>
      <c r="X51" s="24">
        <v>0</v>
      </c>
      <c r="Y51" s="15">
        <f>X51*Valores!$B$2</f>
        <v>0</v>
      </c>
      <c r="Z51" s="15">
        <v>0</v>
      </c>
      <c r="AA51" s="39">
        <v>129.04</v>
      </c>
      <c r="AB51" s="15">
        <f t="shared" si="3"/>
        <v>0</v>
      </c>
      <c r="AC51" s="15">
        <v>129.04</v>
      </c>
      <c r="AD51" s="24">
        <v>94</v>
      </c>
      <c r="AE51" s="15">
        <f>AD51*Valores!$B$2</f>
        <v>218.174</v>
      </c>
      <c r="AF51" s="31">
        <f t="shared" si="4"/>
        <v>11868.601600000002</v>
      </c>
      <c r="AG51" s="15">
        <v>0</v>
      </c>
      <c r="AH51" s="39">
        <f>Valores!$B$5</f>
        <v>373.03438500000004</v>
      </c>
      <c r="AI51" s="15">
        <f>Valores!$B$25</f>
        <v>0</v>
      </c>
      <c r="AJ51" s="15">
        <v>0</v>
      </c>
      <c r="AK51" s="25">
        <f t="shared" si="5"/>
        <v>373.03438500000004</v>
      </c>
      <c r="AL51" s="17">
        <f t="shared" si="6"/>
        <v>9571.200625000003</v>
      </c>
      <c r="AM51" s="43"/>
      <c r="AN51" s="56"/>
      <c r="AO51" s="56">
        <v>25</v>
      </c>
      <c r="AP51" s="20" t="s">
        <v>487</v>
      </c>
    </row>
    <row r="52" spans="2:42" s="20" customFormat="1" ht="11.25" customHeight="1">
      <c r="B52" s="20">
        <v>52</v>
      </c>
      <c r="D52" s="20" t="s">
        <v>95</v>
      </c>
      <c r="F52" s="21" t="s">
        <v>96</v>
      </c>
      <c r="G52" s="28">
        <v>93</v>
      </c>
      <c r="H52" s="15">
        <f>G52*Valores!$B$2</f>
        <v>215.853</v>
      </c>
      <c r="I52" s="28">
        <v>2547</v>
      </c>
      <c r="J52" s="15">
        <f>I52*Valores!$B$2</f>
        <v>5911.587</v>
      </c>
      <c r="K52" s="27">
        <v>0</v>
      </c>
      <c r="L52" s="15">
        <f>K52*Valores!$B$2</f>
        <v>0</v>
      </c>
      <c r="M52" s="27">
        <v>0</v>
      </c>
      <c r="N52" s="15">
        <f>M52*Valores!$B$2</f>
        <v>0</v>
      </c>
      <c r="O52" s="15">
        <f t="shared" si="0"/>
        <v>1032.366</v>
      </c>
      <c r="P52" s="15">
        <f t="shared" si="1"/>
        <v>0</v>
      </c>
      <c r="Q52" s="17">
        <f>Valores!$B$13</f>
        <v>1185</v>
      </c>
      <c r="R52" s="17">
        <f>Valores!$C$6</f>
        <v>1038.184</v>
      </c>
      <c r="S52" s="17">
        <f>Valores!$B$23</f>
        <v>870</v>
      </c>
      <c r="T52" s="15">
        <f>Valores!$B$20</f>
        <v>755</v>
      </c>
      <c r="U52" s="15">
        <f t="shared" si="2"/>
        <v>755</v>
      </c>
      <c r="V52" s="15">
        <v>0</v>
      </c>
      <c r="W52" s="15">
        <v>0</v>
      </c>
      <c r="X52" s="24">
        <v>0</v>
      </c>
      <c r="Y52" s="15">
        <f>X52*Valores!$B$2</f>
        <v>0</v>
      </c>
      <c r="Z52" s="15">
        <v>0</v>
      </c>
      <c r="AA52" s="39">
        <v>129.04</v>
      </c>
      <c r="AB52" s="15">
        <f t="shared" si="3"/>
        <v>0</v>
      </c>
      <c r="AC52" s="15">
        <v>129.04</v>
      </c>
      <c r="AD52" s="16">
        <v>0</v>
      </c>
      <c r="AE52" s="15">
        <f>AD52*Valores!$B$2</f>
        <v>0</v>
      </c>
      <c r="AF52" s="31">
        <f t="shared" si="4"/>
        <v>11266.070000000002</v>
      </c>
      <c r="AG52" s="15">
        <v>0</v>
      </c>
      <c r="AH52" s="39">
        <f>Valores!$B$4</f>
        <v>340</v>
      </c>
      <c r="AI52" s="15">
        <f>Valores!$B$25</f>
        <v>0</v>
      </c>
      <c r="AJ52" s="15">
        <v>0</v>
      </c>
      <c r="AK52" s="25">
        <f t="shared" si="5"/>
        <v>340</v>
      </c>
      <c r="AL52" s="17">
        <f t="shared" si="6"/>
        <v>9071.20425</v>
      </c>
      <c r="AM52" s="43">
        <v>110</v>
      </c>
      <c r="AN52" s="56"/>
      <c r="AO52" s="56"/>
      <c r="AP52" s="20" t="s">
        <v>487</v>
      </c>
    </row>
    <row r="53" spans="2:42" s="20" customFormat="1" ht="11.25" customHeight="1">
      <c r="B53" s="20">
        <v>53</v>
      </c>
      <c r="D53" s="20" t="s">
        <v>97</v>
      </c>
      <c r="F53" s="21" t="s">
        <v>98</v>
      </c>
      <c r="G53" s="28">
        <v>89</v>
      </c>
      <c r="H53" s="15">
        <f>G53*Valores!$B$2</f>
        <v>206.56900000000002</v>
      </c>
      <c r="I53" s="28">
        <v>2551</v>
      </c>
      <c r="J53" s="15">
        <f>I53*Valores!$B$2</f>
        <v>5920.871</v>
      </c>
      <c r="K53" s="27">
        <v>0</v>
      </c>
      <c r="L53" s="15">
        <f>K53*Valores!$B$2</f>
        <v>0</v>
      </c>
      <c r="M53" s="27">
        <v>0</v>
      </c>
      <c r="N53" s="15">
        <f>M53*Valores!$B$2</f>
        <v>0</v>
      </c>
      <c r="O53" s="15">
        <f t="shared" si="0"/>
        <v>1032.366</v>
      </c>
      <c r="P53" s="15">
        <f t="shared" si="1"/>
        <v>0</v>
      </c>
      <c r="Q53" s="17">
        <f>Valores!$B$13</f>
        <v>1185</v>
      </c>
      <c r="R53" s="17">
        <f>Valores!$C$6</f>
        <v>1038.184</v>
      </c>
      <c r="S53" s="17">
        <f>Valores!$B$23</f>
        <v>870</v>
      </c>
      <c r="T53" s="15">
        <f>Valores!$B$20</f>
        <v>755</v>
      </c>
      <c r="U53" s="15">
        <f t="shared" si="2"/>
        <v>755</v>
      </c>
      <c r="V53" s="15">
        <v>0</v>
      </c>
      <c r="W53" s="15">
        <v>0</v>
      </c>
      <c r="X53" s="24">
        <v>0</v>
      </c>
      <c r="Y53" s="15">
        <f>X53*Valores!$B$2</f>
        <v>0</v>
      </c>
      <c r="Z53" s="15">
        <v>0</v>
      </c>
      <c r="AA53" s="39">
        <v>129.04</v>
      </c>
      <c r="AB53" s="15">
        <f t="shared" si="3"/>
        <v>0</v>
      </c>
      <c r="AC53" s="15">
        <v>129.04</v>
      </c>
      <c r="AD53" s="24">
        <v>94</v>
      </c>
      <c r="AE53" s="15">
        <f>AD53*Valores!$B$2</f>
        <v>218.174</v>
      </c>
      <c r="AF53" s="31">
        <f t="shared" si="4"/>
        <v>11484.244000000002</v>
      </c>
      <c r="AG53" s="15">
        <v>0</v>
      </c>
      <c r="AH53" s="39">
        <f>Valores!$B$5</f>
        <v>373.03438500000004</v>
      </c>
      <c r="AI53" s="15">
        <f>Valores!$B$25</f>
        <v>0</v>
      </c>
      <c r="AJ53" s="15">
        <v>0</v>
      </c>
      <c r="AK53" s="25">
        <f t="shared" si="5"/>
        <v>373.03438500000004</v>
      </c>
      <c r="AL53" s="17">
        <f t="shared" si="6"/>
        <v>9273.323485000003</v>
      </c>
      <c r="AM53" s="43"/>
      <c r="AN53" s="56"/>
      <c r="AO53" s="56">
        <v>25</v>
      </c>
      <c r="AP53" s="20" t="s">
        <v>487</v>
      </c>
    </row>
    <row r="54" spans="2:42" s="20" customFormat="1" ht="11.25" customHeight="1">
      <c r="B54" s="20">
        <v>54</v>
      </c>
      <c r="D54" s="20" t="s">
        <v>99</v>
      </c>
      <c r="F54" s="21" t="s">
        <v>100</v>
      </c>
      <c r="G54" s="28">
        <v>89</v>
      </c>
      <c r="H54" s="15">
        <f>G54*Valores!$B$2</f>
        <v>206.56900000000002</v>
      </c>
      <c r="I54" s="28">
        <v>2251</v>
      </c>
      <c r="J54" s="15">
        <f>I54*Valores!$B$2</f>
        <v>5224.571000000001</v>
      </c>
      <c r="K54" s="27">
        <v>0</v>
      </c>
      <c r="L54" s="15">
        <f>K54*Valores!$B$2</f>
        <v>0</v>
      </c>
      <c r="M54" s="27">
        <v>0</v>
      </c>
      <c r="N54" s="15">
        <f>M54*Valores!$B$2</f>
        <v>0</v>
      </c>
      <c r="O54" s="15">
        <f t="shared" si="0"/>
        <v>927.9210000000002</v>
      </c>
      <c r="P54" s="15">
        <f t="shared" si="1"/>
        <v>0</v>
      </c>
      <c r="Q54" s="17">
        <f>Valores!$B$13</f>
        <v>1185</v>
      </c>
      <c r="R54" s="17">
        <f>Valores!$C$6</f>
        <v>1038.184</v>
      </c>
      <c r="S54" s="17">
        <f>Valores!$B$23</f>
        <v>870</v>
      </c>
      <c r="T54" s="15">
        <f>Valores!$B$20</f>
        <v>755</v>
      </c>
      <c r="U54" s="15">
        <f t="shared" si="2"/>
        <v>755</v>
      </c>
      <c r="V54" s="15">
        <v>0</v>
      </c>
      <c r="W54" s="15">
        <v>0</v>
      </c>
      <c r="X54" s="24">
        <v>0</v>
      </c>
      <c r="Y54" s="15">
        <f>X54*Valores!$B$2</f>
        <v>0</v>
      </c>
      <c r="Z54" s="15">
        <v>0</v>
      </c>
      <c r="AA54" s="39">
        <v>129.04</v>
      </c>
      <c r="AB54" s="15">
        <f t="shared" si="3"/>
        <v>0</v>
      </c>
      <c r="AC54" s="15">
        <v>129.04</v>
      </c>
      <c r="AD54" s="16">
        <v>0</v>
      </c>
      <c r="AE54" s="15">
        <f>AD54*Valores!$B$2</f>
        <v>0</v>
      </c>
      <c r="AF54" s="31">
        <f t="shared" si="4"/>
        <v>10465.325000000003</v>
      </c>
      <c r="AG54" s="15">
        <v>0</v>
      </c>
      <c r="AH54" s="39">
        <f>Valores!$B$4</f>
        <v>340</v>
      </c>
      <c r="AI54" s="15">
        <f>Valores!$B$25</f>
        <v>0</v>
      </c>
      <c r="AJ54" s="15">
        <v>0</v>
      </c>
      <c r="AK54" s="25">
        <f t="shared" si="5"/>
        <v>340</v>
      </c>
      <c r="AL54" s="17">
        <f t="shared" si="6"/>
        <v>8450.626875000002</v>
      </c>
      <c r="AM54" s="43">
        <v>110</v>
      </c>
      <c r="AN54" s="56"/>
      <c r="AO54" s="56"/>
      <c r="AP54" s="20" t="s">
        <v>487</v>
      </c>
    </row>
    <row r="55" spans="2:42" s="20" customFormat="1" ht="11.25" customHeight="1" thickBot="1">
      <c r="B55" s="20">
        <v>55</v>
      </c>
      <c r="C55" s="20" t="s">
        <v>478</v>
      </c>
      <c r="D55" s="57" t="s">
        <v>101</v>
      </c>
      <c r="E55" s="57"/>
      <c r="F55" s="58" t="s">
        <v>102</v>
      </c>
      <c r="G55" s="59">
        <v>85</v>
      </c>
      <c r="H55" s="60">
        <f>G55*Valores!$B$2</f>
        <v>197.28500000000003</v>
      </c>
      <c r="I55" s="59">
        <v>2255</v>
      </c>
      <c r="J55" s="60">
        <f>I55*Valores!$B$2</f>
        <v>5233.8550000000005</v>
      </c>
      <c r="K55" s="70">
        <v>0</v>
      </c>
      <c r="L55" s="60">
        <f>K55*Valores!$B$2</f>
        <v>0</v>
      </c>
      <c r="M55" s="70">
        <v>0</v>
      </c>
      <c r="N55" s="60">
        <f>M55*Valores!$B$2</f>
        <v>0</v>
      </c>
      <c r="O55" s="60">
        <f t="shared" si="0"/>
        <v>927.921</v>
      </c>
      <c r="P55" s="60">
        <f t="shared" si="1"/>
        <v>0</v>
      </c>
      <c r="Q55" s="62">
        <f>Valores!$B$13</f>
        <v>1185</v>
      </c>
      <c r="R55" s="62">
        <f>Valores!$C$6</f>
        <v>1038.184</v>
      </c>
      <c r="S55" s="60">
        <f>Valores!$B$23</f>
        <v>870</v>
      </c>
      <c r="T55" s="60">
        <f>Valores!$B$20</f>
        <v>755</v>
      </c>
      <c r="U55" s="60">
        <f t="shared" si="2"/>
        <v>755</v>
      </c>
      <c r="V55" s="60">
        <v>0</v>
      </c>
      <c r="W55" s="60">
        <v>0</v>
      </c>
      <c r="X55" s="63">
        <v>0</v>
      </c>
      <c r="Y55" s="60">
        <f>X55*Valores!$B$2</f>
        <v>0</v>
      </c>
      <c r="Z55" s="60">
        <v>0</v>
      </c>
      <c r="AA55" s="64">
        <v>129.04</v>
      </c>
      <c r="AB55" s="60">
        <f t="shared" si="3"/>
        <v>0</v>
      </c>
      <c r="AC55" s="60">
        <v>129.04</v>
      </c>
      <c r="AD55" s="63">
        <v>94</v>
      </c>
      <c r="AE55" s="60">
        <f>AD55*Valores!$B$2</f>
        <v>218.174</v>
      </c>
      <c r="AF55" s="66">
        <f t="shared" si="4"/>
        <v>10683.499000000003</v>
      </c>
      <c r="AG55" s="60">
        <v>0</v>
      </c>
      <c r="AH55" s="64">
        <f>Valores!$B$5</f>
        <v>373.03438500000004</v>
      </c>
      <c r="AI55" s="64">
        <f>Valores!$B$25</f>
        <v>0</v>
      </c>
      <c r="AJ55" s="60">
        <v>0</v>
      </c>
      <c r="AK55" s="67">
        <f t="shared" si="5"/>
        <v>373.03438500000004</v>
      </c>
      <c r="AL55" s="62">
        <f t="shared" si="6"/>
        <v>8652.746110000004</v>
      </c>
      <c r="AM55" s="68">
        <v>110</v>
      </c>
      <c r="AN55" s="69"/>
      <c r="AO55" s="69">
        <v>25</v>
      </c>
      <c r="AP55" s="20" t="s">
        <v>487</v>
      </c>
    </row>
    <row r="56" spans="2:42" s="20" customFormat="1" ht="11.25" customHeight="1" thickTop="1">
      <c r="B56" s="20">
        <v>56</v>
      </c>
      <c r="D56" s="20" t="s">
        <v>103</v>
      </c>
      <c r="F56" s="21" t="s">
        <v>104</v>
      </c>
      <c r="G56" s="28">
        <v>100</v>
      </c>
      <c r="H56" s="15">
        <f>G56*Valores!$B$2</f>
        <v>232.10000000000002</v>
      </c>
      <c r="I56" s="28">
        <v>3180</v>
      </c>
      <c r="J56" s="15">
        <f>I56*Valores!$B$2</f>
        <v>7380.780000000001</v>
      </c>
      <c r="K56" s="27">
        <v>0</v>
      </c>
      <c r="L56" s="15">
        <f>K56*Valores!$B$2</f>
        <v>0</v>
      </c>
      <c r="M56" s="27">
        <v>0</v>
      </c>
      <c r="N56" s="15">
        <f>M56*Valores!$B$2</f>
        <v>0</v>
      </c>
      <c r="O56" s="15">
        <f t="shared" si="0"/>
        <v>1255.182</v>
      </c>
      <c r="P56" s="15">
        <f t="shared" si="1"/>
        <v>0</v>
      </c>
      <c r="Q56" s="17">
        <f>Valores!$B$13</f>
        <v>1185</v>
      </c>
      <c r="R56" s="17">
        <f>Valores!$C$6</f>
        <v>1038.184</v>
      </c>
      <c r="S56" s="17">
        <f>Valores!$B$23</f>
        <v>870</v>
      </c>
      <c r="T56" s="15">
        <f>Valores!$B$20</f>
        <v>755</v>
      </c>
      <c r="U56" s="15">
        <f t="shared" si="2"/>
        <v>755</v>
      </c>
      <c r="V56" s="15">
        <v>0</v>
      </c>
      <c r="W56" s="15">
        <v>0</v>
      </c>
      <c r="X56" s="24">
        <v>0</v>
      </c>
      <c r="Y56" s="15">
        <f>X56*Valores!$B$2</f>
        <v>0</v>
      </c>
      <c r="Z56" s="15">
        <v>0</v>
      </c>
      <c r="AA56" s="39">
        <v>129.04</v>
      </c>
      <c r="AB56" s="15">
        <f t="shared" si="3"/>
        <v>0</v>
      </c>
      <c r="AC56" s="15">
        <v>129.04</v>
      </c>
      <c r="AD56" s="16">
        <v>0</v>
      </c>
      <c r="AE56" s="15">
        <f>AD56*Valores!$B$2</f>
        <v>0</v>
      </c>
      <c r="AF56" s="31">
        <f t="shared" si="4"/>
        <v>12974.326000000003</v>
      </c>
      <c r="AG56" s="15">
        <v>0</v>
      </c>
      <c r="AH56" s="39">
        <f>Valores!$B$4</f>
        <v>340</v>
      </c>
      <c r="AI56" s="15">
        <f>Valores!$B$25</f>
        <v>0</v>
      </c>
      <c r="AJ56" s="15">
        <v>0</v>
      </c>
      <c r="AK56" s="25">
        <f t="shared" si="5"/>
        <v>340</v>
      </c>
      <c r="AL56" s="17">
        <f t="shared" si="6"/>
        <v>10395.102650000003</v>
      </c>
      <c r="AM56" s="43"/>
      <c r="AN56" s="56"/>
      <c r="AO56" s="56">
        <v>22</v>
      </c>
      <c r="AP56" s="20" t="s">
        <v>487</v>
      </c>
    </row>
    <row r="57" spans="2:42" s="20" customFormat="1" ht="11.25" customHeight="1">
      <c r="B57" s="20">
        <v>57</v>
      </c>
      <c r="D57" s="20" t="s">
        <v>105</v>
      </c>
      <c r="F57" s="21" t="s">
        <v>106</v>
      </c>
      <c r="G57" s="28">
        <v>83</v>
      </c>
      <c r="H57" s="15">
        <f>G57*Valores!$B$2</f>
        <v>192.643</v>
      </c>
      <c r="I57" s="28">
        <v>2352</v>
      </c>
      <c r="J57" s="15">
        <f>I57*Valores!$B$2</f>
        <v>5458.992</v>
      </c>
      <c r="K57" s="27">
        <v>0</v>
      </c>
      <c r="L57" s="15">
        <f>K57*Valores!$B$2</f>
        <v>0</v>
      </c>
      <c r="M57" s="27">
        <v>0</v>
      </c>
      <c r="N57" s="15">
        <f>M57*Valores!$B$2</f>
        <v>0</v>
      </c>
      <c r="O57" s="15">
        <f t="shared" si="0"/>
        <v>960.9952499999999</v>
      </c>
      <c r="P57" s="15">
        <f t="shared" si="1"/>
        <v>0</v>
      </c>
      <c r="Q57" s="17">
        <f>Valores!$B$13</f>
        <v>1185</v>
      </c>
      <c r="R57" s="17">
        <f>Valores!$C$6</f>
        <v>1038.184</v>
      </c>
      <c r="S57" s="17">
        <f>Valores!$B$23</f>
        <v>870</v>
      </c>
      <c r="T57" s="15">
        <f>Valores!$B$20</f>
        <v>755</v>
      </c>
      <c r="U57" s="15">
        <f t="shared" si="2"/>
        <v>755</v>
      </c>
      <c r="V57" s="15">
        <v>0</v>
      </c>
      <c r="W57" s="15">
        <v>0</v>
      </c>
      <c r="X57" s="24">
        <v>0</v>
      </c>
      <c r="Y57" s="15">
        <f>X57*Valores!$B$2</f>
        <v>0</v>
      </c>
      <c r="Z57" s="15">
        <v>0</v>
      </c>
      <c r="AA57" s="39">
        <v>129.04</v>
      </c>
      <c r="AB57" s="15">
        <f t="shared" si="3"/>
        <v>0</v>
      </c>
      <c r="AC57" s="15">
        <v>129.04</v>
      </c>
      <c r="AD57" s="16">
        <v>0</v>
      </c>
      <c r="AE57" s="15">
        <f>AD57*Valores!$B$2</f>
        <v>0</v>
      </c>
      <c r="AF57" s="31">
        <f t="shared" si="4"/>
        <v>10718.894250000001</v>
      </c>
      <c r="AG57" s="15">
        <v>0</v>
      </c>
      <c r="AH57" s="39">
        <f>Valores!$B$4</f>
        <v>340</v>
      </c>
      <c r="AI57" s="15">
        <f>Valores!$B$25</f>
        <v>0</v>
      </c>
      <c r="AJ57" s="15">
        <v>0</v>
      </c>
      <c r="AK57" s="25">
        <f t="shared" si="5"/>
        <v>340</v>
      </c>
      <c r="AL57" s="17">
        <f t="shared" si="6"/>
        <v>8647.14304375</v>
      </c>
      <c r="AM57" s="43">
        <v>110</v>
      </c>
      <c r="AN57" s="56"/>
      <c r="AO57" s="56"/>
      <c r="AP57" s="20" t="s">
        <v>487</v>
      </c>
    </row>
    <row r="58" spans="2:42" s="20" customFormat="1" ht="11.25" customHeight="1">
      <c r="B58" s="20">
        <v>58</v>
      </c>
      <c r="D58" s="20" t="s">
        <v>107</v>
      </c>
      <c r="F58" s="21" t="s">
        <v>108</v>
      </c>
      <c r="G58" s="28">
        <v>81</v>
      </c>
      <c r="H58" s="15">
        <f>G58*Valores!$B$2</f>
        <v>188.001</v>
      </c>
      <c r="I58" s="28">
        <v>2354</v>
      </c>
      <c r="J58" s="15">
        <f>I58*Valores!$B$2</f>
        <v>5463.634</v>
      </c>
      <c r="K58" s="27">
        <v>0</v>
      </c>
      <c r="L58" s="15">
        <f>K58*Valores!$B$2</f>
        <v>0</v>
      </c>
      <c r="M58" s="27">
        <v>0</v>
      </c>
      <c r="N58" s="15">
        <f>M58*Valores!$B$2</f>
        <v>0</v>
      </c>
      <c r="O58" s="15">
        <f t="shared" si="0"/>
        <v>960.9952499999999</v>
      </c>
      <c r="P58" s="15">
        <f t="shared" si="1"/>
        <v>0</v>
      </c>
      <c r="Q58" s="17">
        <f>Valores!$B$13</f>
        <v>1185</v>
      </c>
      <c r="R58" s="17">
        <f>Valores!$C$6</f>
        <v>1038.184</v>
      </c>
      <c r="S58" s="17">
        <f>Valores!$B$23</f>
        <v>870</v>
      </c>
      <c r="T58" s="15">
        <f>Valores!$B$20</f>
        <v>755</v>
      </c>
      <c r="U58" s="15">
        <f t="shared" si="2"/>
        <v>755</v>
      </c>
      <c r="V58" s="15">
        <v>0</v>
      </c>
      <c r="W58" s="15">
        <v>0</v>
      </c>
      <c r="X58" s="24">
        <v>0</v>
      </c>
      <c r="Y58" s="15">
        <f>X58*Valores!$B$2</f>
        <v>0</v>
      </c>
      <c r="Z58" s="15">
        <v>0</v>
      </c>
      <c r="AA58" s="39">
        <v>129.04</v>
      </c>
      <c r="AB58" s="15">
        <f t="shared" si="3"/>
        <v>0</v>
      </c>
      <c r="AC58" s="15">
        <v>129.04</v>
      </c>
      <c r="AD58" s="24">
        <v>94</v>
      </c>
      <c r="AE58" s="15">
        <f>AD58*Valores!$B$2</f>
        <v>218.174</v>
      </c>
      <c r="AF58" s="31">
        <f t="shared" si="4"/>
        <v>10937.068250000002</v>
      </c>
      <c r="AG58" s="15">
        <v>0</v>
      </c>
      <c r="AH58" s="39">
        <f>Valores!$B$5</f>
        <v>373.03438500000004</v>
      </c>
      <c r="AI58" s="15">
        <f>Valores!$B$25</f>
        <v>0</v>
      </c>
      <c r="AJ58" s="15">
        <v>0</v>
      </c>
      <c r="AK58" s="25">
        <f t="shared" si="5"/>
        <v>373.03438500000004</v>
      </c>
      <c r="AL58" s="17">
        <f t="shared" si="6"/>
        <v>8849.262278750002</v>
      </c>
      <c r="AM58" s="43">
        <v>110</v>
      </c>
      <c r="AN58" s="56"/>
      <c r="AO58" s="56">
        <v>25</v>
      </c>
      <c r="AP58" s="20" t="s">
        <v>487</v>
      </c>
    </row>
    <row r="59" spans="2:42" s="20" customFormat="1" ht="11.25" customHeight="1">
      <c r="B59" s="20">
        <v>59</v>
      </c>
      <c r="D59" s="20" t="s">
        <v>109</v>
      </c>
      <c r="F59" s="21" t="s">
        <v>110</v>
      </c>
      <c r="G59" s="28">
        <v>81</v>
      </c>
      <c r="H59" s="15">
        <f>G59*Valores!$B$2</f>
        <v>188.001</v>
      </c>
      <c r="I59" s="28">
        <v>2094</v>
      </c>
      <c r="J59" s="15">
        <f>I59*Valores!$B$2</f>
        <v>4860.174</v>
      </c>
      <c r="K59" s="27">
        <v>0</v>
      </c>
      <c r="L59" s="15">
        <f>K59*Valores!$B$2</f>
        <v>0</v>
      </c>
      <c r="M59" s="27">
        <v>0</v>
      </c>
      <c r="N59" s="15">
        <f>M59*Valores!$B$2</f>
        <v>0</v>
      </c>
      <c r="O59" s="15">
        <f t="shared" si="0"/>
        <v>870.47625</v>
      </c>
      <c r="P59" s="15">
        <f t="shared" si="1"/>
        <v>0</v>
      </c>
      <c r="Q59" s="17">
        <f>Valores!$B$13</f>
        <v>1185</v>
      </c>
      <c r="R59" s="17">
        <f>Valores!$C$6</f>
        <v>1038.184</v>
      </c>
      <c r="S59" s="17">
        <f>Valores!$B$23</f>
        <v>870</v>
      </c>
      <c r="T59" s="15">
        <f>Valores!$B$20</f>
        <v>755</v>
      </c>
      <c r="U59" s="15">
        <f t="shared" si="2"/>
        <v>755</v>
      </c>
      <c r="V59" s="15">
        <v>0</v>
      </c>
      <c r="W59" s="15">
        <v>0</v>
      </c>
      <c r="X59" s="24">
        <v>0</v>
      </c>
      <c r="Y59" s="15">
        <f>X59*Valores!$B$2</f>
        <v>0</v>
      </c>
      <c r="Z59" s="15">
        <v>0</v>
      </c>
      <c r="AA59" s="39">
        <v>129.04</v>
      </c>
      <c r="AB59" s="15">
        <f t="shared" si="3"/>
        <v>0</v>
      </c>
      <c r="AC59" s="15">
        <v>129.04</v>
      </c>
      <c r="AD59" s="16">
        <v>0</v>
      </c>
      <c r="AE59" s="15">
        <f>AD59*Valores!$B$2</f>
        <v>0</v>
      </c>
      <c r="AF59" s="31">
        <f t="shared" si="4"/>
        <v>10024.915250000002</v>
      </c>
      <c r="AG59" s="15">
        <v>0</v>
      </c>
      <c r="AH59" s="39">
        <f>Valores!$B$4</f>
        <v>340</v>
      </c>
      <c r="AI59" s="15">
        <f>Valores!$B$25</f>
        <v>0</v>
      </c>
      <c r="AJ59" s="15">
        <v>0</v>
      </c>
      <c r="AK59" s="25">
        <f t="shared" si="5"/>
        <v>340</v>
      </c>
      <c r="AL59" s="17">
        <f t="shared" si="6"/>
        <v>8109.309318750002</v>
      </c>
      <c r="AM59" s="43">
        <v>110</v>
      </c>
      <c r="AN59" s="56"/>
      <c r="AO59" s="56"/>
      <c r="AP59" s="20" t="s">
        <v>487</v>
      </c>
    </row>
    <row r="60" spans="2:42" s="20" customFormat="1" ht="11.25" customHeight="1" thickBot="1">
      <c r="B60" s="20">
        <v>60</v>
      </c>
      <c r="C60" s="20" t="s">
        <v>478</v>
      </c>
      <c r="D60" s="57" t="s">
        <v>111</v>
      </c>
      <c r="E60" s="57"/>
      <c r="F60" s="58" t="s">
        <v>112</v>
      </c>
      <c r="G60" s="59">
        <v>80</v>
      </c>
      <c r="H60" s="60">
        <f>G60*Valores!$B$2</f>
        <v>185.68</v>
      </c>
      <c r="I60" s="59">
        <v>2095</v>
      </c>
      <c r="J60" s="60">
        <f>I60*Valores!$B$2</f>
        <v>4862.495000000001</v>
      </c>
      <c r="K60" s="70">
        <v>0</v>
      </c>
      <c r="L60" s="60">
        <f>K60*Valores!$B$2</f>
        <v>0</v>
      </c>
      <c r="M60" s="70">
        <v>0</v>
      </c>
      <c r="N60" s="60">
        <f>M60*Valores!$B$2</f>
        <v>0</v>
      </c>
      <c r="O60" s="60">
        <f t="shared" si="0"/>
        <v>870.4762500000002</v>
      </c>
      <c r="P60" s="60">
        <f t="shared" si="1"/>
        <v>0</v>
      </c>
      <c r="Q60" s="62">
        <f>Valores!$B$13</f>
        <v>1185</v>
      </c>
      <c r="R60" s="62">
        <f>Valores!$C$6</f>
        <v>1038.184</v>
      </c>
      <c r="S60" s="60">
        <f>Valores!$B$23</f>
        <v>870</v>
      </c>
      <c r="T60" s="60">
        <f>Valores!$B$20</f>
        <v>755</v>
      </c>
      <c r="U60" s="60">
        <f t="shared" si="2"/>
        <v>755</v>
      </c>
      <c r="V60" s="60">
        <v>0</v>
      </c>
      <c r="W60" s="60">
        <v>0</v>
      </c>
      <c r="X60" s="63">
        <v>0</v>
      </c>
      <c r="Y60" s="60">
        <f>X60*Valores!$B$2</f>
        <v>0</v>
      </c>
      <c r="Z60" s="60">
        <v>0</v>
      </c>
      <c r="AA60" s="64">
        <v>129.04</v>
      </c>
      <c r="AB60" s="60">
        <f t="shared" si="3"/>
        <v>0</v>
      </c>
      <c r="AC60" s="60">
        <v>129.04</v>
      </c>
      <c r="AD60" s="63">
        <v>94</v>
      </c>
      <c r="AE60" s="60">
        <f>AD60*Valores!$B$2</f>
        <v>218.174</v>
      </c>
      <c r="AF60" s="66">
        <f t="shared" si="4"/>
        <v>10243.089250000003</v>
      </c>
      <c r="AG60" s="60">
        <v>0</v>
      </c>
      <c r="AH60" s="64">
        <f>Valores!$B$5</f>
        <v>373.03438500000004</v>
      </c>
      <c r="AI60" s="64">
        <f>Valores!$B$25</f>
        <v>0</v>
      </c>
      <c r="AJ60" s="60">
        <v>0</v>
      </c>
      <c r="AK60" s="67">
        <f t="shared" si="5"/>
        <v>373.03438500000004</v>
      </c>
      <c r="AL60" s="62">
        <f t="shared" si="6"/>
        <v>8311.428553750004</v>
      </c>
      <c r="AM60" s="68"/>
      <c r="AN60" s="69"/>
      <c r="AO60" s="69">
        <v>25</v>
      </c>
      <c r="AP60" s="20" t="s">
        <v>487</v>
      </c>
    </row>
    <row r="61" spans="2:42" s="20" customFormat="1" ht="11.25" customHeight="1" thickTop="1">
      <c r="B61" s="20">
        <v>61</v>
      </c>
      <c r="D61" s="20" t="s">
        <v>113</v>
      </c>
      <c r="F61" s="21" t="s">
        <v>114</v>
      </c>
      <c r="G61" s="28">
        <v>79</v>
      </c>
      <c r="H61" s="15">
        <f>G61*Valores!$B$2</f>
        <v>183.359</v>
      </c>
      <c r="I61" s="28">
        <v>1944</v>
      </c>
      <c r="J61" s="15">
        <f>I61*Valores!$B$2</f>
        <v>4512.024</v>
      </c>
      <c r="K61" s="27">
        <v>0</v>
      </c>
      <c r="L61" s="15">
        <f>K61*Valores!$B$2</f>
        <v>0</v>
      </c>
      <c r="M61" s="27">
        <v>0</v>
      </c>
      <c r="N61" s="15">
        <f>M61*Valores!$B$2</f>
        <v>0</v>
      </c>
      <c r="O61" s="15">
        <f t="shared" si="0"/>
        <v>817.5574500000001</v>
      </c>
      <c r="P61" s="15">
        <f t="shared" si="1"/>
        <v>0</v>
      </c>
      <c r="Q61" s="17">
        <f>Valores!$B$13</f>
        <v>1185</v>
      </c>
      <c r="R61" s="17">
        <f>Valores!$C$6</f>
        <v>1038.184</v>
      </c>
      <c r="S61" s="17">
        <f>Valores!$B$23</f>
        <v>870</v>
      </c>
      <c r="T61" s="15">
        <f>Valores!$B$20</f>
        <v>755</v>
      </c>
      <c r="U61" s="15">
        <f t="shared" si="2"/>
        <v>755</v>
      </c>
      <c r="V61" s="15">
        <v>0</v>
      </c>
      <c r="W61" s="15">
        <v>0</v>
      </c>
      <c r="X61" s="24">
        <v>0</v>
      </c>
      <c r="Y61" s="15">
        <f>X61*Valores!$B$2</f>
        <v>0</v>
      </c>
      <c r="Z61" s="15">
        <v>0</v>
      </c>
      <c r="AA61" s="39">
        <v>129.04</v>
      </c>
      <c r="AB61" s="15">
        <f t="shared" si="3"/>
        <v>0</v>
      </c>
      <c r="AC61" s="15">
        <v>129.04</v>
      </c>
      <c r="AD61" s="16">
        <v>0</v>
      </c>
      <c r="AE61" s="15">
        <f>AD61*Valores!$B$2</f>
        <v>0</v>
      </c>
      <c r="AF61" s="31">
        <f t="shared" si="4"/>
        <v>9619.204450000003</v>
      </c>
      <c r="AG61" s="15">
        <v>0</v>
      </c>
      <c r="AH61" s="39">
        <f>Valores!$B$4</f>
        <v>340</v>
      </c>
      <c r="AI61" s="15">
        <f>Valores!$B$25</f>
        <v>0</v>
      </c>
      <c r="AJ61" s="15">
        <v>0</v>
      </c>
      <c r="AK61" s="25">
        <f t="shared" si="5"/>
        <v>340</v>
      </c>
      <c r="AL61" s="17">
        <f t="shared" si="6"/>
        <v>7794.883448750003</v>
      </c>
      <c r="AM61" s="43"/>
      <c r="AN61" s="56"/>
      <c r="AO61" s="56"/>
      <c r="AP61" s="20" t="s">
        <v>487</v>
      </c>
    </row>
    <row r="62" spans="2:42" s="20" customFormat="1" ht="11.25" customHeight="1">
      <c r="B62" s="20">
        <v>62</v>
      </c>
      <c r="D62" s="20" t="s">
        <v>115</v>
      </c>
      <c r="F62" s="21" t="s">
        <v>116</v>
      </c>
      <c r="G62" s="28">
        <v>79</v>
      </c>
      <c r="H62" s="15">
        <f>G62*Valores!$B$2</f>
        <v>183.359</v>
      </c>
      <c r="I62" s="28">
        <v>1944</v>
      </c>
      <c r="J62" s="15">
        <f>I62*Valores!$B$2</f>
        <v>4512.024</v>
      </c>
      <c r="K62" s="27">
        <v>0</v>
      </c>
      <c r="L62" s="15">
        <f>K62*Valores!$B$2</f>
        <v>0</v>
      </c>
      <c r="M62" s="27">
        <v>0</v>
      </c>
      <c r="N62" s="15">
        <f>M62*Valores!$B$2</f>
        <v>0</v>
      </c>
      <c r="O62" s="15">
        <f t="shared" si="0"/>
        <v>817.5574500000001</v>
      </c>
      <c r="P62" s="15">
        <f t="shared" si="1"/>
        <v>0</v>
      </c>
      <c r="Q62" s="17">
        <f>Valores!$B$13</f>
        <v>1185</v>
      </c>
      <c r="R62" s="17">
        <f>Valores!$C$6</f>
        <v>1038.184</v>
      </c>
      <c r="S62" s="17">
        <f>Valores!$B$23</f>
        <v>870</v>
      </c>
      <c r="T62" s="15">
        <f>Valores!$B$20</f>
        <v>755</v>
      </c>
      <c r="U62" s="15">
        <f t="shared" si="2"/>
        <v>755</v>
      </c>
      <c r="V62" s="15">
        <v>0</v>
      </c>
      <c r="W62" s="15">
        <v>0</v>
      </c>
      <c r="X62" s="24">
        <v>0</v>
      </c>
      <c r="Y62" s="15">
        <f>X62*Valores!$B$2</f>
        <v>0</v>
      </c>
      <c r="Z62" s="15">
        <v>0</v>
      </c>
      <c r="AA62" s="39">
        <v>129.04</v>
      </c>
      <c r="AB62" s="15">
        <f t="shared" si="3"/>
        <v>0</v>
      </c>
      <c r="AC62" s="15">
        <v>129.04</v>
      </c>
      <c r="AD62" s="24">
        <v>94</v>
      </c>
      <c r="AE62" s="15">
        <f>AD62*Valores!$B$2</f>
        <v>218.174</v>
      </c>
      <c r="AF62" s="31">
        <f t="shared" si="4"/>
        <v>9837.378450000004</v>
      </c>
      <c r="AG62" s="15">
        <v>0</v>
      </c>
      <c r="AH62" s="39">
        <f>Valores!$B$5</f>
        <v>373.03438500000004</v>
      </c>
      <c r="AI62" s="15">
        <f>Valores!$B$25</f>
        <v>0</v>
      </c>
      <c r="AJ62" s="15">
        <v>0</v>
      </c>
      <c r="AK62" s="25">
        <f t="shared" si="5"/>
        <v>373.03438500000004</v>
      </c>
      <c r="AL62" s="17">
        <f t="shared" si="6"/>
        <v>7997.002683750003</v>
      </c>
      <c r="AM62" s="43"/>
      <c r="AN62" s="56"/>
      <c r="AO62" s="56">
        <v>25</v>
      </c>
      <c r="AP62" s="20" t="s">
        <v>486</v>
      </c>
    </row>
    <row r="63" spans="2:42" s="20" customFormat="1" ht="11.25" customHeight="1">
      <c r="B63" s="20">
        <v>63</v>
      </c>
      <c r="D63" s="20" t="s">
        <v>117</v>
      </c>
      <c r="F63" s="21" t="s">
        <v>118</v>
      </c>
      <c r="G63" s="28">
        <v>100</v>
      </c>
      <c r="H63" s="15">
        <f>G63*Valores!$B$2</f>
        <v>232.10000000000002</v>
      </c>
      <c r="I63" s="28">
        <v>2864</v>
      </c>
      <c r="J63" s="15">
        <f>I63*Valores!$B$2</f>
        <v>6647.344</v>
      </c>
      <c r="K63" s="27">
        <v>0</v>
      </c>
      <c r="L63" s="15">
        <f>K63*Valores!$B$2</f>
        <v>0</v>
      </c>
      <c r="M63" s="27">
        <v>0</v>
      </c>
      <c r="N63" s="15">
        <f>M63*Valores!$B$2</f>
        <v>0</v>
      </c>
      <c r="O63" s="15">
        <f t="shared" si="0"/>
        <v>1145.1666</v>
      </c>
      <c r="P63" s="15">
        <f t="shared" si="1"/>
        <v>0</v>
      </c>
      <c r="Q63" s="17">
        <f>Valores!$B$13</f>
        <v>1185</v>
      </c>
      <c r="R63" s="17">
        <f>Valores!$C$6</f>
        <v>1038.184</v>
      </c>
      <c r="S63" s="15">
        <v>0</v>
      </c>
      <c r="T63" s="15">
        <f>Valores!$B$20</f>
        <v>755</v>
      </c>
      <c r="U63" s="15">
        <f t="shared" si="2"/>
        <v>755</v>
      </c>
      <c r="V63" s="15">
        <v>0</v>
      </c>
      <c r="W63" s="15">
        <v>0</v>
      </c>
      <c r="X63" s="24">
        <v>0</v>
      </c>
      <c r="Y63" s="15">
        <f>X63*Valores!$B$2</f>
        <v>0</v>
      </c>
      <c r="Z63" s="15">
        <v>0</v>
      </c>
      <c r="AA63" s="39">
        <v>129.04</v>
      </c>
      <c r="AB63" s="15">
        <f t="shared" si="3"/>
        <v>0</v>
      </c>
      <c r="AC63" s="15">
        <v>129.04</v>
      </c>
      <c r="AD63" s="16">
        <v>0</v>
      </c>
      <c r="AE63" s="15">
        <f>AD63*Valores!$B$2</f>
        <v>0</v>
      </c>
      <c r="AF63" s="31">
        <f t="shared" si="4"/>
        <v>11260.874600000001</v>
      </c>
      <c r="AG63" s="15">
        <v>0</v>
      </c>
      <c r="AH63" s="15">
        <v>0</v>
      </c>
      <c r="AI63" s="15">
        <f>Valores!$B$25</f>
        <v>0</v>
      </c>
      <c r="AJ63" s="15">
        <v>0</v>
      </c>
      <c r="AK63" s="25">
        <f t="shared" si="5"/>
        <v>0</v>
      </c>
      <c r="AL63" s="17">
        <f t="shared" si="6"/>
        <v>8727.177815000001</v>
      </c>
      <c r="AM63" s="43">
        <v>220</v>
      </c>
      <c r="AN63" s="56"/>
      <c r="AO63" s="56">
        <v>22</v>
      </c>
      <c r="AP63" s="20" t="s">
        <v>487</v>
      </c>
    </row>
    <row r="64" spans="2:42" s="20" customFormat="1" ht="11.25" customHeight="1">
      <c r="B64" s="20">
        <v>64</v>
      </c>
      <c r="D64" s="20" t="s">
        <v>119</v>
      </c>
      <c r="F64" s="21" t="s">
        <v>120</v>
      </c>
      <c r="G64" s="28">
        <v>79</v>
      </c>
      <c r="H64" s="15">
        <f>G64*Valores!$B$2</f>
        <v>183.359</v>
      </c>
      <c r="I64" s="28">
        <v>2161</v>
      </c>
      <c r="J64" s="15">
        <f>I64*Valores!$B$2</f>
        <v>5015.6810000000005</v>
      </c>
      <c r="K64" s="27">
        <v>0</v>
      </c>
      <c r="L64" s="15">
        <f>K64*Valores!$B$2</f>
        <v>0</v>
      </c>
      <c r="M64" s="27">
        <v>0</v>
      </c>
      <c r="N64" s="15">
        <f>M64*Valores!$B$2</f>
        <v>0</v>
      </c>
      <c r="O64" s="15">
        <f t="shared" si="0"/>
        <v>893.1060000000001</v>
      </c>
      <c r="P64" s="15">
        <f t="shared" si="1"/>
        <v>0</v>
      </c>
      <c r="Q64" s="17">
        <f>Valores!$B$13</f>
        <v>1185</v>
      </c>
      <c r="R64" s="17">
        <f>Valores!$C$6</f>
        <v>1038.184</v>
      </c>
      <c r="S64" s="17">
        <f>Valores!$B$23</f>
        <v>870</v>
      </c>
      <c r="T64" s="15">
        <f>Valores!$B$20</f>
        <v>755</v>
      </c>
      <c r="U64" s="15">
        <f t="shared" si="2"/>
        <v>755</v>
      </c>
      <c r="V64" s="15">
        <v>0</v>
      </c>
      <c r="W64" s="15">
        <v>0</v>
      </c>
      <c r="X64" s="24">
        <v>0</v>
      </c>
      <c r="Y64" s="15">
        <f>X64*Valores!$B$2</f>
        <v>0</v>
      </c>
      <c r="Z64" s="15">
        <v>0</v>
      </c>
      <c r="AA64" s="39">
        <v>129.04</v>
      </c>
      <c r="AB64" s="15">
        <f t="shared" si="3"/>
        <v>0</v>
      </c>
      <c r="AC64" s="15">
        <v>129.04</v>
      </c>
      <c r="AD64" s="16">
        <v>0</v>
      </c>
      <c r="AE64" s="15">
        <f>AD64*Valores!$B$2</f>
        <v>0</v>
      </c>
      <c r="AF64" s="31">
        <f t="shared" si="4"/>
        <v>10198.410000000002</v>
      </c>
      <c r="AG64" s="15">
        <v>0</v>
      </c>
      <c r="AH64" s="39">
        <f>Valores!$B$4</f>
        <v>340</v>
      </c>
      <c r="AI64" s="15">
        <f>Valores!$B$25</f>
        <v>0</v>
      </c>
      <c r="AJ64" s="15">
        <v>0</v>
      </c>
      <c r="AK64" s="25">
        <f t="shared" si="5"/>
        <v>340</v>
      </c>
      <c r="AL64" s="17">
        <f t="shared" si="6"/>
        <v>8243.767750000003</v>
      </c>
      <c r="AM64" s="43"/>
      <c r="AN64" s="56"/>
      <c r="AO64" s="56"/>
      <c r="AP64" s="20" t="s">
        <v>487</v>
      </c>
    </row>
    <row r="65" spans="2:42" s="20" customFormat="1" ht="11.25" customHeight="1" thickBot="1">
      <c r="B65" s="20">
        <v>65</v>
      </c>
      <c r="C65" s="20" t="s">
        <v>478</v>
      </c>
      <c r="D65" s="57" t="s">
        <v>121</v>
      </c>
      <c r="E65" s="57"/>
      <c r="F65" s="58" t="s">
        <v>122</v>
      </c>
      <c r="G65" s="59">
        <v>90</v>
      </c>
      <c r="H65" s="60">
        <f>G65*Valores!$B$2</f>
        <v>208.89000000000001</v>
      </c>
      <c r="I65" s="59">
        <v>3010</v>
      </c>
      <c r="J65" s="60">
        <f>I65*Valores!$B$2</f>
        <v>6986.210000000001</v>
      </c>
      <c r="K65" s="70">
        <v>0</v>
      </c>
      <c r="L65" s="60">
        <f>K65*Valores!$B$2</f>
        <v>0</v>
      </c>
      <c r="M65" s="70">
        <v>0</v>
      </c>
      <c r="N65" s="60">
        <f>M65*Valores!$B$2</f>
        <v>0</v>
      </c>
      <c r="O65" s="60">
        <f t="shared" si="0"/>
        <v>1192.515</v>
      </c>
      <c r="P65" s="60">
        <f t="shared" si="1"/>
        <v>0</v>
      </c>
      <c r="Q65" s="62">
        <f>Valores!$B$13</f>
        <v>1185</v>
      </c>
      <c r="R65" s="62">
        <f>Valores!$C$6</f>
        <v>1038.184</v>
      </c>
      <c r="S65" s="60">
        <f>Valores!$B$23</f>
        <v>870</v>
      </c>
      <c r="T65" s="60">
        <f>Valores!$B$20</f>
        <v>755</v>
      </c>
      <c r="U65" s="60">
        <f t="shared" si="2"/>
        <v>755</v>
      </c>
      <c r="V65" s="60">
        <v>0</v>
      </c>
      <c r="W65" s="60">
        <v>0</v>
      </c>
      <c r="X65" s="63">
        <v>0</v>
      </c>
      <c r="Y65" s="60">
        <f>X65*Valores!$B$2</f>
        <v>0</v>
      </c>
      <c r="Z65" s="60">
        <v>0</v>
      </c>
      <c r="AA65" s="64">
        <v>129.04</v>
      </c>
      <c r="AB65" s="60">
        <f t="shared" si="3"/>
        <v>0</v>
      </c>
      <c r="AC65" s="60">
        <v>129.04</v>
      </c>
      <c r="AD65" s="65">
        <v>0</v>
      </c>
      <c r="AE65" s="60">
        <f>AD65*Valores!$B$2</f>
        <v>0</v>
      </c>
      <c r="AF65" s="66">
        <f t="shared" si="4"/>
        <v>12493.879000000003</v>
      </c>
      <c r="AG65" s="60">
        <v>0</v>
      </c>
      <c r="AH65" s="64">
        <f>Valores!$B$4</f>
        <v>340</v>
      </c>
      <c r="AI65" s="64">
        <f>Valores!$B$25</f>
        <v>0</v>
      </c>
      <c r="AJ65" s="60">
        <v>0</v>
      </c>
      <c r="AK65" s="67">
        <f t="shared" si="5"/>
        <v>340</v>
      </c>
      <c r="AL65" s="62">
        <f t="shared" si="6"/>
        <v>10022.756225000003</v>
      </c>
      <c r="AM65" s="68">
        <v>220</v>
      </c>
      <c r="AN65" s="69"/>
      <c r="AO65" s="69">
        <v>22</v>
      </c>
      <c r="AP65" s="20" t="s">
        <v>487</v>
      </c>
    </row>
    <row r="66" spans="2:42" s="20" customFormat="1" ht="11.25" customHeight="1" thickTop="1">
      <c r="B66" s="20">
        <v>66</v>
      </c>
      <c r="D66" s="20" t="s">
        <v>123</v>
      </c>
      <c r="F66" s="21" t="s">
        <v>124</v>
      </c>
      <c r="G66" s="28">
        <v>78</v>
      </c>
      <c r="H66" s="15">
        <f>G66*Valores!$B$2</f>
        <v>181.038</v>
      </c>
      <c r="I66" s="28">
        <v>2162</v>
      </c>
      <c r="J66" s="15">
        <f>I66*Valores!$B$2</f>
        <v>5018.002</v>
      </c>
      <c r="K66" s="27">
        <v>0</v>
      </c>
      <c r="L66" s="15">
        <f>K66*Valores!$B$2</f>
        <v>0</v>
      </c>
      <c r="M66" s="27">
        <v>0</v>
      </c>
      <c r="N66" s="15">
        <f>M66*Valores!$B$2</f>
        <v>0</v>
      </c>
      <c r="O66" s="15">
        <f t="shared" si="0"/>
        <v>893.1060000000001</v>
      </c>
      <c r="P66" s="15">
        <f t="shared" si="1"/>
        <v>0</v>
      </c>
      <c r="Q66" s="17">
        <f>Valores!$B$13</f>
        <v>1185</v>
      </c>
      <c r="R66" s="17">
        <f>Valores!$C$6</f>
        <v>1038.184</v>
      </c>
      <c r="S66" s="17">
        <f>Valores!$B$23</f>
        <v>870</v>
      </c>
      <c r="T66" s="15">
        <f>Valores!$B$20</f>
        <v>755</v>
      </c>
      <c r="U66" s="15">
        <f t="shared" si="2"/>
        <v>755</v>
      </c>
      <c r="V66" s="15">
        <v>0</v>
      </c>
      <c r="W66" s="15">
        <v>0</v>
      </c>
      <c r="X66" s="24">
        <v>0</v>
      </c>
      <c r="Y66" s="15">
        <f>X66*Valores!$B$2</f>
        <v>0</v>
      </c>
      <c r="Z66" s="15">
        <v>0</v>
      </c>
      <c r="AA66" s="39">
        <v>129.04</v>
      </c>
      <c r="AB66" s="15">
        <f t="shared" si="3"/>
        <v>0</v>
      </c>
      <c r="AC66" s="15">
        <v>129.04</v>
      </c>
      <c r="AD66" s="16">
        <v>0</v>
      </c>
      <c r="AE66" s="15">
        <f>AD66*Valores!$B$2</f>
        <v>0</v>
      </c>
      <c r="AF66" s="31">
        <f t="shared" si="4"/>
        <v>10198.410000000002</v>
      </c>
      <c r="AG66" s="15">
        <v>0</v>
      </c>
      <c r="AH66" s="39">
        <f>Valores!$B$5</f>
        <v>373.03438500000004</v>
      </c>
      <c r="AI66" s="15">
        <f>Valores!$B$25</f>
        <v>0</v>
      </c>
      <c r="AJ66" s="15">
        <v>0</v>
      </c>
      <c r="AK66" s="25">
        <f t="shared" si="5"/>
        <v>373.03438500000004</v>
      </c>
      <c r="AL66" s="17">
        <f t="shared" si="6"/>
        <v>8276.802135000002</v>
      </c>
      <c r="AM66" s="43"/>
      <c r="AN66" s="56"/>
      <c r="AO66" s="56">
        <v>25</v>
      </c>
      <c r="AP66" s="20" t="s">
        <v>487</v>
      </c>
    </row>
    <row r="67" spans="2:42" s="20" customFormat="1" ht="11.25" customHeight="1">
      <c r="B67" s="20">
        <v>67</v>
      </c>
      <c r="D67" s="20" t="s">
        <v>125</v>
      </c>
      <c r="F67" s="21" t="s">
        <v>126</v>
      </c>
      <c r="G67" s="28">
        <v>90</v>
      </c>
      <c r="H67" s="15">
        <f>G67*Valores!$B$2</f>
        <v>208.89000000000001</v>
      </c>
      <c r="I67" s="28">
        <v>2800</v>
      </c>
      <c r="J67" s="15">
        <f>I67*Valores!$B$2</f>
        <v>6498.8</v>
      </c>
      <c r="K67" s="27">
        <v>0</v>
      </c>
      <c r="L67" s="15">
        <f>K67*Valores!$B$2</f>
        <v>0</v>
      </c>
      <c r="M67" s="27">
        <v>0</v>
      </c>
      <c r="N67" s="15">
        <f>M67*Valores!$B$2</f>
        <v>0</v>
      </c>
      <c r="O67" s="15">
        <f t="shared" si="0"/>
        <v>1119.4035000000001</v>
      </c>
      <c r="P67" s="15">
        <f t="shared" si="1"/>
        <v>0</v>
      </c>
      <c r="Q67" s="17">
        <f>Valores!$B$13</f>
        <v>1185</v>
      </c>
      <c r="R67" s="17">
        <f>Valores!$C$6</f>
        <v>1038.184</v>
      </c>
      <c r="S67" s="15">
        <v>0</v>
      </c>
      <c r="T67" s="15">
        <f>Valores!$B$20</f>
        <v>755</v>
      </c>
      <c r="U67" s="15">
        <f t="shared" si="2"/>
        <v>755</v>
      </c>
      <c r="V67" s="15">
        <v>0</v>
      </c>
      <c r="W67" s="15">
        <v>0</v>
      </c>
      <c r="X67" s="24">
        <v>0</v>
      </c>
      <c r="Y67" s="15">
        <f>X67*Valores!$B$2</f>
        <v>0</v>
      </c>
      <c r="Z67" s="15">
        <v>0</v>
      </c>
      <c r="AA67" s="39">
        <v>129.04</v>
      </c>
      <c r="AB67" s="15">
        <f t="shared" si="3"/>
        <v>0</v>
      </c>
      <c r="AC67" s="15">
        <v>129.04</v>
      </c>
      <c r="AD67" s="16">
        <v>0</v>
      </c>
      <c r="AE67" s="15">
        <f>AD67*Valores!$B$2</f>
        <v>0</v>
      </c>
      <c r="AF67" s="31">
        <f t="shared" si="4"/>
        <v>11063.357500000002</v>
      </c>
      <c r="AG67" s="15">
        <v>0</v>
      </c>
      <c r="AH67" s="15">
        <v>0</v>
      </c>
      <c r="AI67" s="15">
        <f>Valores!$B$25</f>
        <v>0</v>
      </c>
      <c r="AJ67" s="15">
        <v>0</v>
      </c>
      <c r="AK67" s="25">
        <f t="shared" si="5"/>
        <v>0</v>
      </c>
      <c r="AL67" s="17">
        <f t="shared" si="6"/>
        <v>8574.102062500002</v>
      </c>
      <c r="AM67" s="43"/>
      <c r="AN67" s="56"/>
      <c r="AO67" s="56">
        <v>22</v>
      </c>
      <c r="AP67" s="20" t="s">
        <v>486</v>
      </c>
    </row>
    <row r="68" spans="2:42" s="20" customFormat="1" ht="11.25" customHeight="1">
      <c r="B68" s="20">
        <v>68</v>
      </c>
      <c r="D68" s="20" t="s">
        <v>127</v>
      </c>
      <c r="F68" s="21" t="s">
        <v>128</v>
      </c>
      <c r="G68" s="28">
        <v>79</v>
      </c>
      <c r="H68" s="15">
        <f>G68*Valores!$B$2</f>
        <v>183.359</v>
      </c>
      <c r="I68" s="28">
        <v>2161</v>
      </c>
      <c r="J68" s="15">
        <f>I68*Valores!$B$2</f>
        <v>5015.6810000000005</v>
      </c>
      <c r="K68" s="27">
        <v>0</v>
      </c>
      <c r="L68" s="15">
        <f>K68*Valores!$B$2</f>
        <v>0</v>
      </c>
      <c r="M68" s="27">
        <v>0</v>
      </c>
      <c r="N68" s="15">
        <f>M68*Valores!$B$2</f>
        <v>0</v>
      </c>
      <c r="O68" s="15">
        <f t="shared" si="0"/>
        <v>893.1060000000001</v>
      </c>
      <c r="P68" s="15">
        <f t="shared" si="1"/>
        <v>0</v>
      </c>
      <c r="Q68" s="17">
        <f>Valores!$B$13</f>
        <v>1185</v>
      </c>
      <c r="R68" s="17">
        <f>Valores!$C$6</f>
        <v>1038.184</v>
      </c>
      <c r="S68" s="17">
        <f>Valores!$B$23</f>
        <v>870</v>
      </c>
      <c r="T68" s="15">
        <f>Valores!$B$20</f>
        <v>755</v>
      </c>
      <c r="U68" s="15">
        <f t="shared" si="2"/>
        <v>755</v>
      </c>
      <c r="V68" s="15">
        <v>0</v>
      </c>
      <c r="W68" s="15">
        <v>0</v>
      </c>
      <c r="X68" s="24">
        <v>0</v>
      </c>
      <c r="Y68" s="15">
        <f>X68*Valores!$B$2</f>
        <v>0</v>
      </c>
      <c r="Z68" s="15">
        <v>0</v>
      </c>
      <c r="AA68" s="39">
        <v>129.04</v>
      </c>
      <c r="AB68" s="15">
        <f t="shared" si="3"/>
        <v>0</v>
      </c>
      <c r="AC68" s="15">
        <v>129.04</v>
      </c>
      <c r="AD68" s="16">
        <v>0</v>
      </c>
      <c r="AE68" s="15">
        <f>AD68*Valores!$B$2</f>
        <v>0</v>
      </c>
      <c r="AF68" s="31">
        <f t="shared" si="4"/>
        <v>10198.410000000002</v>
      </c>
      <c r="AG68" s="15">
        <v>0</v>
      </c>
      <c r="AH68" s="39">
        <f>Valores!$B$4</f>
        <v>340</v>
      </c>
      <c r="AI68" s="15">
        <f>Valores!$B$25</f>
        <v>0</v>
      </c>
      <c r="AJ68" s="15">
        <v>0</v>
      </c>
      <c r="AK68" s="25">
        <f t="shared" si="5"/>
        <v>340</v>
      </c>
      <c r="AL68" s="17">
        <f t="shared" si="6"/>
        <v>8243.767750000003</v>
      </c>
      <c r="AM68" s="43"/>
      <c r="AN68" s="56"/>
      <c r="AO68" s="56"/>
      <c r="AP68" s="20" t="s">
        <v>487</v>
      </c>
    </row>
    <row r="69" spans="2:42" s="20" customFormat="1" ht="11.25" customHeight="1">
      <c r="B69" s="20">
        <v>69</v>
      </c>
      <c r="D69" s="20" t="s">
        <v>129</v>
      </c>
      <c r="F69" s="21" t="s">
        <v>130</v>
      </c>
      <c r="G69" s="28">
        <v>90</v>
      </c>
      <c r="H69" s="15">
        <f>G69*Valores!$B$2</f>
        <v>208.89000000000001</v>
      </c>
      <c r="I69" s="28">
        <v>2720</v>
      </c>
      <c r="J69" s="15">
        <f>I69*Valores!$B$2</f>
        <v>6313.120000000001</v>
      </c>
      <c r="K69" s="27">
        <v>0</v>
      </c>
      <c r="L69" s="15">
        <f>K69*Valores!$B$2</f>
        <v>0</v>
      </c>
      <c r="M69" s="27">
        <v>0</v>
      </c>
      <c r="N69" s="15">
        <f>M69*Valores!$B$2</f>
        <v>0</v>
      </c>
      <c r="O69" s="15">
        <f t="shared" si="0"/>
        <v>1091.5515</v>
      </c>
      <c r="P69" s="15">
        <f t="shared" si="1"/>
        <v>0</v>
      </c>
      <c r="Q69" s="17">
        <f>Valores!$B$13</f>
        <v>1185</v>
      </c>
      <c r="R69" s="17">
        <f>Valores!$C$6</f>
        <v>1038.184</v>
      </c>
      <c r="S69" s="15">
        <v>0</v>
      </c>
      <c r="T69" s="15">
        <f>Valores!$B$20</f>
        <v>755</v>
      </c>
      <c r="U69" s="15">
        <f t="shared" si="2"/>
        <v>755</v>
      </c>
      <c r="V69" s="15">
        <v>0</v>
      </c>
      <c r="W69" s="15">
        <v>0</v>
      </c>
      <c r="X69" s="24">
        <v>0</v>
      </c>
      <c r="Y69" s="15">
        <f>X69*Valores!$B$2</f>
        <v>0</v>
      </c>
      <c r="Z69" s="15">
        <v>0</v>
      </c>
      <c r="AA69" s="39">
        <v>129.04</v>
      </c>
      <c r="AB69" s="15">
        <f t="shared" si="3"/>
        <v>0</v>
      </c>
      <c r="AC69" s="15">
        <v>129.04</v>
      </c>
      <c r="AD69" s="16">
        <v>0</v>
      </c>
      <c r="AE69" s="15">
        <f>AD69*Valores!$B$2</f>
        <v>0</v>
      </c>
      <c r="AF69" s="31">
        <f t="shared" si="4"/>
        <v>10849.825500000003</v>
      </c>
      <c r="AG69" s="15">
        <v>0</v>
      </c>
      <c r="AH69" s="15">
        <v>0</v>
      </c>
      <c r="AI69" s="15">
        <f>Valores!$B$25</f>
        <v>0</v>
      </c>
      <c r="AJ69" s="15">
        <v>0</v>
      </c>
      <c r="AK69" s="25">
        <f t="shared" si="5"/>
        <v>0</v>
      </c>
      <c r="AL69" s="17">
        <f t="shared" si="6"/>
        <v>8408.614762500003</v>
      </c>
      <c r="AM69" s="43"/>
      <c r="AN69" s="56"/>
      <c r="AO69" s="56">
        <v>22</v>
      </c>
      <c r="AP69" s="20" t="s">
        <v>486</v>
      </c>
    </row>
    <row r="70" spans="2:42" s="20" customFormat="1" ht="11.25" customHeight="1" thickBot="1">
      <c r="B70" s="20">
        <v>70</v>
      </c>
      <c r="C70" s="20" t="s">
        <v>478</v>
      </c>
      <c r="D70" s="57" t="s">
        <v>131</v>
      </c>
      <c r="E70" s="57"/>
      <c r="F70" s="58" t="s">
        <v>132</v>
      </c>
      <c r="G70" s="59">
        <v>78</v>
      </c>
      <c r="H70" s="60">
        <f>G70*Valores!$B$2</f>
        <v>181.038</v>
      </c>
      <c r="I70" s="59">
        <v>1284</v>
      </c>
      <c r="J70" s="60">
        <f>I70*Valores!$B$2</f>
        <v>2980.164</v>
      </c>
      <c r="K70" s="70">
        <v>0</v>
      </c>
      <c r="L70" s="60">
        <f>K70*Valores!$B$2</f>
        <v>0</v>
      </c>
      <c r="M70" s="70">
        <v>0</v>
      </c>
      <c r="N70" s="60">
        <f>M70*Valores!$B$2</f>
        <v>0</v>
      </c>
      <c r="O70" s="60">
        <f aca="true" t="shared" si="9" ref="O70:O133">IF($J$1=0,(SUM(H70,J70,L70,N70,Y70,T70)*0.15),0)</f>
        <v>582.9303</v>
      </c>
      <c r="P70" s="60">
        <f aca="true" t="shared" si="10" ref="P70:P133">SUM(H70,J70,L70,N70,Y70)*$J$1</f>
        <v>0</v>
      </c>
      <c r="Q70" s="62">
        <f>Valores!$B$12</f>
        <v>1165</v>
      </c>
      <c r="R70" s="62">
        <f>Valores!$C$6</f>
        <v>1038.184</v>
      </c>
      <c r="S70" s="60">
        <f>Valores!$B$23</f>
        <v>870</v>
      </c>
      <c r="T70" s="71">
        <f>Valores!$B$21</f>
        <v>725</v>
      </c>
      <c r="U70" s="60">
        <f aca="true" t="shared" si="11" ref="U70:U133">T70*(1+$J$1)</f>
        <v>725</v>
      </c>
      <c r="V70" s="60">
        <v>0</v>
      </c>
      <c r="W70" s="60">
        <v>0</v>
      </c>
      <c r="X70" s="63">
        <v>0</v>
      </c>
      <c r="Y70" s="60">
        <f>X70*Valores!$B$2</f>
        <v>0</v>
      </c>
      <c r="Z70" s="60">
        <v>0</v>
      </c>
      <c r="AA70" s="64">
        <v>129.04</v>
      </c>
      <c r="AB70" s="60">
        <f aca="true" t="shared" si="12" ref="AB70:AB133">SUM(H70,J70,L70,Y70)*$H$2/100</f>
        <v>0</v>
      </c>
      <c r="AC70" s="60">
        <v>129.04</v>
      </c>
      <c r="AD70" s="65">
        <v>0</v>
      </c>
      <c r="AE70" s="60">
        <f>AD70*Valores!$B$2</f>
        <v>0</v>
      </c>
      <c r="AF70" s="66">
        <f aca="true" t="shared" si="13" ref="AF70:AF133">SUM(H70,J70,L70,N70,O70,P70,Q70,R70,S70,U70,V70,W70,Y70,Z70,AA70,AB70,AC70,AE70)</f>
        <v>7800.3963</v>
      </c>
      <c r="AG70" s="60">
        <v>0</v>
      </c>
      <c r="AH70" s="64">
        <f>Valores!$B$4</f>
        <v>340</v>
      </c>
      <c r="AI70" s="64">
        <f>Valores!$B$25</f>
        <v>0</v>
      </c>
      <c r="AJ70" s="60">
        <v>0</v>
      </c>
      <c r="AK70" s="67">
        <f aca="true" t="shared" si="14" ref="AK70:AK133">SUM(AH70:AJ70)</f>
        <v>340</v>
      </c>
      <c r="AL70" s="62">
        <f t="shared" si="6"/>
        <v>6385.3071325</v>
      </c>
      <c r="AM70" s="68">
        <v>110</v>
      </c>
      <c r="AN70" s="69"/>
      <c r="AO70" s="69"/>
      <c r="AP70" s="20" t="s">
        <v>487</v>
      </c>
    </row>
    <row r="71" spans="2:42" s="20" customFormat="1" ht="11.25" customHeight="1" thickTop="1">
      <c r="B71" s="20">
        <v>71</v>
      </c>
      <c r="D71" s="20" t="s">
        <v>133</v>
      </c>
      <c r="F71" s="21" t="s">
        <v>134</v>
      </c>
      <c r="G71" s="28">
        <v>78</v>
      </c>
      <c r="H71" s="15">
        <f>G71*Valores!$B$2</f>
        <v>181.038</v>
      </c>
      <c r="I71" s="28">
        <v>1284</v>
      </c>
      <c r="J71" s="15">
        <f>I71*Valores!$B$2</f>
        <v>2980.164</v>
      </c>
      <c r="K71" s="27">
        <v>0</v>
      </c>
      <c r="L71" s="15">
        <f>K71*Valores!$B$2</f>
        <v>0</v>
      </c>
      <c r="M71" s="27">
        <v>0</v>
      </c>
      <c r="N71" s="15">
        <f>M71*Valores!$B$2</f>
        <v>0</v>
      </c>
      <c r="O71" s="15">
        <f t="shared" si="9"/>
        <v>582.9303</v>
      </c>
      <c r="P71" s="15">
        <f t="shared" si="10"/>
        <v>0</v>
      </c>
      <c r="Q71" s="17">
        <f>Valores!$B$12</f>
        <v>1165</v>
      </c>
      <c r="R71" s="17">
        <f>Valores!$C$6</f>
        <v>1038.184</v>
      </c>
      <c r="S71" s="17">
        <f>Valores!$B$23</f>
        <v>870</v>
      </c>
      <c r="T71" s="26">
        <f>Valores!$B$21</f>
        <v>725</v>
      </c>
      <c r="U71" s="15">
        <f t="shared" si="11"/>
        <v>725</v>
      </c>
      <c r="V71" s="15">
        <v>0</v>
      </c>
      <c r="W71" s="15">
        <v>0</v>
      </c>
      <c r="X71" s="24">
        <v>0</v>
      </c>
      <c r="Y71" s="15">
        <f>X71*Valores!$B$2</f>
        <v>0</v>
      </c>
      <c r="Z71" s="15">
        <v>0</v>
      </c>
      <c r="AA71" s="39">
        <v>129.04</v>
      </c>
      <c r="AB71" s="15">
        <f t="shared" si="12"/>
        <v>0</v>
      </c>
      <c r="AC71" s="15">
        <v>129.04</v>
      </c>
      <c r="AD71" s="16">
        <v>0</v>
      </c>
      <c r="AE71" s="15">
        <f>AD71*Valores!$B$2</f>
        <v>0</v>
      </c>
      <c r="AF71" s="31">
        <f t="shared" si="13"/>
        <v>7800.3963</v>
      </c>
      <c r="AG71" s="15">
        <v>0</v>
      </c>
      <c r="AH71" s="39">
        <f>Valores!$B$4</f>
        <v>340</v>
      </c>
      <c r="AI71" s="15">
        <f>Valores!$B$25</f>
        <v>0</v>
      </c>
      <c r="AJ71" s="15">
        <v>0</v>
      </c>
      <c r="AK71" s="25">
        <f t="shared" si="14"/>
        <v>340</v>
      </c>
      <c r="AL71" s="17">
        <f aca="true" t="shared" si="15" ref="AL71:AL134">(AF71*0.775)+AK71</f>
        <v>6385.3071325</v>
      </c>
      <c r="AM71" s="43"/>
      <c r="AN71" s="56"/>
      <c r="AO71" s="56">
        <v>22</v>
      </c>
      <c r="AP71" s="20" t="s">
        <v>486</v>
      </c>
    </row>
    <row r="72" spans="2:42" s="20" customFormat="1" ht="11.25" customHeight="1">
      <c r="B72" s="20">
        <v>72</v>
      </c>
      <c r="D72" s="20" t="s">
        <v>135</v>
      </c>
      <c r="F72" s="21" t="s">
        <v>136</v>
      </c>
      <c r="G72" s="28">
        <v>78</v>
      </c>
      <c r="H72" s="15">
        <f>G72*Valores!$B$2</f>
        <v>181.038</v>
      </c>
      <c r="I72" s="28">
        <v>1284</v>
      </c>
      <c r="J72" s="15">
        <f>I72*Valores!$B$2</f>
        <v>2980.164</v>
      </c>
      <c r="K72" s="27">
        <v>0</v>
      </c>
      <c r="L72" s="15">
        <f>K72*Valores!$B$2</f>
        <v>0</v>
      </c>
      <c r="M72" s="27">
        <v>0</v>
      </c>
      <c r="N72" s="15">
        <f>M72*Valores!$B$2</f>
        <v>0</v>
      </c>
      <c r="O72" s="15">
        <f t="shared" si="9"/>
        <v>474.1803</v>
      </c>
      <c r="P72" s="15">
        <f t="shared" si="10"/>
        <v>0</v>
      </c>
      <c r="Q72" s="17">
        <f>Valores!$B$18</f>
        <v>1015</v>
      </c>
      <c r="R72" s="17">
        <f>Valores!$C$6</f>
        <v>1038.184</v>
      </c>
      <c r="S72" s="17">
        <f>Valores!$B$23</f>
        <v>870</v>
      </c>
      <c r="T72" s="26">
        <v>0</v>
      </c>
      <c r="U72" s="15">
        <f t="shared" si="11"/>
        <v>0</v>
      </c>
      <c r="V72" s="15">
        <v>0</v>
      </c>
      <c r="W72" s="15">
        <v>0</v>
      </c>
      <c r="X72" s="24">
        <v>0</v>
      </c>
      <c r="Y72" s="15">
        <f>X72*Valores!$B$2</f>
        <v>0</v>
      </c>
      <c r="Z72" s="15">
        <v>0</v>
      </c>
      <c r="AA72" s="39">
        <v>129.04</v>
      </c>
      <c r="AB72" s="15">
        <f t="shared" si="12"/>
        <v>0</v>
      </c>
      <c r="AC72" s="15">
        <v>129.04</v>
      </c>
      <c r="AD72" s="16">
        <v>0</v>
      </c>
      <c r="AE72" s="15">
        <f>AD72*Valores!$B$2</f>
        <v>0</v>
      </c>
      <c r="AF72" s="31">
        <f t="shared" si="13"/>
        <v>6816.6463</v>
      </c>
      <c r="AG72" s="15">
        <v>0</v>
      </c>
      <c r="AH72" s="39">
        <v>0</v>
      </c>
      <c r="AI72" s="15">
        <f>Valores!$B$25</f>
        <v>0</v>
      </c>
      <c r="AJ72" s="15">
        <v>0</v>
      </c>
      <c r="AK72" s="25">
        <f t="shared" si="14"/>
        <v>0</v>
      </c>
      <c r="AL72" s="17">
        <f t="shared" si="15"/>
        <v>5282.9008825</v>
      </c>
      <c r="AM72" s="43"/>
      <c r="AN72" s="56"/>
      <c r="AO72" s="56"/>
      <c r="AP72" s="20" t="s">
        <v>486</v>
      </c>
    </row>
    <row r="73" spans="2:42" s="20" customFormat="1" ht="11.25" customHeight="1">
      <c r="B73" s="20">
        <v>73</v>
      </c>
      <c r="D73" s="20" t="s">
        <v>137</v>
      </c>
      <c r="F73" s="21" t="s">
        <v>138</v>
      </c>
      <c r="G73" s="28">
        <v>82</v>
      </c>
      <c r="H73" s="15">
        <f>G73*Valores!$B$2</f>
        <v>190.322</v>
      </c>
      <c r="I73" s="28">
        <v>1612</v>
      </c>
      <c r="J73" s="15">
        <f>I73*Valores!$B$2</f>
        <v>3741.452</v>
      </c>
      <c r="K73" s="27">
        <v>0</v>
      </c>
      <c r="L73" s="15">
        <f>K73*Valores!$B$2</f>
        <v>0</v>
      </c>
      <c r="M73" s="27">
        <v>0</v>
      </c>
      <c r="N73" s="15">
        <f>M73*Valores!$B$2</f>
        <v>0</v>
      </c>
      <c r="O73" s="15">
        <f t="shared" si="9"/>
        <v>703.0161</v>
      </c>
      <c r="P73" s="15">
        <f t="shared" si="10"/>
        <v>0</v>
      </c>
      <c r="Q73" s="17">
        <f>Valores!$B$12</f>
        <v>1165</v>
      </c>
      <c r="R73" s="17">
        <f>Valores!$C$6</f>
        <v>1038.184</v>
      </c>
      <c r="S73" s="17">
        <f>Valores!$B$23</f>
        <v>870</v>
      </c>
      <c r="T73" s="15">
        <f>Valores!$B$20</f>
        <v>755</v>
      </c>
      <c r="U73" s="15">
        <f t="shared" si="11"/>
        <v>755</v>
      </c>
      <c r="V73" s="15">
        <v>0</v>
      </c>
      <c r="W73" s="15">
        <v>0</v>
      </c>
      <c r="X73" s="24">
        <v>0</v>
      </c>
      <c r="Y73" s="15">
        <f>X73*Valores!$B$2</f>
        <v>0</v>
      </c>
      <c r="Z73" s="15">
        <v>0</v>
      </c>
      <c r="AA73" s="39">
        <v>129.04</v>
      </c>
      <c r="AB73" s="15">
        <f t="shared" si="12"/>
        <v>0</v>
      </c>
      <c r="AC73" s="15">
        <v>129.04</v>
      </c>
      <c r="AD73" s="16">
        <v>0</v>
      </c>
      <c r="AE73" s="15">
        <f>AD73*Valores!$B$2</f>
        <v>0</v>
      </c>
      <c r="AF73" s="31">
        <f t="shared" si="13"/>
        <v>8721.054100000001</v>
      </c>
      <c r="AG73" s="15">
        <v>0</v>
      </c>
      <c r="AH73" s="39">
        <f>Valores!$B$4</f>
        <v>340</v>
      </c>
      <c r="AI73" s="15">
        <f>Valores!$B$25</f>
        <v>0</v>
      </c>
      <c r="AJ73" s="15">
        <v>0</v>
      </c>
      <c r="AK73" s="25">
        <f t="shared" si="14"/>
        <v>340</v>
      </c>
      <c r="AL73" s="17">
        <f t="shared" si="15"/>
        <v>7098.816927500001</v>
      </c>
      <c r="AM73" s="43">
        <v>110</v>
      </c>
      <c r="AN73" s="56"/>
      <c r="AO73" s="56">
        <v>25</v>
      </c>
      <c r="AP73" s="20" t="s">
        <v>487</v>
      </c>
    </row>
    <row r="74" spans="2:42" s="20" customFormat="1" ht="11.25" customHeight="1">
      <c r="B74" s="20">
        <v>74</v>
      </c>
      <c r="D74" s="20" t="s">
        <v>139</v>
      </c>
      <c r="F74" s="21" t="s">
        <v>140</v>
      </c>
      <c r="G74" s="28">
        <v>78</v>
      </c>
      <c r="H74" s="15">
        <f>G74*Valores!$B$2</f>
        <v>181.038</v>
      </c>
      <c r="I74" s="28">
        <v>2072</v>
      </c>
      <c r="J74" s="15">
        <f>I74*Valores!$B$2</f>
        <v>4809.112</v>
      </c>
      <c r="K74" s="27">
        <v>0</v>
      </c>
      <c r="L74" s="15">
        <f>K74*Valores!$B$2</f>
        <v>0</v>
      </c>
      <c r="M74" s="27">
        <v>0</v>
      </c>
      <c r="N74" s="15">
        <f>M74*Valores!$B$2</f>
        <v>0</v>
      </c>
      <c r="O74" s="15">
        <f t="shared" si="9"/>
        <v>861.7724999999999</v>
      </c>
      <c r="P74" s="15">
        <f t="shared" si="10"/>
        <v>0</v>
      </c>
      <c r="Q74" s="17">
        <f>Valores!$B$13</f>
        <v>1185</v>
      </c>
      <c r="R74" s="17">
        <f>Valores!$C$6</f>
        <v>1038.184</v>
      </c>
      <c r="S74" s="17">
        <f>Valores!$B$23</f>
        <v>870</v>
      </c>
      <c r="T74" s="15">
        <f>Valores!$B$20</f>
        <v>755</v>
      </c>
      <c r="U74" s="15">
        <f t="shared" si="11"/>
        <v>755</v>
      </c>
      <c r="V74" s="15">
        <v>0</v>
      </c>
      <c r="W74" s="15">
        <v>0</v>
      </c>
      <c r="X74" s="24">
        <v>0</v>
      </c>
      <c r="Y74" s="15">
        <f>X74*Valores!$B$2</f>
        <v>0</v>
      </c>
      <c r="Z74" s="15">
        <v>0</v>
      </c>
      <c r="AA74" s="39">
        <v>129.04</v>
      </c>
      <c r="AB74" s="15">
        <f t="shared" si="12"/>
        <v>0</v>
      </c>
      <c r="AC74" s="15">
        <v>129.04</v>
      </c>
      <c r="AD74" s="16">
        <v>0</v>
      </c>
      <c r="AE74" s="15">
        <f>AD74*Valores!$B$2</f>
        <v>0</v>
      </c>
      <c r="AF74" s="31">
        <f t="shared" si="13"/>
        <v>9958.186500000002</v>
      </c>
      <c r="AG74" s="15">
        <v>0</v>
      </c>
      <c r="AH74" s="39">
        <f>Valores!$B$4</f>
        <v>340</v>
      </c>
      <c r="AI74" s="15">
        <f>Valores!$B$25</f>
        <v>0</v>
      </c>
      <c r="AJ74" s="15">
        <v>0</v>
      </c>
      <c r="AK74" s="25">
        <f t="shared" si="14"/>
        <v>340</v>
      </c>
      <c r="AL74" s="17">
        <f t="shared" si="15"/>
        <v>8057.594537500001</v>
      </c>
      <c r="AM74" s="43"/>
      <c r="AN74" s="56"/>
      <c r="AO74" s="56"/>
      <c r="AP74" s="20" t="s">
        <v>487</v>
      </c>
    </row>
    <row r="75" spans="2:42" s="20" customFormat="1" ht="11.25" customHeight="1" thickBot="1">
      <c r="B75" s="20">
        <v>75</v>
      </c>
      <c r="C75" s="20" t="s">
        <v>478</v>
      </c>
      <c r="D75" s="57" t="s">
        <v>141</v>
      </c>
      <c r="E75" s="57"/>
      <c r="F75" s="58" t="s">
        <v>142</v>
      </c>
      <c r="G75" s="59">
        <v>78</v>
      </c>
      <c r="H75" s="60">
        <f>G75*Valores!$B$2</f>
        <v>181.038</v>
      </c>
      <c r="I75" s="59">
        <v>1770</v>
      </c>
      <c r="J75" s="60">
        <f>I75*Valores!$B$2</f>
        <v>4108.17</v>
      </c>
      <c r="K75" s="70">
        <v>0</v>
      </c>
      <c r="L75" s="60">
        <f>K75*Valores!$B$2</f>
        <v>0</v>
      </c>
      <c r="M75" s="70">
        <v>0</v>
      </c>
      <c r="N75" s="60">
        <f>M75*Valores!$B$2</f>
        <v>0</v>
      </c>
      <c r="O75" s="60">
        <f t="shared" si="9"/>
        <v>756.6312</v>
      </c>
      <c r="P75" s="60">
        <f t="shared" si="10"/>
        <v>0</v>
      </c>
      <c r="Q75" s="62">
        <f>Valores!$B$13</f>
        <v>1185</v>
      </c>
      <c r="R75" s="62">
        <f>Valores!$C$6</f>
        <v>1038.184</v>
      </c>
      <c r="S75" s="60">
        <f>Valores!$B$23</f>
        <v>870</v>
      </c>
      <c r="T75" s="60">
        <f>Valores!$B$20</f>
        <v>755</v>
      </c>
      <c r="U75" s="60">
        <f t="shared" si="11"/>
        <v>755</v>
      </c>
      <c r="V75" s="60">
        <v>0</v>
      </c>
      <c r="W75" s="60">
        <v>0</v>
      </c>
      <c r="X75" s="63">
        <v>0</v>
      </c>
      <c r="Y75" s="60">
        <f>X75*Valores!$B$2</f>
        <v>0</v>
      </c>
      <c r="Z75" s="60">
        <v>0</v>
      </c>
      <c r="AA75" s="64">
        <v>129.04</v>
      </c>
      <c r="AB75" s="60">
        <f t="shared" si="12"/>
        <v>0</v>
      </c>
      <c r="AC75" s="60">
        <v>129.04</v>
      </c>
      <c r="AD75" s="65">
        <v>0</v>
      </c>
      <c r="AE75" s="60">
        <f>AD75*Valores!$B$2</f>
        <v>0</v>
      </c>
      <c r="AF75" s="66">
        <f t="shared" si="13"/>
        <v>9152.103200000001</v>
      </c>
      <c r="AG75" s="60">
        <v>0</v>
      </c>
      <c r="AH75" s="64">
        <f>Valores!$B$4</f>
        <v>340</v>
      </c>
      <c r="AI75" s="64">
        <f>Valores!$B$25</f>
        <v>0</v>
      </c>
      <c r="AJ75" s="60">
        <v>0</v>
      </c>
      <c r="AK75" s="67">
        <f t="shared" si="14"/>
        <v>340</v>
      </c>
      <c r="AL75" s="62">
        <f t="shared" si="15"/>
        <v>7432.8799800000015</v>
      </c>
      <c r="AM75" s="68"/>
      <c r="AN75" s="69"/>
      <c r="AO75" s="69">
        <v>22</v>
      </c>
      <c r="AP75" s="20" t="s">
        <v>487</v>
      </c>
    </row>
    <row r="76" spans="2:42" s="20" customFormat="1" ht="11.25" customHeight="1" thickTop="1">
      <c r="B76" s="20">
        <v>76</v>
      </c>
      <c r="D76" s="20" t="s">
        <v>143</v>
      </c>
      <c r="F76" s="21" t="s">
        <v>144</v>
      </c>
      <c r="G76" s="28">
        <v>77</v>
      </c>
      <c r="H76" s="15">
        <f>G76*Valores!$B$2</f>
        <v>178.717</v>
      </c>
      <c r="I76" s="28">
        <v>2073</v>
      </c>
      <c r="J76" s="15">
        <f>I76*Valores!$B$2</f>
        <v>4811.433</v>
      </c>
      <c r="K76" s="27">
        <v>0</v>
      </c>
      <c r="L76" s="15">
        <f>K76*Valores!$B$2</f>
        <v>0</v>
      </c>
      <c r="M76" s="27">
        <v>0</v>
      </c>
      <c r="N76" s="15">
        <f>M76*Valores!$B$2</f>
        <v>0</v>
      </c>
      <c r="O76" s="15">
        <f t="shared" si="9"/>
        <v>861.7724999999999</v>
      </c>
      <c r="P76" s="15">
        <f t="shared" si="10"/>
        <v>0</v>
      </c>
      <c r="Q76" s="17">
        <f>Valores!$B$13</f>
        <v>1185</v>
      </c>
      <c r="R76" s="17">
        <f>Valores!$C$6</f>
        <v>1038.184</v>
      </c>
      <c r="S76" s="17">
        <f>Valores!$B$23</f>
        <v>870</v>
      </c>
      <c r="T76" s="15">
        <f>Valores!$B$20</f>
        <v>755</v>
      </c>
      <c r="U76" s="15">
        <f t="shared" si="11"/>
        <v>755</v>
      </c>
      <c r="V76" s="15">
        <v>0</v>
      </c>
      <c r="W76" s="15">
        <v>0</v>
      </c>
      <c r="X76" s="24">
        <v>0</v>
      </c>
      <c r="Y76" s="15">
        <f>X76*Valores!$B$2</f>
        <v>0</v>
      </c>
      <c r="Z76" s="15">
        <v>0</v>
      </c>
      <c r="AA76" s="39">
        <v>129.04</v>
      </c>
      <c r="AB76" s="15">
        <f t="shared" si="12"/>
        <v>0</v>
      </c>
      <c r="AC76" s="15">
        <v>129.04</v>
      </c>
      <c r="AD76" s="16">
        <v>0</v>
      </c>
      <c r="AE76" s="15">
        <f>AD76*Valores!$B$2</f>
        <v>0</v>
      </c>
      <c r="AF76" s="31">
        <f t="shared" si="13"/>
        <v>9958.186500000002</v>
      </c>
      <c r="AG76" s="15">
        <v>0</v>
      </c>
      <c r="AH76" s="39">
        <v>0</v>
      </c>
      <c r="AI76" s="15">
        <f>Valores!$B$25</f>
        <v>0</v>
      </c>
      <c r="AJ76" s="15">
        <v>0</v>
      </c>
      <c r="AK76" s="25">
        <f t="shared" si="14"/>
        <v>0</v>
      </c>
      <c r="AL76" s="17">
        <f t="shared" si="15"/>
        <v>7717.594537500001</v>
      </c>
      <c r="AM76" s="43"/>
      <c r="AN76" s="56"/>
      <c r="AO76" s="56">
        <v>25</v>
      </c>
      <c r="AP76" s="20" t="s">
        <v>486</v>
      </c>
    </row>
    <row r="77" spans="2:42" s="20" customFormat="1" ht="11.25" customHeight="1">
      <c r="B77" s="20">
        <v>77</v>
      </c>
      <c r="D77" s="20" t="s">
        <v>145</v>
      </c>
      <c r="F77" s="21" t="s">
        <v>146</v>
      </c>
      <c r="G77" s="28">
        <v>76</v>
      </c>
      <c r="H77" s="15">
        <f>G77*Valores!$B$2</f>
        <v>176.39600000000002</v>
      </c>
      <c r="I77" s="28">
        <v>1872</v>
      </c>
      <c r="J77" s="15">
        <f>I77*Valores!$B$2</f>
        <v>4344.912</v>
      </c>
      <c r="K77" s="27">
        <v>0</v>
      </c>
      <c r="L77" s="15">
        <f>K77*Valores!$B$2</f>
        <v>0</v>
      </c>
      <c r="M77" s="27">
        <v>0</v>
      </c>
      <c r="N77" s="15">
        <f>M77*Valores!$B$2</f>
        <v>0</v>
      </c>
      <c r="O77" s="15">
        <f t="shared" si="9"/>
        <v>791.4462</v>
      </c>
      <c r="P77" s="15">
        <f t="shared" si="10"/>
        <v>0</v>
      </c>
      <c r="Q77" s="17">
        <f>Valores!$B$13</f>
        <v>1185</v>
      </c>
      <c r="R77" s="17">
        <f>Valores!$C$6</f>
        <v>1038.184</v>
      </c>
      <c r="S77" s="15">
        <v>0</v>
      </c>
      <c r="T77" s="15">
        <f>Valores!$B$20</f>
        <v>755</v>
      </c>
      <c r="U77" s="15">
        <f t="shared" si="11"/>
        <v>755</v>
      </c>
      <c r="V77" s="15">
        <v>0</v>
      </c>
      <c r="W77" s="15">
        <v>0</v>
      </c>
      <c r="X77" s="24">
        <v>0</v>
      </c>
      <c r="Y77" s="15">
        <f>X77*Valores!$B$2</f>
        <v>0</v>
      </c>
      <c r="Z77" s="15">
        <v>0</v>
      </c>
      <c r="AA77" s="39">
        <v>129.04</v>
      </c>
      <c r="AB77" s="15">
        <f t="shared" si="12"/>
        <v>0</v>
      </c>
      <c r="AC77" s="15">
        <v>129.04</v>
      </c>
      <c r="AD77" s="16">
        <v>0</v>
      </c>
      <c r="AE77" s="15">
        <f>AD77*Valores!$B$2</f>
        <v>0</v>
      </c>
      <c r="AF77" s="31">
        <f t="shared" si="13"/>
        <v>8549.018200000002</v>
      </c>
      <c r="AG77" s="15">
        <v>0</v>
      </c>
      <c r="AH77" s="15">
        <v>0</v>
      </c>
      <c r="AI77" s="15">
        <f>Valores!$B$25</f>
        <v>0</v>
      </c>
      <c r="AJ77" s="15">
        <v>0</v>
      </c>
      <c r="AK77" s="25">
        <f t="shared" si="14"/>
        <v>0</v>
      </c>
      <c r="AL77" s="17">
        <f t="shared" si="15"/>
        <v>6625.489105000002</v>
      </c>
      <c r="AM77" s="43"/>
      <c r="AN77" s="56"/>
      <c r="AO77" s="56"/>
      <c r="AP77" s="20" t="s">
        <v>486</v>
      </c>
    </row>
    <row r="78" spans="2:42" s="20" customFormat="1" ht="11.25" customHeight="1">
      <c r="B78" s="20">
        <v>78</v>
      </c>
      <c r="D78" s="20" t="s">
        <v>147</v>
      </c>
      <c r="F78" s="21" t="s">
        <v>148</v>
      </c>
      <c r="G78" s="28">
        <v>75</v>
      </c>
      <c r="H78" s="15">
        <f>G78*Valores!$B$2</f>
        <v>174.07500000000002</v>
      </c>
      <c r="I78" s="28">
        <v>1873</v>
      </c>
      <c r="J78" s="15">
        <f>I78*Valores!$B$2</f>
        <v>4347.233</v>
      </c>
      <c r="K78" s="27">
        <v>0</v>
      </c>
      <c r="L78" s="15">
        <f>K78*Valores!$B$2</f>
        <v>0</v>
      </c>
      <c r="M78" s="27">
        <v>0</v>
      </c>
      <c r="N78" s="15">
        <f>M78*Valores!$B$2</f>
        <v>0</v>
      </c>
      <c r="O78" s="15">
        <f t="shared" si="9"/>
        <v>791.4462</v>
      </c>
      <c r="P78" s="15">
        <f t="shared" si="10"/>
        <v>0</v>
      </c>
      <c r="Q78" s="17">
        <f>Valores!$B$13</f>
        <v>1185</v>
      </c>
      <c r="R78" s="17">
        <f>Valores!$C$6</f>
        <v>1038.184</v>
      </c>
      <c r="S78" s="17">
        <f>Valores!$B$23</f>
        <v>870</v>
      </c>
      <c r="T78" s="15">
        <f>Valores!$B$20</f>
        <v>755</v>
      </c>
      <c r="U78" s="15">
        <f t="shared" si="11"/>
        <v>755</v>
      </c>
      <c r="V78" s="15">
        <v>0</v>
      </c>
      <c r="W78" s="15">
        <v>0</v>
      </c>
      <c r="X78" s="24">
        <v>0</v>
      </c>
      <c r="Y78" s="15">
        <f>X78*Valores!$B$2</f>
        <v>0</v>
      </c>
      <c r="Z78" s="15">
        <v>0</v>
      </c>
      <c r="AA78" s="39">
        <v>129.04</v>
      </c>
      <c r="AB78" s="15">
        <f t="shared" si="12"/>
        <v>0</v>
      </c>
      <c r="AC78" s="15">
        <v>129.04</v>
      </c>
      <c r="AD78" s="16">
        <v>0</v>
      </c>
      <c r="AE78" s="15">
        <f>AD78*Valores!$B$2</f>
        <v>0</v>
      </c>
      <c r="AF78" s="31">
        <f t="shared" si="13"/>
        <v>9419.018200000002</v>
      </c>
      <c r="AG78" s="15">
        <v>0</v>
      </c>
      <c r="AH78" s="39">
        <f>Valores!$B$5</f>
        <v>373.03438500000004</v>
      </c>
      <c r="AI78" s="15">
        <f>Valores!$B$25</f>
        <v>0</v>
      </c>
      <c r="AJ78" s="15">
        <v>0</v>
      </c>
      <c r="AK78" s="25">
        <f t="shared" si="14"/>
        <v>373.03438500000004</v>
      </c>
      <c r="AL78" s="17">
        <f t="shared" si="15"/>
        <v>7672.773490000002</v>
      </c>
      <c r="AM78" s="43">
        <v>110</v>
      </c>
      <c r="AN78" s="56"/>
      <c r="AO78" s="56"/>
      <c r="AP78" s="20" t="s">
        <v>487</v>
      </c>
    </row>
    <row r="79" spans="2:42" s="20" customFormat="1" ht="11.25" customHeight="1">
      <c r="B79" s="20">
        <v>79</v>
      </c>
      <c r="D79" s="20" t="s">
        <v>149</v>
      </c>
      <c r="F79" s="21" t="s">
        <v>150</v>
      </c>
      <c r="G79" s="28">
        <v>76</v>
      </c>
      <c r="H79" s="15">
        <f>G79*Valores!$B$2</f>
        <v>176.39600000000002</v>
      </c>
      <c r="I79" s="28">
        <v>1752</v>
      </c>
      <c r="J79" s="15">
        <f>I79*Valores!$B$2</f>
        <v>4066.3920000000003</v>
      </c>
      <c r="K79" s="27">
        <v>0</v>
      </c>
      <c r="L79" s="15">
        <f>K79*Valores!$B$2</f>
        <v>0</v>
      </c>
      <c r="M79" s="27">
        <v>0</v>
      </c>
      <c r="N79" s="15">
        <f>M79*Valores!$B$2</f>
        <v>0</v>
      </c>
      <c r="O79" s="15">
        <f t="shared" si="9"/>
        <v>749.6682000000001</v>
      </c>
      <c r="P79" s="15">
        <f t="shared" si="10"/>
        <v>0</v>
      </c>
      <c r="Q79" s="17">
        <f>Valores!$B$12</f>
        <v>1165</v>
      </c>
      <c r="R79" s="17">
        <f>Valores!$C$6</f>
        <v>1038.184</v>
      </c>
      <c r="S79" s="17">
        <f>Valores!$B$23</f>
        <v>870</v>
      </c>
      <c r="T79" s="15">
        <f>Valores!$B$20</f>
        <v>755</v>
      </c>
      <c r="U79" s="15">
        <f t="shared" si="11"/>
        <v>755</v>
      </c>
      <c r="V79" s="15">
        <v>0</v>
      </c>
      <c r="W79" s="15">
        <v>0</v>
      </c>
      <c r="X79" s="24">
        <v>0</v>
      </c>
      <c r="Y79" s="15">
        <f>X79*Valores!$B$2</f>
        <v>0</v>
      </c>
      <c r="Z79" s="15">
        <v>0</v>
      </c>
      <c r="AA79" s="39">
        <v>129.04</v>
      </c>
      <c r="AB79" s="15">
        <f t="shared" si="12"/>
        <v>0</v>
      </c>
      <c r="AC79" s="15">
        <v>129.04</v>
      </c>
      <c r="AD79" s="16">
        <v>0</v>
      </c>
      <c r="AE79" s="15">
        <f>AD79*Valores!$B$2</f>
        <v>0</v>
      </c>
      <c r="AF79" s="31">
        <f t="shared" si="13"/>
        <v>9078.720200000003</v>
      </c>
      <c r="AG79" s="15">
        <v>0</v>
      </c>
      <c r="AH79" s="39">
        <f>Valores!$B$4</f>
        <v>340</v>
      </c>
      <c r="AI79" s="15">
        <f>Valores!$B$25</f>
        <v>0</v>
      </c>
      <c r="AJ79" s="15">
        <v>0</v>
      </c>
      <c r="AK79" s="25">
        <f t="shared" si="14"/>
        <v>340</v>
      </c>
      <c r="AL79" s="17">
        <f t="shared" si="15"/>
        <v>7376.008155000003</v>
      </c>
      <c r="AM79" s="43"/>
      <c r="AN79" s="56"/>
      <c r="AO79" s="56"/>
      <c r="AP79" s="20" t="s">
        <v>487</v>
      </c>
    </row>
    <row r="80" spans="2:42" s="20" customFormat="1" ht="11.25" customHeight="1" thickBot="1">
      <c r="B80" s="20">
        <v>80</v>
      </c>
      <c r="C80" s="20" t="s">
        <v>478</v>
      </c>
      <c r="D80" s="57" t="s">
        <v>151</v>
      </c>
      <c r="E80" s="57"/>
      <c r="F80" s="58" t="s">
        <v>152</v>
      </c>
      <c r="G80" s="59">
        <v>72</v>
      </c>
      <c r="H80" s="60">
        <f>G80*Valores!$B$2</f>
        <v>167.11200000000002</v>
      </c>
      <c r="I80" s="59">
        <v>1526</v>
      </c>
      <c r="J80" s="60">
        <f>I80*Valores!$B$2</f>
        <v>3541.8460000000005</v>
      </c>
      <c r="K80" s="70">
        <v>0</v>
      </c>
      <c r="L80" s="60">
        <f>K80*Valores!$B$2</f>
        <v>0</v>
      </c>
      <c r="M80" s="70">
        <v>0</v>
      </c>
      <c r="N80" s="60">
        <f>M80*Valores!$B$2</f>
        <v>0</v>
      </c>
      <c r="O80" s="60">
        <f t="shared" si="9"/>
        <v>665.0937</v>
      </c>
      <c r="P80" s="60">
        <f t="shared" si="10"/>
        <v>0</v>
      </c>
      <c r="Q80" s="62">
        <f>Valores!$B$18</f>
        <v>1015</v>
      </c>
      <c r="R80" s="62">
        <f>Valores!$C$6</f>
        <v>1038.184</v>
      </c>
      <c r="S80" s="60">
        <v>0</v>
      </c>
      <c r="T80" s="71">
        <f>Valores!$B$21</f>
        <v>725</v>
      </c>
      <c r="U80" s="60">
        <f t="shared" si="11"/>
        <v>725</v>
      </c>
      <c r="V80" s="60">
        <v>0</v>
      </c>
      <c r="W80" s="60">
        <v>0</v>
      </c>
      <c r="X80" s="63">
        <v>0</v>
      </c>
      <c r="Y80" s="60">
        <f>X80*Valores!$B$2</f>
        <v>0</v>
      </c>
      <c r="Z80" s="60">
        <v>0</v>
      </c>
      <c r="AA80" s="64">
        <v>129.04</v>
      </c>
      <c r="AB80" s="60">
        <f t="shared" si="12"/>
        <v>0</v>
      </c>
      <c r="AC80" s="60">
        <v>129.04</v>
      </c>
      <c r="AD80" s="65">
        <v>0</v>
      </c>
      <c r="AE80" s="60">
        <f>AD80*Valores!$B$2</f>
        <v>0</v>
      </c>
      <c r="AF80" s="66">
        <f t="shared" si="13"/>
        <v>7410.315700000001</v>
      </c>
      <c r="AG80" s="60">
        <v>0</v>
      </c>
      <c r="AH80" s="64">
        <f>Valores!$B$4</f>
        <v>340</v>
      </c>
      <c r="AI80" s="64">
        <f>Valores!$B$25</f>
        <v>0</v>
      </c>
      <c r="AJ80" s="60">
        <v>0</v>
      </c>
      <c r="AK80" s="67">
        <f t="shared" si="14"/>
        <v>340</v>
      </c>
      <c r="AL80" s="62">
        <f t="shared" si="15"/>
        <v>6082.994667500001</v>
      </c>
      <c r="AM80" s="68">
        <v>110</v>
      </c>
      <c r="AN80" s="69"/>
      <c r="AO80" s="69"/>
      <c r="AP80" s="20" t="s">
        <v>487</v>
      </c>
    </row>
    <row r="81" spans="2:42" s="20" customFormat="1" ht="11.25" customHeight="1" thickTop="1">
      <c r="B81" s="20">
        <v>81</v>
      </c>
      <c r="D81" s="20" t="s">
        <v>153</v>
      </c>
      <c r="F81" s="21" t="s">
        <v>154</v>
      </c>
      <c r="G81" s="28">
        <v>72</v>
      </c>
      <c r="H81" s="15">
        <f>G81*Valores!$B$2</f>
        <v>167.11200000000002</v>
      </c>
      <c r="I81" s="28">
        <v>1337</v>
      </c>
      <c r="J81" s="15">
        <f>I81*Valores!$B$2</f>
        <v>3103.177</v>
      </c>
      <c r="K81" s="27">
        <v>0</v>
      </c>
      <c r="L81" s="15">
        <f>K81*Valores!$B$2</f>
        <v>0</v>
      </c>
      <c r="M81" s="27">
        <v>0</v>
      </c>
      <c r="N81" s="15">
        <f>M81*Valores!$B$2</f>
        <v>0</v>
      </c>
      <c r="O81" s="15">
        <f t="shared" si="9"/>
        <v>599.29335</v>
      </c>
      <c r="P81" s="15">
        <f t="shared" si="10"/>
        <v>0</v>
      </c>
      <c r="Q81" s="17">
        <f>Valores!$B$18</f>
        <v>1015</v>
      </c>
      <c r="R81" s="17">
        <f>Valores!$C$6</f>
        <v>1038.184</v>
      </c>
      <c r="S81" s="15">
        <v>0</v>
      </c>
      <c r="T81" s="26">
        <f>Valores!$B$21</f>
        <v>725</v>
      </c>
      <c r="U81" s="15">
        <f t="shared" si="11"/>
        <v>725</v>
      </c>
      <c r="V81" s="15">
        <v>0</v>
      </c>
      <c r="W81" s="15">
        <v>0</v>
      </c>
      <c r="X81" s="24">
        <v>0</v>
      </c>
      <c r="Y81" s="15">
        <f>X81*Valores!$B$2</f>
        <v>0</v>
      </c>
      <c r="Z81" s="15">
        <v>0</v>
      </c>
      <c r="AA81" s="39">
        <v>129.04</v>
      </c>
      <c r="AB81" s="15">
        <f t="shared" si="12"/>
        <v>0</v>
      </c>
      <c r="AC81" s="15">
        <v>129.04</v>
      </c>
      <c r="AD81" s="16">
        <v>0</v>
      </c>
      <c r="AE81" s="15">
        <f>AD81*Valores!$B$2</f>
        <v>0</v>
      </c>
      <c r="AF81" s="31">
        <f t="shared" si="13"/>
        <v>6905.846350000001</v>
      </c>
      <c r="AG81" s="15">
        <v>0</v>
      </c>
      <c r="AH81" s="39">
        <f>Valores!$B$4</f>
        <v>340</v>
      </c>
      <c r="AI81" s="15">
        <f>Valores!$B$25</f>
        <v>0</v>
      </c>
      <c r="AJ81" s="15">
        <v>0</v>
      </c>
      <c r="AK81" s="25">
        <f t="shared" si="14"/>
        <v>340</v>
      </c>
      <c r="AL81" s="17">
        <f t="shared" si="15"/>
        <v>5692.030921250001</v>
      </c>
      <c r="AM81" s="43">
        <v>110</v>
      </c>
      <c r="AN81" s="56"/>
      <c r="AO81" s="56"/>
      <c r="AP81" s="20" t="s">
        <v>487</v>
      </c>
    </row>
    <row r="82" spans="2:42" s="20" customFormat="1" ht="11.25" customHeight="1">
      <c r="B82" s="20">
        <v>82</v>
      </c>
      <c r="D82" s="20" t="s">
        <v>155</v>
      </c>
      <c r="F82" s="21" t="s">
        <v>156</v>
      </c>
      <c r="G82" s="28">
        <v>169</v>
      </c>
      <c r="H82" s="15">
        <f>G82*Valores!$B$2</f>
        <v>392.249</v>
      </c>
      <c r="I82" s="28">
        <f>1997</f>
        <v>1997</v>
      </c>
      <c r="J82" s="15">
        <f>I82*Valores!$B$2</f>
        <v>4635.037</v>
      </c>
      <c r="K82" s="27">
        <v>0</v>
      </c>
      <c r="L82" s="15">
        <f>K82*Valores!$B$2</f>
        <v>0</v>
      </c>
      <c r="M82" s="27">
        <v>0</v>
      </c>
      <c r="N82" s="15">
        <f>M82*Valores!$B$2</f>
        <v>0</v>
      </c>
      <c r="O82" s="15">
        <f t="shared" si="9"/>
        <v>867.3429</v>
      </c>
      <c r="P82" s="15">
        <f t="shared" si="10"/>
        <v>0</v>
      </c>
      <c r="Q82" s="17">
        <f>Valores!$B$13</f>
        <v>1185</v>
      </c>
      <c r="R82" s="17">
        <f>Valores!$C$6</f>
        <v>1038.184</v>
      </c>
      <c r="S82" s="17">
        <f>Valores!$B$23</f>
        <v>870</v>
      </c>
      <c r="T82" s="15">
        <f>Valores!$B$20</f>
        <v>755</v>
      </c>
      <c r="U82" s="15">
        <f t="shared" si="11"/>
        <v>755</v>
      </c>
      <c r="V82" s="15">
        <v>0</v>
      </c>
      <c r="W82" s="15">
        <v>0</v>
      </c>
      <c r="X82" s="24">
        <v>0</v>
      </c>
      <c r="Y82" s="15">
        <f>X82*Valores!$B$2</f>
        <v>0</v>
      </c>
      <c r="Z82" s="15">
        <v>0</v>
      </c>
      <c r="AA82" s="39">
        <v>129.04</v>
      </c>
      <c r="AB82" s="15">
        <f t="shared" si="12"/>
        <v>0</v>
      </c>
      <c r="AC82" s="15">
        <v>129.04</v>
      </c>
      <c r="AD82" s="16">
        <v>0</v>
      </c>
      <c r="AE82" s="15">
        <f>AD82*Valores!$B$2</f>
        <v>0</v>
      </c>
      <c r="AF82" s="31">
        <f t="shared" si="13"/>
        <v>10000.892900000003</v>
      </c>
      <c r="AG82" s="15">
        <v>0</v>
      </c>
      <c r="AH82" s="39">
        <f>Valores!$B$5</f>
        <v>373.03438500000004</v>
      </c>
      <c r="AI82" s="15">
        <f>Valores!$B$25</f>
        <v>0</v>
      </c>
      <c r="AJ82" s="15">
        <v>0</v>
      </c>
      <c r="AK82" s="25">
        <f t="shared" si="14"/>
        <v>373.03438500000004</v>
      </c>
      <c r="AL82" s="17">
        <f t="shared" si="15"/>
        <v>8123.726382500002</v>
      </c>
      <c r="AM82" s="43"/>
      <c r="AN82" s="56"/>
      <c r="AO82" s="56"/>
      <c r="AP82" s="20" t="s">
        <v>486</v>
      </c>
    </row>
    <row r="83" spans="2:42" s="20" customFormat="1" ht="11.25" customHeight="1">
      <c r="B83" s="20">
        <v>83</v>
      </c>
      <c r="D83" s="20" t="s">
        <v>157</v>
      </c>
      <c r="F83" s="21" t="s">
        <v>158</v>
      </c>
      <c r="G83" s="28">
        <v>218</v>
      </c>
      <c r="H83" s="15">
        <f>G83*Valores!$B$2</f>
        <v>505.97800000000007</v>
      </c>
      <c r="I83" s="28">
        <f>1997</f>
        <v>1997</v>
      </c>
      <c r="J83" s="15">
        <f>I83*Valores!$B$2</f>
        <v>4635.037</v>
      </c>
      <c r="K83" s="27">
        <v>0</v>
      </c>
      <c r="L83" s="15">
        <f>K83*Valores!$B$2</f>
        <v>0</v>
      </c>
      <c r="M83" s="27">
        <v>0</v>
      </c>
      <c r="N83" s="15">
        <f>M83*Valores!$B$2</f>
        <v>0</v>
      </c>
      <c r="O83" s="15">
        <f t="shared" si="9"/>
        <v>884.40225</v>
      </c>
      <c r="P83" s="15">
        <f t="shared" si="10"/>
        <v>0</v>
      </c>
      <c r="Q83" s="17">
        <f>Valores!$B$13</f>
        <v>1185</v>
      </c>
      <c r="R83" s="17">
        <f>Valores!$C$6</f>
        <v>1038.184</v>
      </c>
      <c r="S83" s="17">
        <f>Valores!$B$23</f>
        <v>870</v>
      </c>
      <c r="T83" s="15">
        <f>Valores!$B$20</f>
        <v>755</v>
      </c>
      <c r="U83" s="15">
        <f t="shared" si="11"/>
        <v>755</v>
      </c>
      <c r="V83" s="15">
        <v>0</v>
      </c>
      <c r="W83" s="15">
        <v>0</v>
      </c>
      <c r="X83" s="24">
        <v>0</v>
      </c>
      <c r="Y83" s="15">
        <f>X83*Valores!$B$2</f>
        <v>0</v>
      </c>
      <c r="Z83" s="15">
        <v>0</v>
      </c>
      <c r="AA83" s="39">
        <v>129.04</v>
      </c>
      <c r="AB83" s="15">
        <f t="shared" si="12"/>
        <v>0</v>
      </c>
      <c r="AC83" s="15">
        <v>129.04</v>
      </c>
      <c r="AD83" s="16">
        <v>0</v>
      </c>
      <c r="AE83" s="15">
        <f>AD83*Valores!$B$2</f>
        <v>0</v>
      </c>
      <c r="AF83" s="31">
        <f t="shared" si="13"/>
        <v>10131.681250000001</v>
      </c>
      <c r="AG83" s="15">
        <v>0</v>
      </c>
      <c r="AH83" s="39">
        <f>Valores!$B$5</f>
        <v>373.03438500000004</v>
      </c>
      <c r="AI83" s="15">
        <f>Valores!$B$25</f>
        <v>0</v>
      </c>
      <c r="AJ83" s="15">
        <v>0</v>
      </c>
      <c r="AK83" s="25">
        <f t="shared" si="14"/>
        <v>373.03438500000004</v>
      </c>
      <c r="AL83" s="17">
        <f t="shared" si="15"/>
        <v>8225.087353750001</v>
      </c>
      <c r="AM83" s="43">
        <v>110</v>
      </c>
      <c r="AN83" s="56"/>
      <c r="AO83" s="56"/>
      <c r="AP83" s="20" t="s">
        <v>487</v>
      </c>
    </row>
    <row r="84" spans="2:42" s="20" customFormat="1" ht="11.25" customHeight="1">
      <c r="B84" s="20">
        <v>84</v>
      </c>
      <c r="D84" s="20" t="s">
        <v>159</v>
      </c>
      <c r="F84" s="21" t="s">
        <v>160</v>
      </c>
      <c r="G84" s="28">
        <f>75+143</f>
        <v>218</v>
      </c>
      <c r="H84" s="15">
        <f>G84*Valores!$B$2</f>
        <v>505.97800000000007</v>
      </c>
      <c r="I84" s="28">
        <v>1997</v>
      </c>
      <c r="J84" s="15">
        <f>I84*Valores!$B$2</f>
        <v>4635.037</v>
      </c>
      <c r="K84" s="27">
        <v>0</v>
      </c>
      <c r="L84" s="15">
        <f>K84*Valores!$B$2</f>
        <v>0</v>
      </c>
      <c r="M84" s="27">
        <v>0</v>
      </c>
      <c r="N84" s="15">
        <f>M84*Valores!$B$2</f>
        <v>0</v>
      </c>
      <c r="O84" s="15">
        <f t="shared" si="9"/>
        <v>884.40225</v>
      </c>
      <c r="P84" s="15">
        <f t="shared" si="10"/>
        <v>0</v>
      </c>
      <c r="Q84" s="17">
        <f>Valores!$B$13</f>
        <v>1185</v>
      </c>
      <c r="R84" s="17">
        <f>Valores!$C$6</f>
        <v>1038.184</v>
      </c>
      <c r="S84" s="15">
        <v>0</v>
      </c>
      <c r="T84" s="15">
        <f>Valores!$B$20</f>
        <v>755</v>
      </c>
      <c r="U84" s="15">
        <f t="shared" si="11"/>
        <v>755</v>
      </c>
      <c r="V84" s="15">
        <v>0</v>
      </c>
      <c r="W84" s="15">
        <v>0</v>
      </c>
      <c r="X84" s="24">
        <v>0</v>
      </c>
      <c r="Y84" s="15">
        <f>X84*Valores!$B$2</f>
        <v>0</v>
      </c>
      <c r="Z84" s="15">
        <v>0</v>
      </c>
      <c r="AA84" s="39">
        <v>129.04</v>
      </c>
      <c r="AB84" s="15">
        <f t="shared" si="12"/>
        <v>0</v>
      </c>
      <c r="AC84" s="15">
        <v>129.04</v>
      </c>
      <c r="AD84" s="16">
        <v>0</v>
      </c>
      <c r="AE84" s="15">
        <f>AD84*Valores!$B$2</f>
        <v>0</v>
      </c>
      <c r="AF84" s="31">
        <f t="shared" si="13"/>
        <v>9261.681250000001</v>
      </c>
      <c r="AG84" s="15">
        <v>0</v>
      </c>
      <c r="AH84" s="15">
        <v>0</v>
      </c>
      <c r="AI84" s="15">
        <f>Valores!$B$25</f>
        <v>0</v>
      </c>
      <c r="AJ84" s="15">
        <v>0</v>
      </c>
      <c r="AK84" s="25">
        <f t="shared" si="14"/>
        <v>0</v>
      </c>
      <c r="AL84" s="17">
        <f t="shared" si="15"/>
        <v>7177.802968750001</v>
      </c>
      <c r="AM84" s="43"/>
      <c r="AN84" s="56"/>
      <c r="AO84" s="56">
        <v>22</v>
      </c>
      <c r="AP84" s="20" t="s">
        <v>486</v>
      </c>
    </row>
    <row r="85" spans="2:42" s="20" customFormat="1" ht="11.25" customHeight="1" thickBot="1">
      <c r="B85" s="20">
        <v>85</v>
      </c>
      <c r="C85" s="20" t="s">
        <v>478</v>
      </c>
      <c r="D85" s="57" t="s">
        <v>161</v>
      </c>
      <c r="E85" s="57"/>
      <c r="F85" s="58" t="s">
        <v>162</v>
      </c>
      <c r="G85" s="59">
        <v>187</v>
      </c>
      <c r="H85" s="60">
        <f>G85*Valores!$B$2</f>
        <v>434.02700000000004</v>
      </c>
      <c r="I85" s="59">
        <v>1704</v>
      </c>
      <c r="J85" s="60">
        <f>I85*Valores!$B$2</f>
        <v>3954.9840000000004</v>
      </c>
      <c r="K85" s="70">
        <v>0</v>
      </c>
      <c r="L85" s="60">
        <f>K85*Valores!$B$2</f>
        <v>0</v>
      </c>
      <c r="M85" s="70">
        <v>0</v>
      </c>
      <c r="N85" s="60">
        <f>M85*Valores!$B$2</f>
        <v>0</v>
      </c>
      <c r="O85" s="60">
        <f t="shared" si="9"/>
        <v>771.6016500000001</v>
      </c>
      <c r="P85" s="60">
        <f t="shared" si="10"/>
        <v>0</v>
      </c>
      <c r="Q85" s="62">
        <f>Valores!$B$13</f>
        <v>1185</v>
      </c>
      <c r="R85" s="62">
        <f>Valores!$C$6</f>
        <v>1038.184</v>
      </c>
      <c r="S85" s="60">
        <f>Valores!$B$23</f>
        <v>870</v>
      </c>
      <c r="T85" s="60">
        <f>Valores!$B$20</f>
        <v>755</v>
      </c>
      <c r="U85" s="60">
        <f t="shared" si="11"/>
        <v>755</v>
      </c>
      <c r="V85" s="60">
        <v>0</v>
      </c>
      <c r="W85" s="60">
        <v>0</v>
      </c>
      <c r="X85" s="63">
        <v>0</v>
      </c>
      <c r="Y85" s="60">
        <f>X85*Valores!$B$2</f>
        <v>0</v>
      </c>
      <c r="Z85" s="60">
        <v>0</v>
      </c>
      <c r="AA85" s="64">
        <v>129.04</v>
      </c>
      <c r="AB85" s="60">
        <f t="shared" si="12"/>
        <v>0</v>
      </c>
      <c r="AC85" s="60">
        <v>129.04</v>
      </c>
      <c r="AD85" s="65">
        <v>0</v>
      </c>
      <c r="AE85" s="60">
        <f>AD85*Valores!$B$2</f>
        <v>0</v>
      </c>
      <c r="AF85" s="66">
        <f t="shared" si="13"/>
        <v>9266.876650000002</v>
      </c>
      <c r="AG85" s="60">
        <v>0</v>
      </c>
      <c r="AH85" s="64">
        <f>Valores!$B$5</f>
        <v>373.03438500000004</v>
      </c>
      <c r="AI85" s="64">
        <f>Valores!$B$25</f>
        <v>0</v>
      </c>
      <c r="AJ85" s="60">
        <v>0</v>
      </c>
      <c r="AK85" s="67">
        <f t="shared" si="14"/>
        <v>373.03438500000004</v>
      </c>
      <c r="AL85" s="62">
        <f t="shared" si="15"/>
        <v>7554.863788750002</v>
      </c>
      <c r="AM85" s="68">
        <v>110</v>
      </c>
      <c r="AN85" s="69"/>
      <c r="AO85" s="69"/>
      <c r="AP85" s="20" t="s">
        <v>487</v>
      </c>
    </row>
    <row r="86" spans="2:42" s="20" customFormat="1" ht="11.25" customHeight="1" thickTop="1">
      <c r="B86" s="20">
        <v>86</v>
      </c>
      <c r="D86" s="20" t="s">
        <v>163</v>
      </c>
      <c r="F86" s="21" t="s">
        <v>164</v>
      </c>
      <c r="G86" s="28">
        <v>161</v>
      </c>
      <c r="H86" s="15">
        <f>G86*Valores!$B$2</f>
        <v>373.68100000000004</v>
      </c>
      <c r="I86" s="28">
        <f>1480</f>
        <v>1480</v>
      </c>
      <c r="J86" s="15">
        <f>I86*Valores!$B$2</f>
        <v>3435.0800000000004</v>
      </c>
      <c r="K86" s="27">
        <v>0</v>
      </c>
      <c r="L86" s="15">
        <f>K86*Valores!$B$2</f>
        <v>0</v>
      </c>
      <c r="M86" s="27">
        <v>0</v>
      </c>
      <c r="N86" s="15">
        <f>M86*Valores!$B$2</f>
        <v>0</v>
      </c>
      <c r="O86" s="15">
        <f t="shared" si="9"/>
        <v>684.56415</v>
      </c>
      <c r="P86" s="15">
        <f t="shared" si="10"/>
        <v>0</v>
      </c>
      <c r="Q86" s="17">
        <f>Valores!$B$13</f>
        <v>1185</v>
      </c>
      <c r="R86" s="17">
        <f>Valores!$C$6</f>
        <v>1038.184</v>
      </c>
      <c r="S86" s="17">
        <f>Valores!$B$23</f>
        <v>870</v>
      </c>
      <c r="T86" s="15">
        <f>Valores!$B$20</f>
        <v>755</v>
      </c>
      <c r="U86" s="15">
        <f t="shared" si="11"/>
        <v>755</v>
      </c>
      <c r="V86" s="15">
        <v>0</v>
      </c>
      <c r="W86" s="15">
        <v>0</v>
      </c>
      <c r="X86" s="24">
        <v>0</v>
      </c>
      <c r="Y86" s="15">
        <f>X86*Valores!$B$2</f>
        <v>0</v>
      </c>
      <c r="Z86" s="15">
        <v>0</v>
      </c>
      <c r="AA86" s="39">
        <v>129.04</v>
      </c>
      <c r="AB86" s="15">
        <f t="shared" si="12"/>
        <v>0</v>
      </c>
      <c r="AC86" s="15">
        <v>129.04</v>
      </c>
      <c r="AD86" s="16">
        <v>0</v>
      </c>
      <c r="AE86" s="15">
        <f>AD86*Valores!$B$2</f>
        <v>0</v>
      </c>
      <c r="AF86" s="31">
        <f t="shared" si="13"/>
        <v>8599.589150000003</v>
      </c>
      <c r="AG86" s="15">
        <v>0</v>
      </c>
      <c r="AH86" s="39">
        <f>Valores!$B$5</f>
        <v>373.03438500000004</v>
      </c>
      <c r="AI86" s="15">
        <f>Valores!$B$25</f>
        <v>0</v>
      </c>
      <c r="AJ86" s="15">
        <v>0</v>
      </c>
      <c r="AK86" s="25">
        <f t="shared" si="14"/>
        <v>373.03438500000004</v>
      </c>
      <c r="AL86" s="17">
        <f t="shared" si="15"/>
        <v>7037.715976250003</v>
      </c>
      <c r="AM86" s="43">
        <v>110</v>
      </c>
      <c r="AN86" s="56"/>
      <c r="AO86" s="56"/>
      <c r="AP86" s="20" t="s">
        <v>487</v>
      </c>
    </row>
    <row r="87" spans="2:42" s="20" customFormat="1" ht="11.25" customHeight="1">
      <c r="B87" s="20">
        <v>87</v>
      </c>
      <c r="D87" s="20" t="s">
        <v>165</v>
      </c>
      <c r="F87" s="21" t="s">
        <v>166</v>
      </c>
      <c r="G87" s="28">
        <v>179</v>
      </c>
      <c r="H87" s="15">
        <f>G87*Valores!$B$2</f>
        <v>415.459</v>
      </c>
      <c r="I87" s="28">
        <v>1712</v>
      </c>
      <c r="J87" s="15">
        <f>I87*Valores!$B$2</f>
        <v>3973.552</v>
      </c>
      <c r="K87" s="27">
        <v>0</v>
      </c>
      <c r="L87" s="15">
        <f>K87*Valores!$B$2</f>
        <v>0</v>
      </c>
      <c r="M87" s="27">
        <v>0</v>
      </c>
      <c r="N87" s="15">
        <f>M87*Valores!$B$2</f>
        <v>0</v>
      </c>
      <c r="O87" s="15">
        <f t="shared" si="9"/>
        <v>771.6016500000001</v>
      </c>
      <c r="P87" s="15">
        <f t="shared" si="10"/>
        <v>0</v>
      </c>
      <c r="Q87" s="17">
        <f>Valores!$B$13</f>
        <v>1185</v>
      </c>
      <c r="R87" s="17">
        <f>Valores!$C$6</f>
        <v>1038.184</v>
      </c>
      <c r="S87" s="17">
        <f>Valores!$B$23</f>
        <v>870</v>
      </c>
      <c r="T87" s="15">
        <f>Valores!$B$20</f>
        <v>755</v>
      </c>
      <c r="U87" s="15">
        <f t="shared" si="11"/>
        <v>755</v>
      </c>
      <c r="V87" s="15">
        <v>0</v>
      </c>
      <c r="W87" s="15">
        <v>0</v>
      </c>
      <c r="X87" s="24">
        <v>0</v>
      </c>
      <c r="Y87" s="15">
        <f>X87*Valores!$B$2</f>
        <v>0</v>
      </c>
      <c r="Z87" s="15">
        <v>0</v>
      </c>
      <c r="AA87" s="39">
        <v>129.04</v>
      </c>
      <c r="AB87" s="15">
        <f t="shared" si="12"/>
        <v>0</v>
      </c>
      <c r="AC87" s="15">
        <v>129.04</v>
      </c>
      <c r="AD87" s="16">
        <v>0</v>
      </c>
      <c r="AE87" s="15">
        <f>AD87*Valores!$B$2</f>
        <v>0</v>
      </c>
      <c r="AF87" s="31">
        <f t="shared" si="13"/>
        <v>9266.876650000002</v>
      </c>
      <c r="AG87" s="15">
        <v>0</v>
      </c>
      <c r="AH87" s="39">
        <f>Valores!$B$5</f>
        <v>373.03438500000004</v>
      </c>
      <c r="AI87" s="15">
        <f>Valores!$B$25</f>
        <v>0</v>
      </c>
      <c r="AJ87" s="15">
        <v>0</v>
      </c>
      <c r="AK87" s="25">
        <f t="shared" si="14"/>
        <v>373.03438500000004</v>
      </c>
      <c r="AL87" s="17">
        <f t="shared" si="15"/>
        <v>7554.863788750002</v>
      </c>
      <c r="AM87" s="43">
        <v>110</v>
      </c>
      <c r="AN87" s="56"/>
      <c r="AO87" s="56"/>
      <c r="AP87" s="20" t="s">
        <v>487</v>
      </c>
    </row>
    <row r="88" spans="2:42" s="20" customFormat="1" ht="11.25" customHeight="1">
      <c r="B88" s="20">
        <v>88</v>
      </c>
      <c r="D88" s="20" t="s">
        <v>167</v>
      </c>
      <c r="F88" s="21" t="s">
        <v>168</v>
      </c>
      <c r="G88" s="28">
        <v>64</v>
      </c>
      <c r="H88" s="15">
        <f>G88*Valores!$B$2</f>
        <v>148.544</v>
      </c>
      <c r="I88" s="28">
        <v>2086</v>
      </c>
      <c r="J88" s="15">
        <f>I88*Valores!$B$2</f>
        <v>4841.606000000001</v>
      </c>
      <c r="K88" s="27">
        <v>0</v>
      </c>
      <c r="L88" s="15">
        <f>K88*Valores!$B$2</f>
        <v>0</v>
      </c>
      <c r="M88" s="27">
        <v>0</v>
      </c>
      <c r="N88" s="15">
        <f>M88*Valores!$B$2</f>
        <v>0</v>
      </c>
      <c r="O88" s="15">
        <f t="shared" si="9"/>
        <v>861.7725</v>
      </c>
      <c r="P88" s="15">
        <f t="shared" si="10"/>
        <v>0</v>
      </c>
      <c r="Q88" s="17">
        <f>Valores!$B$13</f>
        <v>1185</v>
      </c>
      <c r="R88" s="17">
        <f>Valores!$C$6</f>
        <v>1038.184</v>
      </c>
      <c r="S88" s="17">
        <f>Valores!$B$23</f>
        <v>870</v>
      </c>
      <c r="T88" s="15">
        <f>Valores!$B$20</f>
        <v>755</v>
      </c>
      <c r="U88" s="15">
        <f t="shared" si="11"/>
        <v>755</v>
      </c>
      <c r="V88" s="15">
        <v>0</v>
      </c>
      <c r="W88" s="15">
        <v>0</v>
      </c>
      <c r="X88" s="24">
        <v>0</v>
      </c>
      <c r="Y88" s="15">
        <f>X88*Valores!$B$2</f>
        <v>0</v>
      </c>
      <c r="Z88" s="15">
        <v>0</v>
      </c>
      <c r="AA88" s="39">
        <v>129.04</v>
      </c>
      <c r="AB88" s="15">
        <f t="shared" si="12"/>
        <v>0</v>
      </c>
      <c r="AC88" s="15">
        <v>129.04</v>
      </c>
      <c r="AD88" s="16">
        <v>0</v>
      </c>
      <c r="AE88" s="15">
        <f>AD88*Valores!$B$2</f>
        <v>0</v>
      </c>
      <c r="AF88" s="31">
        <f t="shared" si="13"/>
        <v>9958.186500000003</v>
      </c>
      <c r="AG88" s="15">
        <v>0</v>
      </c>
      <c r="AH88" s="39">
        <f>Valores!$B$4</f>
        <v>340</v>
      </c>
      <c r="AI88" s="15">
        <f>Valores!$B$25</f>
        <v>0</v>
      </c>
      <c r="AJ88" s="15">
        <v>0</v>
      </c>
      <c r="AK88" s="25">
        <f t="shared" si="14"/>
        <v>340</v>
      </c>
      <c r="AL88" s="17">
        <f t="shared" si="15"/>
        <v>8057.594537500003</v>
      </c>
      <c r="AM88" s="43"/>
      <c r="AN88" s="56"/>
      <c r="AO88" s="56"/>
      <c r="AP88" s="20" t="s">
        <v>487</v>
      </c>
    </row>
    <row r="89" spans="2:42" s="20" customFormat="1" ht="11.25" customHeight="1">
      <c r="B89" s="20">
        <v>89</v>
      </c>
      <c r="D89" s="20" t="s">
        <v>169</v>
      </c>
      <c r="F89" s="21" t="s">
        <v>170</v>
      </c>
      <c r="G89" s="28">
        <v>89</v>
      </c>
      <c r="H89" s="15">
        <f>G89*Valores!$B$2</f>
        <v>206.56900000000002</v>
      </c>
      <c r="I89" s="28">
        <v>2481</v>
      </c>
      <c r="J89" s="15">
        <f>I89*Valores!$B$2</f>
        <v>5758.401000000001</v>
      </c>
      <c r="K89" s="27">
        <v>0</v>
      </c>
      <c r="L89" s="15">
        <f>K89*Valores!$B$2</f>
        <v>0</v>
      </c>
      <c r="M89" s="27">
        <v>0</v>
      </c>
      <c r="N89" s="15">
        <f>M89*Valores!$B$2</f>
        <v>0</v>
      </c>
      <c r="O89" s="15">
        <f t="shared" si="9"/>
        <v>1007.9955000000001</v>
      </c>
      <c r="P89" s="15">
        <f t="shared" si="10"/>
        <v>0</v>
      </c>
      <c r="Q89" s="17">
        <f>Valores!$B$12</f>
        <v>1165</v>
      </c>
      <c r="R89" s="17">
        <f>Valores!$C$6</f>
        <v>1038.184</v>
      </c>
      <c r="S89" s="15">
        <v>0</v>
      </c>
      <c r="T89" s="15">
        <f>Valores!$B$20</f>
        <v>755</v>
      </c>
      <c r="U89" s="15">
        <f t="shared" si="11"/>
        <v>755</v>
      </c>
      <c r="V89" s="15">
        <v>0</v>
      </c>
      <c r="W89" s="15">
        <v>0</v>
      </c>
      <c r="X89" s="24">
        <v>0</v>
      </c>
      <c r="Y89" s="15">
        <f>X89*Valores!$B$2</f>
        <v>0</v>
      </c>
      <c r="Z89" s="15">
        <v>0</v>
      </c>
      <c r="AA89" s="39">
        <v>129.04</v>
      </c>
      <c r="AB89" s="15">
        <f t="shared" si="12"/>
        <v>0</v>
      </c>
      <c r="AC89" s="15">
        <v>129.04</v>
      </c>
      <c r="AD89" s="16">
        <v>0</v>
      </c>
      <c r="AE89" s="15">
        <f>AD89*Valores!$B$2</f>
        <v>0</v>
      </c>
      <c r="AF89" s="31">
        <f t="shared" si="13"/>
        <v>10189.229500000003</v>
      </c>
      <c r="AG89" s="15">
        <v>0</v>
      </c>
      <c r="AH89" s="15">
        <v>0</v>
      </c>
      <c r="AI89" s="15">
        <f>Valores!$B$25</f>
        <v>0</v>
      </c>
      <c r="AJ89" s="15">
        <v>0</v>
      </c>
      <c r="AK89" s="25">
        <f t="shared" si="14"/>
        <v>0</v>
      </c>
      <c r="AL89" s="17">
        <f t="shared" si="15"/>
        <v>7896.652862500003</v>
      </c>
      <c r="AM89" s="43"/>
      <c r="AN89" s="56"/>
      <c r="AO89" s="56">
        <v>22</v>
      </c>
      <c r="AP89" s="20" t="s">
        <v>486</v>
      </c>
    </row>
    <row r="90" spans="2:42" s="20" customFormat="1" ht="11.25" customHeight="1" thickBot="1">
      <c r="B90" s="20">
        <v>90</v>
      </c>
      <c r="C90" s="20" t="s">
        <v>478</v>
      </c>
      <c r="D90" s="57" t="s">
        <v>171</v>
      </c>
      <c r="E90" s="57"/>
      <c r="F90" s="58" t="s">
        <v>172</v>
      </c>
      <c r="G90" s="59">
        <v>89</v>
      </c>
      <c r="H90" s="60">
        <f>G90*Valores!$B$2</f>
        <v>206.56900000000002</v>
      </c>
      <c r="I90" s="59">
        <v>2381</v>
      </c>
      <c r="J90" s="60">
        <f>I90*Valores!$B$2</f>
        <v>5526.301</v>
      </c>
      <c r="K90" s="70">
        <v>0</v>
      </c>
      <c r="L90" s="60">
        <f>K90*Valores!$B$2</f>
        <v>0</v>
      </c>
      <c r="M90" s="70">
        <v>0</v>
      </c>
      <c r="N90" s="60">
        <f>M90*Valores!$B$2</f>
        <v>0</v>
      </c>
      <c r="O90" s="60">
        <f t="shared" si="9"/>
        <v>973.1805</v>
      </c>
      <c r="P90" s="60">
        <f t="shared" si="10"/>
        <v>0</v>
      </c>
      <c r="Q90" s="62">
        <f>Valores!$B$18</f>
        <v>1015</v>
      </c>
      <c r="R90" s="62">
        <f>Valores!$C$6</f>
        <v>1038.184</v>
      </c>
      <c r="S90" s="60">
        <f>Valores!$B$23</f>
        <v>870</v>
      </c>
      <c r="T90" s="60">
        <f>Valores!$B$20</f>
        <v>755</v>
      </c>
      <c r="U90" s="60">
        <f t="shared" si="11"/>
        <v>755</v>
      </c>
      <c r="V90" s="60">
        <v>0</v>
      </c>
      <c r="W90" s="60">
        <v>0</v>
      </c>
      <c r="X90" s="63">
        <v>0</v>
      </c>
      <c r="Y90" s="60">
        <f>X90*Valores!$B$2</f>
        <v>0</v>
      </c>
      <c r="Z90" s="60">
        <v>0</v>
      </c>
      <c r="AA90" s="64">
        <v>129.04</v>
      </c>
      <c r="AB90" s="60">
        <f t="shared" si="12"/>
        <v>0</v>
      </c>
      <c r="AC90" s="60">
        <v>129.04</v>
      </c>
      <c r="AD90" s="65">
        <v>0</v>
      </c>
      <c r="AE90" s="60">
        <f>AD90*Valores!$B$2</f>
        <v>0</v>
      </c>
      <c r="AF90" s="66">
        <f t="shared" si="13"/>
        <v>10642.314500000002</v>
      </c>
      <c r="AG90" s="60">
        <v>0</v>
      </c>
      <c r="AH90" s="64">
        <f>Valores!$B$4</f>
        <v>340</v>
      </c>
      <c r="AI90" s="64">
        <f>Valores!$B$25</f>
        <v>0</v>
      </c>
      <c r="AJ90" s="60">
        <v>0</v>
      </c>
      <c r="AK90" s="67">
        <f t="shared" si="14"/>
        <v>340</v>
      </c>
      <c r="AL90" s="62">
        <f t="shared" si="15"/>
        <v>8587.793737500002</v>
      </c>
      <c r="AM90" s="68"/>
      <c r="AN90" s="69"/>
      <c r="AO90" s="69">
        <v>22</v>
      </c>
      <c r="AP90" s="20" t="s">
        <v>487</v>
      </c>
    </row>
    <row r="91" spans="2:42" s="20" customFormat="1" ht="11.25" customHeight="1" thickTop="1">
      <c r="B91" s="20">
        <v>91</v>
      </c>
      <c r="D91" s="20" t="s">
        <v>173</v>
      </c>
      <c r="F91" s="21" t="s">
        <v>174</v>
      </c>
      <c r="G91" s="28">
        <v>89</v>
      </c>
      <c r="H91" s="15">
        <f>G91*Valores!$B$2</f>
        <v>206.56900000000002</v>
      </c>
      <c r="I91" s="28">
        <v>1768</v>
      </c>
      <c r="J91" s="15">
        <f>I91*Valores!$B$2</f>
        <v>4103.528</v>
      </c>
      <c r="K91" s="27">
        <v>0</v>
      </c>
      <c r="L91" s="15">
        <f>K91*Valores!$B$2</f>
        <v>0</v>
      </c>
      <c r="M91" s="27">
        <v>0</v>
      </c>
      <c r="N91" s="15">
        <f>M91*Valores!$B$2</f>
        <v>0</v>
      </c>
      <c r="O91" s="15">
        <f t="shared" si="9"/>
        <v>759.7645500000001</v>
      </c>
      <c r="P91" s="15">
        <f t="shared" si="10"/>
        <v>0</v>
      </c>
      <c r="Q91" s="17">
        <f>Valores!$B$18</f>
        <v>1015</v>
      </c>
      <c r="R91" s="17">
        <f>Valores!$C$6</f>
        <v>1038.184</v>
      </c>
      <c r="S91" s="17">
        <f>Valores!$B$23</f>
        <v>870</v>
      </c>
      <c r="T91" s="15">
        <f>Valores!$B$20</f>
        <v>755</v>
      </c>
      <c r="U91" s="15">
        <f t="shared" si="11"/>
        <v>755</v>
      </c>
      <c r="V91" s="15">
        <v>0</v>
      </c>
      <c r="W91" s="15">
        <v>0</v>
      </c>
      <c r="X91" s="24">
        <v>0</v>
      </c>
      <c r="Y91" s="15">
        <f>X91*Valores!$B$2</f>
        <v>0</v>
      </c>
      <c r="Z91" s="15">
        <v>0</v>
      </c>
      <c r="AA91" s="39">
        <v>129.04</v>
      </c>
      <c r="AB91" s="15">
        <f t="shared" si="12"/>
        <v>0</v>
      </c>
      <c r="AC91" s="15">
        <v>129.04</v>
      </c>
      <c r="AD91" s="16">
        <v>0</v>
      </c>
      <c r="AE91" s="15">
        <f>AD91*Valores!$B$2</f>
        <v>0</v>
      </c>
      <c r="AF91" s="31">
        <f t="shared" si="13"/>
        <v>9006.125550000002</v>
      </c>
      <c r="AG91" s="15">
        <v>0</v>
      </c>
      <c r="AH91" s="39">
        <f>Valores!$B$4</f>
        <v>340</v>
      </c>
      <c r="AI91" s="15">
        <f>Valores!$B$25</f>
        <v>0</v>
      </c>
      <c r="AJ91" s="15">
        <v>0</v>
      </c>
      <c r="AK91" s="25">
        <f t="shared" si="14"/>
        <v>340</v>
      </c>
      <c r="AL91" s="17">
        <f t="shared" si="15"/>
        <v>7319.747301250002</v>
      </c>
      <c r="AM91" s="43"/>
      <c r="AN91" s="56"/>
      <c r="AO91" s="56"/>
      <c r="AP91" s="20" t="s">
        <v>487</v>
      </c>
    </row>
    <row r="92" spans="2:42" s="20" customFormat="1" ht="11.25" customHeight="1">
      <c r="B92" s="20">
        <v>92</v>
      </c>
      <c r="D92" s="20" t="s">
        <v>175</v>
      </c>
      <c r="F92" s="21" t="s">
        <v>176</v>
      </c>
      <c r="G92" s="28">
        <v>89</v>
      </c>
      <c r="H92" s="15">
        <f>G92*Valores!$B$2</f>
        <v>206.56900000000002</v>
      </c>
      <c r="I92" s="28">
        <v>1768</v>
      </c>
      <c r="J92" s="15">
        <f>I92*Valores!$B$2</f>
        <v>4103.528</v>
      </c>
      <c r="K92" s="27">
        <v>0</v>
      </c>
      <c r="L92" s="15">
        <f>K92*Valores!$B$2</f>
        <v>0</v>
      </c>
      <c r="M92" s="27">
        <v>0</v>
      </c>
      <c r="N92" s="15">
        <f>M92*Valores!$B$2</f>
        <v>0</v>
      </c>
      <c r="O92" s="15">
        <f t="shared" si="9"/>
        <v>759.7645500000001</v>
      </c>
      <c r="P92" s="15">
        <f t="shared" si="10"/>
        <v>0</v>
      </c>
      <c r="Q92" s="17">
        <f>Valores!$B$12</f>
        <v>1165</v>
      </c>
      <c r="R92" s="17">
        <f>Valores!$C$6</f>
        <v>1038.184</v>
      </c>
      <c r="S92" s="17">
        <f>Valores!$B$23</f>
        <v>870</v>
      </c>
      <c r="T92" s="15">
        <f>Valores!$B$20</f>
        <v>755</v>
      </c>
      <c r="U92" s="15">
        <f t="shared" si="11"/>
        <v>755</v>
      </c>
      <c r="V92" s="15">
        <v>0</v>
      </c>
      <c r="W92" s="15">
        <v>0</v>
      </c>
      <c r="X92" s="24">
        <v>0</v>
      </c>
      <c r="Y92" s="15">
        <f>X92*Valores!$B$2</f>
        <v>0</v>
      </c>
      <c r="Z92" s="15">
        <v>0</v>
      </c>
      <c r="AA92" s="39">
        <v>129.04</v>
      </c>
      <c r="AB92" s="15">
        <f t="shared" si="12"/>
        <v>0</v>
      </c>
      <c r="AC92" s="15">
        <v>129.04</v>
      </c>
      <c r="AD92" s="16">
        <v>0</v>
      </c>
      <c r="AE92" s="15">
        <f>AD92*Valores!$B$2</f>
        <v>0</v>
      </c>
      <c r="AF92" s="31">
        <f t="shared" si="13"/>
        <v>9156.125550000002</v>
      </c>
      <c r="AG92" s="15">
        <v>0</v>
      </c>
      <c r="AH92" s="39">
        <f>Valores!$B$4</f>
        <v>340</v>
      </c>
      <c r="AI92" s="15">
        <f>Valores!$B$25</f>
        <v>0</v>
      </c>
      <c r="AJ92" s="15">
        <v>0</v>
      </c>
      <c r="AK92" s="25">
        <f t="shared" si="14"/>
        <v>340</v>
      </c>
      <c r="AL92" s="17">
        <f t="shared" si="15"/>
        <v>7435.997301250002</v>
      </c>
      <c r="AM92" s="43">
        <v>110</v>
      </c>
      <c r="AN92" s="56"/>
      <c r="AO92" s="56">
        <v>22</v>
      </c>
      <c r="AP92" s="20" t="s">
        <v>487</v>
      </c>
    </row>
    <row r="93" spans="2:42" s="20" customFormat="1" ht="11.25" customHeight="1">
      <c r="B93" s="20">
        <v>93</v>
      </c>
      <c r="D93" s="20" t="s">
        <v>177</v>
      </c>
      <c r="F93" s="21" t="s">
        <v>178</v>
      </c>
      <c r="G93" s="28">
        <v>89</v>
      </c>
      <c r="H93" s="15">
        <f>G93*Valores!$B$2</f>
        <v>206.56900000000002</v>
      </c>
      <c r="I93" s="28">
        <v>2211</v>
      </c>
      <c r="J93" s="15">
        <f>I93*Valores!$B$2</f>
        <v>5131.731000000001</v>
      </c>
      <c r="K93" s="27">
        <v>0</v>
      </c>
      <c r="L93" s="15">
        <f>K93*Valores!$B$2</f>
        <v>0</v>
      </c>
      <c r="M93" s="27">
        <v>0</v>
      </c>
      <c r="N93" s="15">
        <f>M93*Valores!$B$2</f>
        <v>0</v>
      </c>
      <c r="O93" s="15">
        <f t="shared" si="9"/>
        <v>913.9950000000001</v>
      </c>
      <c r="P93" s="15">
        <f t="shared" si="10"/>
        <v>0</v>
      </c>
      <c r="Q93" s="17">
        <f>Valores!$B$12</f>
        <v>1165</v>
      </c>
      <c r="R93" s="17">
        <f>Valores!$C$6</f>
        <v>1038.184</v>
      </c>
      <c r="S93" s="17">
        <f>Valores!$B$23</f>
        <v>870</v>
      </c>
      <c r="T93" s="15">
        <f>Valores!$B$20</f>
        <v>755</v>
      </c>
      <c r="U93" s="15">
        <f t="shared" si="11"/>
        <v>755</v>
      </c>
      <c r="V93" s="15">
        <v>0</v>
      </c>
      <c r="W93" s="15">
        <v>0</v>
      </c>
      <c r="X93" s="24">
        <v>0</v>
      </c>
      <c r="Y93" s="15">
        <f>X93*Valores!$B$2</f>
        <v>0</v>
      </c>
      <c r="Z93" s="15">
        <v>0</v>
      </c>
      <c r="AA93" s="39">
        <v>129.04</v>
      </c>
      <c r="AB93" s="15">
        <f t="shared" si="12"/>
        <v>0</v>
      </c>
      <c r="AC93" s="15">
        <v>129.04</v>
      </c>
      <c r="AD93" s="16">
        <v>0</v>
      </c>
      <c r="AE93" s="15">
        <f>AD93*Valores!$B$2</f>
        <v>0</v>
      </c>
      <c r="AF93" s="31">
        <f t="shared" si="13"/>
        <v>10338.559000000003</v>
      </c>
      <c r="AG93" s="15">
        <v>0</v>
      </c>
      <c r="AH93" s="39">
        <f>Valores!$B$4</f>
        <v>340</v>
      </c>
      <c r="AI93" s="15">
        <f>Valores!$B$25</f>
        <v>0</v>
      </c>
      <c r="AJ93" s="15">
        <v>0</v>
      </c>
      <c r="AK93" s="25">
        <f t="shared" si="14"/>
        <v>340</v>
      </c>
      <c r="AL93" s="17">
        <f t="shared" si="15"/>
        <v>8352.383225000001</v>
      </c>
      <c r="AM93" s="43"/>
      <c r="AN93" s="56"/>
      <c r="AO93" s="56">
        <v>22</v>
      </c>
      <c r="AP93" s="20" t="s">
        <v>487</v>
      </c>
    </row>
    <row r="94" spans="2:42" s="20" customFormat="1" ht="11.25" customHeight="1">
      <c r="B94" s="20">
        <v>94</v>
      </c>
      <c r="D94" s="20" t="s">
        <v>179</v>
      </c>
      <c r="F94" s="21" t="s">
        <v>180</v>
      </c>
      <c r="G94" s="28">
        <v>89</v>
      </c>
      <c r="H94" s="15">
        <f>G94*Valores!$B$2</f>
        <v>206.56900000000002</v>
      </c>
      <c r="I94" s="28">
        <v>1956</v>
      </c>
      <c r="J94" s="15">
        <f>I94*Valores!$B$2</f>
        <v>4539.876</v>
      </c>
      <c r="K94" s="27">
        <v>0</v>
      </c>
      <c r="L94" s="15">
        <f>K94*Valores!$B$2</f>
        <v>0</v>
      </c>
      <c r="M94" s="27">
        <v>0</v>
      </c>
      <c r="N94" s="15">
        <f>M94*Valores!$B$2</f>
        <v>0</v>
      </c>
      <c r="O94" s="15">
        <f t="shared" si="9"/>
        <v>825.21675</v>
      </c>
      <c r="P94" s="15">
        <f t="shared" si="10"/>
        <v>0</v>
      </c>
      <c r="Q94" s="17">
        <f>Valores!$B$18</f>
        <v>1015</v>
      </c>
      <c r="R94" s="17">
        <f>Valores!$C$6</f>
        <v>1038.184</v>
      </c>
      <c r="S94" s="15">
        <v>0</v>
      </c>
      <c r="T94" s="15">
        <f>Valores!$B$20</f>
        <v>755</v>
      </c>
      <c r="U94" s="15">
        <f t="shared" si="11"/>
        <v>755</v>
      </c>
      <c r="V94" s="15">
        <v>0</v>
      </c>
      <c r="W94" s="15">
        <v>0</v>
      </c>
      <c r="X94" s="24">
        <v>0</v>
      </c>
      <c r="Y94" s="15">
        <f>X94*Valores!$B$2</f>
        <v>0</v>
      </c>
      <c r="Z94" s="15">
        <v>0</v>
      </c>
      <c r="AA94" s="39">
        <v>129.04</v>
      </c>
      <c r="AB94" s="15">
        <f t="shared" si="12"/>
        <v>0</v>
      </c>
      <c r="AC94" s="15">
        <v>129.04</v>
      </c>
      <c r="AD94" s="16">
        <v>0</v>
      </c>
      <c r="AE94" s="15">
        <f>AD94*Valores!$B$2</f>
        <v>0</v>
      </c>
      <c r="AF94" s="31">
        <f t="shared" si="13"/>
        <v>8637.925750000002</v>
      </c>
      <c r="AG94" s="15">
        <v>0</v>
      </c>
      <c r="AH94" s="15">
        <v>0</v>
      </c>
      <c r="AI94" s="15">
        <f>Valores!$B$25</f>
        <v>0</v>
      </c>
      <c r="AJ94" s="15">
        <v>0</v>
      </c>
      <c r="AK94" s="25">
        <f t="shared" si="14"/>
        <v>0</v>
      </c>
      <c r="AL94" s="17">
        <f t="shared" si="15"/>
        <v>6694.3924562500015</v>
      </c>
      <c r="AM94" s="43"/>
      <c r="AN94" s="56"/>
      <c r="AO94" s="56">
        <v>22</v>
      </c>
      <c r="AP94" s="20" t="s">
        <v>486</v>
      </c>
    </row>
    <row r="95" spans="2:42" s="20" customFormat="1" ht="11.25" customHeight="1" thickBot="1">
      <c r="B95" s="20">
        <v>95</v>
      </c>
      <c r="C95" s="20" t="s">
        <v>478</v>
      </c>
      <c r="D95" s="57" t="s">
        <v>181</v>
      </c>
      <c r="E95" s="57"/>
      <c r="F95" s="58" t="s">
        <v>182</v>
      </c>
      <c r="G95" s="59">
        <v>89</v>
      </c>
      <c r="H95" s="60">
        <f>G95*Valores!$B$2</f>
        <v>206.56900000000002</v>
      </c>
      <c r="I95" s="59">
        <v>1267</v>
      </c>
      <c r="J95" s="60">
        <f>I95*Valores!$B$2</f>
        <v>2940.7070000000003</v>
      </c>
      <c r="K95" s="70">
        <v>0</v>
      </c>
      <c r="L95" s="60">
        <f>K95*Valores!$B$2</f>
        <v>0</v>
      </c>
      <c r="M95" s="70">
        <v>0</v>
      </c>
      <c r="N95" s="60">
        <f>M95*Valores!$B$2</f>
        <v>0</v>
      </c>
      <c r="O95" s="60">
        <f t="shared" si="9"/>
        <v>585.3414</v>
      </c>
      <c r="P95" s="60">
        <f t="shared" si="10"/>
        <v>0</v>
      </c>
      <c r="Q95" s="62">
        <f>Valores!$B$18</f>
        <v>1015</v>
      </c>
      <c r="R95" s="62">
        <f>Valores!$C$6</f>
        <v>1038.184</v>
      </c>
      <c r="S95" s="60">
        <v>0</v>
      </c>
      <c r="T95" s="60">
        <f>Valores!$B$20</f>
        <v>755</v>
      </c>
      <c r="U95" s="60">
        <f t="shared" si="11"/>
        <v>755</v>
      </c>
      <c r="V95" s="60">
        <v>0</v>
      </c>
      <c r="W95" s="60">
        <v>0</v>
      </c>
      <c r="X95" s="63">
        <v>0</v>
      </c>
      <c r="Y95" s="60">
        <f>X95*Valores!$B$2</f>
        <v>0</v>
      </c>
      <c r="Z95" s="60">
        <v>0</v>
      </c>
      <c r="AA95" s="64">
        <v>129.04</v>
      </c>
      <c r="AB95" s="60">
        <f t="shared" si="12"/>
        <v>0</v>
      </c>
      <c r="AC95" s="60">
        <v>129.04</v>
      </c>
      <c r="AD95" s="65">
        <v>0</v>
      </c>
      <c r="AE95" s="60">
        <f>AD95*Valores!$B$2</f>
        <v>0</v>
      </c>
      <c r="AF95" s="66">
        <f t="shared" si="13"/>
        <v>6798.8814</v>
      </c>
      <c r="AG95" s="60">
        <v>0</v>
      </c>
      <c r="AH95" s="60">
        <v>0</v>
      </c>
      <c r="AI95" s="60">
        <f>Valores!$B$25</f>
        <v>0</v>
      </c>
      <c r="AJ95" s="60">
        <v>0</v>
      </c>
      <c r="AK95" s="67">
        <f t="shared" si="14"/>
        <v>0</v>
      </c>
      <c r="AL95" s="62">
        <f t="shared" si="15"/>
        <v>5269.133085</v>
      </c>
      <c r="AM95" s="68"/>
      <c r="AN95" s="69"/>
      <c r="AO95" s="69">
        <v>22</v>
      </c>
      <c r="AP95" s="20" t="s">
        <v>486</v>
      </c>
    </row>
    <row r="96" spans="2:42" s="20" customFormat="1" ht="11.25" customHeight="1" thickTop="1">
      <c r="B96" s="20">
        <v>96</v>
      </c>
      <c r="D96" s="20" t="s">
        <v>183</v>
      </c>
      <c r="F96" s="21" t="s">
        <v>184</v>
      </c>
      <c r="G96" s="28">
        <v>67</v>
      </c>
      <c r="H96" s="15">
        <f>G96*Valores!$B$2</f>
        <v>155.507</v>
      </c>
      <c r="I96" s="28">
        <v>2108</v>
      </c>
      <c r="J96" s="15">
        <f>I96*Valores!$B$2</f>
        <v>4892.668000000001</v>
      </c>
      <c r="K96" s="27">
        <v>0</v>
      </c>
      <c r="L96" s="15">
        <f>K96*Valores!$B$2</f>
        <v>0</v>
      </c>
      <c r="M96" s="27">
        <v>0</v>
      </c>
      <c r="N96" s="15">
        <f>M96*Valores!$B$2</f>
        <v>0</v>
      </c>
      <c r="O96" s="15">
        <f t="shared" si="9"/>
        <v>865.97625</v>
      </c>
      <c r="P96" s="15">
        <f t="shared" si="10"/>
        <v>0</v>
      </c>
      <c r="Q96" s="17">
        <f>Valores!$B$18</f>
        <v>1015</v>
      </c>
      <c r="R96" s="17">
        <f>Valores!$C$6</f>
        <v>1038.184</v>
      </c>
      <c r="S96" s="15">
        <v>0</v>
      </c>
      <c r="T96" s="26">
        <f>Valores!$B$21</f>
        <v>725</v>
      </c>
      <c r="U96" s="15">
        <f t="shared" si="11"/>
        <v>725</v>
      </c>
      <c r="V96" s="15">
        <v>0</v>
      </c>
      <c r="W96" s="15">
        <v>0</v>
      </c>
      <c r="X96" s="24">
        <v>0</v>
      </c>
      <c r="Y96" s="15">
        <f>X96*Valores!$B$2</f>
        <v>0</v>
      </c>
      <c r="Z96" s="15">
        <v>0</v>
      </c>
      <c r="AA96" s="39">
        <v>129.04</v>
      </c>
      <c r="AB96" s="15">
        <f t="shared" si="12"/>
        <v>0</v>
      </c>
      <c r="AC96" s="15">
        <v>129.04</v>
      </c>
      <c r="AD96" s="16">
        <v>0</v>
      </c>
      <c r="AE96" s="15">
        <f>AD96*Valores!$B$2</f>
        <v>0</v>
      </c>
      <c r="AF96" s="31">
        <f t="shared" si="13"/>
        <v>8950.415250000002</v>
      </c>
      <c r="AG96" s="15">
        <v>0</v>
      </c>
      <c r="AH96" s="39">
        <f>Valores!$B$4</f>
        <v>340</v>
      </c>
      <c r="AI96" s="15">
        <f>Valores!$B$25</f>
        <v>0</v>
      </c>
      <c r="AJ96" s="15">
        <v>0</v>
      </c>
      <c r="AK96" s="25">
        <f t="shared" si="14"/>
        <v>340</v>
      </c>
      <c r="AL96" s="17">
        <f t="shared" si="15"/>
        <v>7276.5718187500015</v>
      </c>
      <c r="AM96" s="43">
        <v>110</v>
      </c>
      <c r="AN96" s="56"/>
      <c r="AO96" s="56"/>
      <c r="AP96" s="20" t="s">
        <v>487</v>
      </c>
    </row>
    <row r="97" spans="2:42" s="20" customFormat="1" ht="11.25" customHeight="1">
      <c r="B97" s="20">
        <v>97</v>
      </c>
      <c r="D97" s="20" t="s">
        <v>185</v>
      </c>
      <c r="F97" s="21" t="s">
        <v>186</v>
      </c>
      <c r="G97" s="28">
        <v>45</v>
      </c>
      <c r="H97" s="15">
        <f>G97*Valores!$B$2</f>
        <v>104.44500000000001</v>
      </c>
      <c r="I97" s="28">
        <v>1502</v>
      </c>
      <c r="J97" s="15">
        <f>I97*Valores!$B$2</f>
        <v>3486.1420000000003</v>
      </c>
      <c r="K97" s="27">
        <v>0</v>
      </c>
      <c r="L97" s="15">
        <f>K97*Valores!$B$2</f>
        <v>0</v>
      </c>
      <c r="M97" s="27">
        <v>0</v>
      </c>
      <c r="N97" s="15">
        <f>M97*Valores!$B$2</f>
        <v>0</v>
      </c>
      <c r="O97" s="15">
        <f t="shared" si="9"/>
        <v>647.3380500000001</v>
      </c>
      <c r="P97" s="15">
        <f t="shared" si="10"/>
        <v>0</v>
      </c>
      <c r="Q97" s="17">
        <f>Valores!$B$18</f>
        <v>1015</v>
      </c>
      <c r="R97" s="17">
        <f>Valores!$C$6</f>
        <v>1038.184</v>
      </c>
      <c r="S97" s="15">
        <v>0</v>
      </c>
      <c r="T97" s="26">
        <f>Valores!$B$21</f>
        <v>725</v>
      </c>
      <c r="U97" s="15">
        <f t="shared" si="11"/>
        <v>725</v>
      </c>
      <c r="V97" s="15">
        <v>0</v>
      </c>
      <c r="W97" s="15">
        <v>0</v>
      </c>
      <c r="X97" s="24">
        <v>0</v>
      </c>
      <c r="Y97" s="15">
        <f>X97*Valores!$B$2</f>
        <v>0</v>
      </c>
      <c r="Z97" s="15">
        <v>0</v>
      </c>
      <c r="AA97" s="39">
        <v>129.04</v>
      </c>
      <c r="AB97" s="15">
        <f t="shared" si="12"/>
        <v>0</v>
      </c>
      <c r="AC97" s="15">
        <v>129.04</v>
      </c>
      <c r="AD97" s="16">
        <v>0</v>
      </c>
      <c r="AE97" s="15">
        <f>AD97*Valores!$B$2</f>
        <v>0</v>
      </c>
      <c r="AF97" s="31">
        <f t="shared" si="13"/>
        <v>7274.189050000001</v>
      </c>
      <c r="AG97" s="15">
        <v>0</v>
      </c>
      <c r="AH97" s="39">
        <f>Valores!$B$4</f>
        <v>340</v>
      </c>
      <c r="AI97" s="15">
        <f>Valores!$B$25</f>
        <v>0</v>
      </c>
      <c r="AJ97" s="15">
        <v>0</v>
      </c>
      <c r="AK97" s="25">
        <f t="shared" si="14"/>
        <v>340</v>
      </c>
      <c r="AL97" s="17">
        <f t="shared" si="15"/>
        <v>5977.496513750001</v>
      </c>
      <c r="AM97" s="43">
        <v>110</v>
      </c>
      <c r="AN97" s="56"/>
      <c r="AO97" s="56">
        <v>22</v>
      </c>
      <c r="AP97" s="20" t="s">
        <v>487</v>
      </c>
    </row>
    <row r="98" spans="2:42" s="20" customFormat="1" ht="11.25" customHeight="1">
      <c r="B98" s="20">
        <v>98</v>
      </c>
      <c r="D98" s="20" t="s">
        <v>187</v>
      </c>
      <c r="F98" s="21" t="s">
        <v>188</v>
      </c>
      <c r="G98" s="28">
        <v>61</v>
      </c>
      <c r="H98" s="15">
        <f>G98*Valores!$B$2</f>
        <v>141.58100000000002</v>
      </c>
      <c r="I98" s="28">
        <v>2114</v>
      </c>
      <c r="J98" s="15">
        <f>I98*Valores!$B$2</f>
        <v>4906.594</v>
      </c>
      <c r="K98" s="27">
        <v>0</v>
      </c>
      <c r="L98" s="15">
        <f>K98*Valores!$B$2</f>
        <v>0</v>
      </c>
      <c r="M98" s="27">
        <v>0</v>
      </c>
      <c r="N98" s="15">
        <f>M98*Valores!$B$2</f>
        <v>0</v>
      </c>
      <c r="O98" s="15">
        <f t="shared" si="9"/>
        <v>865.97625</v>
      </c>
      <c r="P98" s="15">
        <f t="shared" si="10"/>
        <v>0</v>
      </c>
      <c r="Q98" s="17">
        <f>Valores!$B$18</f>
        <v>1015</v>
      </c>
      <c r="R98" s="17">
        <f>Valores!$C$6</f>
        <v>1038.184</v>
      </c>
      <c r="S98" s="15">
        <v>0</v>
      </c>
      <c r="T98" s="26">
        <f>Valores!$B$21</f>
        <v>725</v>
      </c>
      <c r="U98" s="15">
        <f t="shared" si="11"/>
        <v>725</v>
      </c>
      <c r="V98" s="15">
        <v>0</v>
      </c>
      <c r="W98" s="15">
        <v>0</v>
      </c>
      <c r="X98" s="24">
        <v>0</v>
      </c>
      <c r="Y98" s="15">
        <f>X98*Valores!$B$2</f>
        <v>0</v>
      </c>
      <c r="Z98" s="15">
        <v>0</v>
      </c>
      <c r="AA98" s="39">
        <v>129.04</v>
      </c>
      <c r="AB98" s="15">
        <f t="shared" si="12"/>
        <v>0</v>
      </c>
      <c r="AC98" s="15">
        <v>129.04</v>
      </c>
      <c r="AD98" s="16">
        <v>0</v>
      </c>
      <c r="AE98" s="15">
        <f>AD98*Valores!$B$2</f>
        <v>0</v>
      </c>
      <c r="AF98" s="31">
        <f t="shared" si="13"/>
        <v>8950.415250000002</v>
      </c>
      <c r="AG98" s="15">
        <v>0</v>
      </c>
      <c r="AH98" s="39">
        <f>Valores!$B$4</f>
        <v>340</v>
      </c>
      <c r="AI98" s="15">
        <f>Valores!$B$25</f>
        <v>0</v>
      </c>
      <c r="AJ98" s="15">
        <v>0</v>
      </c>
      <c r="AK98" s="25">
        <f t="shared" si="14"/>
        <v>340</v>
      </c>
      <c r="AL98" s="17">
        <f t="shared" si="15"/>
        <v>7276.5718187500015</v>
      </c>
      <c r="AM98" s="43">
        <v>110</v>
      </c>
      <c r="AN98" s="56"/>
      <c r="AO98" s="56"/>
      <c r="AP98" s="20" t="s">
        <v>487</v>
      </c>
    </row>
    <row r="99" spans="2:42" s="20" customFormat="1" ht="11.25" customHeight="1">
      <c r="B99" s="20">
        <v>99</v>
      </c>
      <c r="D99" s="20" t="s">
        <v>189</v>
      </c>
      <c r="F99" s="21" t="s">
        <v>190</v>
      </c>
      <c r="G99" s="28">
        <v>59</v>
      </c>
      <c r="H99" s="15">
        <f>G99*Valores!$B$2</f>
        <v>136.93900000000002</v>
      </c>
      <c r="I99" s="28">
        <v>2013</v>
      </c>
      <c r="J99" s="15">
        <f>I99*Valores!$B$2</f>
        <v>4672.173000000001</v>
      </c>
      <c r="K99" s="27">
        <v>0</v>
      </c>
      <c r="L99" s="15">
        <f>K99*Valores!$B$2</f>
        <v>0</v>
      </c>
      <c r="M99" s="27">
        <v>0</v>
      </c>
      <c r="N99" s="15">
        <f>M99*Valores!$B$2</f>
        <v>0</v>
      </c>
      <c r="O99" s="15">
        <f t="shared" si="9"/>
        <v>830.1168000000001</v>
      </c>
      <c r="P99" s="15">
        <f t="shared" si="10"/>
        <v>0</v>
      </c>
      <c r="Q99" s="17">
        <f>Valores!$B$18</f>
        <v>1015</v>
      </c>
      <c r="R99" s="17">
        <f>Valores!$C$6</f>
        <v>1038.184</v>
      </c>
      <c r="S99" s="15">
        <v>0</v>
      </c>
      <c r="T99" s="26">
        <f>Valores!$B$21</f>
        <v>725</v>
      </c>
      <c r="U99" s="15">
        <f t="shared" si="11"/>
        <v>725</v>
      </c>
      <c r="V99" s="15">
        <v>0</v>
      </c>
      <c r="W99" s="15">
        <v>0</v>
      </c>
      <c r="X99" s="24">
        <v>0</v>
      </c>
      <c r="Y99" s="15">
        <f>X99*Valores!$B$2</f>
        <v>0</v>
      </c>
      <c r="Z99" s="15">
        <v>0</v>
      </c>
      <c r="AA99" s="39">
        <v>129.04</v>
      </c>
      <c r="AB99" s="15">
        <f t="shared" si="12"/>
        <v>0</v>
      </c>
      <c r="AC99" s="15">
        <v>129.04</v>
      </c>
      <c r="AD99" s="16">
        <v>0</v>
      </c>
      <c r="AE99" s="15">
        <f>AD99*Valores!$B$2</f>
        <v>0</v>
      </c>
      <c r="AF99" s="31">
        <f t="shared" si="13"/>
        <v>8675.492800000004</v>
      </c>
      <c r="AG99" s="15">
        <v>0</v>
      </c>
      <c r="AH99" s="39">
        <f>Valores!$B$4</f>
        <v>340</v>
      </c>
      <c r="AI99" s="15">
        <f>Valores!$B$25</f>
        <v>0</v>
      </c>
      <c r="AJ99" s="15">
        <v>0</v>
      </c>
      <c r="AK99" s="25">
        <f t="shared" si="14"/>
        <v>340</v>
      </c>
      <c r="AL99" s="17">
        <f t="shared" si="15"/>
        <v>7063.506920000003</v>
      </c>
      <c r="AM99" s="43">
        <v>110</v>
      </c>
      <c r="AN99" s="56"/>
      <c r="AO99" s="56"/>
      <c r="AP99" s="20" t="s">
        <v>487</v>
      </c>
    </row>
    <row r="100" spans="2:42" s="20" customFormat="1" ht="11.25" customHeight="1" thickBot="1">
      <c r="B100" s="20">
        <v>100</v>
      </c>
      <c r="C100" s="20" t="s">
        <v>478</v>
      </c>
      <c r="D100" s="57" t="s">
        <v>191</v>
      </c>
      <c r="E100" s="57"/>
      <c r="F100" s="58" t="s">
        <v>192</v>
      </c>
      <c r="G100" s="59">
        <v>56</v>
      </c>
      <c r="H100" s="60">
        <f>G100*Valores!$B$2</f>
        <v>129.976</v>
      </c>
      <c r="I100" s="59">
        <v>1720</v>
      </c>
      <c r="J100" s="60">
        <f>I100*Valores!$B$2</f>
        <v>3992.1200000000003</v>
      </c>
      <c r="K100" s="70">
        <v>0</v>
      </c>
      <c r="L100" s="60">
        <f>K100*Valores!$B$2</f>
        <v>0</v>
      </c>
      <c r="M100" s="70">
        <v>0</v>
      </c>
      <c r="N100" s="60">
        <f>M100*Valores!$B$2</f>
        <v>0</v>
      </c>
      <c r="O100" s="60">
        <f t="shared" si="9"/>
        <v>727.0644000000001</v>
      </c>
      <c r="P100" s="60">
        <f t="shared" si="10"/>
        <v>0</v>
      </c>
      <c r="Q100" s="62">
        <f>Valores!$B$18</f>
        <v>1015</v>
      </c>
      <c r="R100" s="62">
        <f>Valores!$C$6</f>
        <v>1038.184</v>
      </c>
      <c r="S100" s="60">
        <v>0</v>
      </c>
      <c r="T100" s="71">
        <f>Valores!$B$21</f>
        <v>725</v>
      </c>
      <c r="U100" s="60">
        <f t="shared" si="11"/>
        <v>725</v>
      </c>
      <c r="V100" s="60">
        <v>0</v>
      </c>
      <c r="W100" s="60">
        <v>0</v>
      </c>
      <c r="X100" s="63">
        <v>0</v>
      </c>
      <c r="Y100" s="60">
        <f>X100*Valores!$B$2</f>
        <v>0</v>
      </c>
      <c r="Z100" s="60">
        <v>0</v>
      </c>
      <c r="AA100" s="64">
        <v>129.04</v>
      </c>
      <c r="AB100" s="60">
        <f t="shared" si="12"/>
        <v>0</v>
      </c>
      <c r="AC100" s="60">
        <v>129.04</v>
      </c>
      <c r="AD100" s="65">
        <v>0</v>
      </c>
      <c r="AE100" s="60">
        <f>AD100*Valores!$B$2</f>
        <v>0</v>
      </c>
      <c r="AF100" s="66">
        <f t="shared" si="13"/>
        <v>7885.424400000001</v>
      </c>
      <c r="AG100" s="60">
        <v>0</v>
      </c>
      <c r="AH100" s="64">
        <f>Valores!$B$4</f>
        <v>340</v>
      </c>
      <c r="AI100" s="64">
        <f>Valores!$B$25</f>
        <v>0</v>
      </c>
      <c r="AJ100" s="60">
        <v>0</v>
      </c>
      <c r="AK100" s="67">
        <f t="shared" si="14"/>
        <v>340</v>
      </c>
      <c r="AL100" s="62">
        <f t="shared" si="15"/>
        <v>6451.203910000001</v>
      </c>
      <c r="AM100" s="68">
        <v>110</v>
      </c>
      <c r="AN100" s="69"/>
      <c r="AO100" s="69"/>
      <c r="AP100" s="20" t="s">
        <v>487</v>
      </c>
    </row>
    <row r="101" spans="2:42" s="20" customFormat="1" ht="11.25" customHeight="1" thickTop="1">
      <c r="B101" s="20">
        <v>101</v>
      </c>
      <c r="D101" s="20" t="s">
        <v>193</v>
      </c>
      <c r="F101" s="21" t="s">
        <v>194</v>
      </c>
      <c r="G101" s="28">
        <v>45</v>
      </c>
      <c r="H101" s="15">
        <f>G101*Valores!$B$2</f>
        <v>104.44500000000001</v>
      </c>
      <c r="I101" s="28">
        <v>1502</v>
      </c>
      <c r="J101" s="15">
        <f>I101*Valores!$B$2</f>
        <v>3486.1420000000003</v>
      </c>
      <c r="K101" s="27">
        <v>0</v>
      </c>
      <c r="L101" s="15">
        <f>K101*Valores!$B$2</f>
        <v>0</v>
      </c>
      <c r="M101" s="27">
        <v>0</v>
      </c>
      <c r="N101" s="15">
        <f>M101*Valores!$B$2</f>
        <v>0</v>
      </c>
      <c r="O101" s="15">
        <f t="shared" si="9"/>
        <v>647.3380500000001</v>
      </c>
      <c r="P101" s="15">
        <f t="shared" si="10"/>
        <v>0</v>
      </c>
      <c r="Q101" s="17">
        <f>Valores!$B$18</f>
        <v>1015</v>
      </c>
      <c r="R101" s="17">
        <f>Valores!$C$6</f>
        <v>1038.184</v>
      </c>
      <c r="S101" s="15">
        <v>0</v>
      </c>
      <c r="T101" s="26">
        <f>Valores!$B$21</f>
        <v>725</v>
      </c>
      <c r="U101" s="15">
        <f t="shared" si="11"/>
        <v>725</v>
      </c>
      <c r="V101" s="15">
        <v>0</v>
      </c>
      <c r="W101" s="15">
        <v>0</v>
      </c>
      <c r="X101" s="24">
        <v>0</v>
      </c>
      <c r="Y101" s="15">
        <f>X101*Valores!$B$2</f>
        <v>0</v>
      </c>
      <c r="Z101" s="15">
        <v>0</v>
      </c>
      <c r="AA101" s="39">
        <v>129.04</v>
      </c>
      <c r="AB101" s="15">
        <f t="shared" si="12"/>
        <v>0</v>
      </c>
      <c r="AC101" s="15">
        <v>129.04</v>
      </c>
      <c r="AD101" s="16">
        <v>0</v>
      </c>
      <c r="AE101" s="15">
        <f>AD101*Valores!$B$2</f>
        <v>0</v>
      </c>
      <c r="AF101" s="31">
        <f t="shared" si="13"/>
        <v>7274.189050000001</v>
      </c>
      <c r="AG101" s="15">
        <v>0</v>
      </c>
      <c r="AH101" s="39">
        <f>Valores!$B$4</f>
        <v>340</v>
      </c>
      <c r="AI101" s="15">
        <f>Valores!$B$25</f>
        <v>0</v>
      </c>
      <c r="AJ101" s="15">
        <v>0</v>
      </c>
      <c r="AK101" s="25">
        <f t="shared" si="14"/>
        <v>340</v>
      </c>
      <c r="AL101" s="17">
        <f t="shared" si="15"/>
        <v>5977.496513750001</v>
      </c>
      <c r="AM101" s="43">
        <v>110</v>
      </c>
      <c r="AN101" s="56"/>
      <c r="AO101" s="56"/>
      <c r="AP101" s="20" t="s">
        <v>487</v>
      </c>
    </row>
    <row r="102" spans="2:42" s="20" customFormat="1" ht="11.25" customHeight="1">
      <c r="B102" s="20">
        <v>102</v>
      </c>
      <c r="D102" s="20" t="s">
        <v>195</v>
      </c>
      <c r="F102" s="21" t="s">
        <v>196</v>
      </c>
      <c r="G102" s="28">
        <v>45</v>
      </c>
      <c r="H102" s="15">
        <f>G102*Valores!$B$2</f>
        <v>104.44500000000001</v>
      </c>
      <c r="I102" s="28">
        <v>1139</v>
      </c>
      <c r="J102" s="15">
        <f>I102*Valores!$B$2</f>
        <v>2643.619</v>
      </c>
      <c r="K102" s="27">
        <v>0</v>
      </c>
      <c r="L102" s="15">
        <f>K102*Valores!$B$2</f>
        <v>0</v>
      </c>
      <c r="M102" s="27">
        <v>0</v>
      </c>
      <c r="N102" s="15">
        <f>M102*Valores!$B$2</f>
        <v>0</v>
      </c>
      <c r="O102" s="15">
        <f t="shared" si="9"/>
        <v>520.9596</v>
      </c>
      <c r="P102" s="15">
        <f t="shared" si="10"/>
        <v>0</v>
      </c>
      <c r="Q102" s="17">
        <f>Valores!$B$18</f>
        <v>1015</v>
      </c>
      <c r="R102" s="17">
        <f>Valores!$C$6</f>
        <v>1038.184</v>
      </c>
      <c r="S102" s="15">
        <v>0</v>
      </c>
      <c r="T102" s="26">
        <f>Valores!$B$21</f>
        <v>725</v>
      </c>
      <c r="U102" s="15">
        <f t="shared" si="11"/>
        <v>725</v>
      </c>
      <c r="V102" s="15">
        <v>0</v>
      </c>
      <c r="W102" s="15">
        <v>0</v>
      </c>
      <c r="X102" s="24">
        <v>0</v>
      </c>
      <c r="Y102" s="15">
        <f>X102*Valores!$B$2</f>
        <v>0</v>
      </c>
      <c r="Z102" s="15">
        <v>0</v>
      </c>
      <c r="AA102" s="39">
        <v>129.04</v>
      </c>
      <c r="AB102" s="15">
        <f t="shared" si="12"/>
        <v>0</v>
      </c>
      <c r="AC102" s="15">
        <v>129.04</v>
      </c>
      <c r="AD102" s="16">
        <v>0</v>
      </c>
      <c r="AE102" s="15">
        <f>AD102*Valores!$B$2</f>
        <v>0</v>
      </c>
      <c r="AF102" s="31">
        <f t="shared" si="13"/>
        <v>6305.287600000001</v>
      </c>
      <c r="AG102" s="15">
        <v>0</v>
      </c>
      <c r="AH102" s="39">
        <f>Valores!$B$4</f>
        <v>340</v>
      </c>
      <c r="AI102" s="15">
        <f>Valores!$B$25</f>
        <v>0</v>
      </c>
      <c r="AJ102" s="15">
        <v>0</v>
      </c>
      <c r="AK102" s="25">
        <f t="shared" si="14"/>
        <v>340</v>
      </c>
      <c r="AL102" s="17">
        <f t="shared" si="15"/>
        <v>5226.597890000001</v>
      </c>
      <c r="AM102" s="43">
        <v>110</v>
      </c>
      <c r="AN102" s="56"/>
      <c r="AO102" s="56"/>
      <c r="AP102" s="20" t="s">
        <v>487</v>
      </c>
    </row>
    <row r="103" spans="2:42" s="20" customFormat="1" ht="11.25" customHeight="1">
      <c r="B103" s="20">
        <v>103</v>
      </c>
      <c r="D103" s="20" t="s">
        <v>197</v>
      </c>
      <c r="F103" s="21" t="s">
        <v>198</v>
      </c>
      <c r="G103" s="28">
        <v>46</v>
      </c>
      <c r="H103" s="15">
        <f>G103*Valores!$B$2</f>
        <v>106.766</v>
      </c>
      <c r="I103" s="28">
        <v>1102</v>
      </c>
      <c r="J103" s="15">
        <f>I103*Valores!$B$2</f>
        <v>2557.742</v>
      </c>
      <c r="K103" s="27">
        <v>0</v>
      </c>
      <c r="L103" s="15">
        <f>K103*Valores!$B$2</f>
        <v>0</v>
      </c>
      <c r="M103" s="27">
        <v>0</v>
      </c>
      <c r="N103" s="15">
        <f>M103*Valores!$B$2</f>
        <v>0</v>
      </c>
      <c r="O103" s="15">
        <f t="shared" si="9"/>
        <v>508.4262</v>
      </c>
      <c r="P103" s="15">
        <f t="shared" si="10"/>
        <v>0</v>
      </c>
      <c r="Q103" s="17">
        <f>Valores!$B$18</f>
        <v>1015</v>
      </c>
      <c r="R103" s="17">
        <f>Valores!$C$6</f>
        <v>1038.184</v>
      </c>
      <c r="S103" s="15">
        <v>0</v>
      </c>
      <c r="T103" s="26">
        <f>Valores!$B$21</f>
        <v>725</v>
      </c>
      <c r="U103" s="15">
        <f t="shared" si="11"/>
        <v>725</v>
      </c>
      <c r="V103" s="15">
        <v>0</v>
      </c>
      <c r="W103" s="15">
        <v>0</v>
      </c>
      <c r="X103" s="24">
        <v>0</v>
      </c>
      <c r="Y103" s="15">
        <f>X103*Valores!$B$2</f>
        <v>0</v>
      </c>
      <c r="Z103" s="15">
        <v>0</v>
      </c>
      <c r="AA103" s="39">
        <v>129.04</v>
      </c>
      <c r="AB103" s="15">
        <f t="shared" si="12"/>
        <v>0</v>
      </c>
      <c r="AC103" s="15">
        <v>129.04</v>
      </c>
      <c r="AD103" s="16">
        <v>0</v>
      </c>
      <c r="AE103" s="15">
        <f>AD103*Valores!$B$2</f>
        <v>0</v>
      </c>
      <c r="AF103" s="31">
        <f t="shared" si="13"/>
        <v>6209.1982</v>
      </c>
      <c r="AG103" s="15">
        <v>0</v>
      </c>
      <c r="AH103" s="39">
        <f>Valores!$B$4</f>
        <v>340</v>
      </c>
      <c r="AI103" s="15">
        <f>Valores!$B$25</f>
        <v>0</v>
      </c>
      <c r="AJ103" s="15">
        <v>0</v>
      </c>
      <c r="AK103" s="25">
        <f t="shared" si="14"/>
        <v>340</v>
      </c>
      <c r="AL103" s="17">
        <f t="shared" si="15"/>
        <v>5152.128605</v>
      </c>
      <c r="AM103" s="43"/>
      <c r="AN103" s="56"/>
      <c r="AO103" s="56"/>
      <c r="AP103" s="20" t="s">
        <v>487</v>
      </c>
    </row>
    <row r="104" spans="2:42" s="20" customFormat="1" ht="11.25" customHeight="1">
      <c r="B104" s="20">
        <v>104</v>
      </c>
      <c r="D104" s="20" t="s">
        <v>199</v>
      </c>
      <c r="F104" s="21" t="s">
        <v>200</v>
      </c>
      <c r="G104" s="28">
        <v>66</v>
      </c>
      <c r="H104" s="15">
        <f>G104*Valores!$B$2</f>
        <v>153.186</v>
      </c>
      <c r="I104" s="28">
        <v>1911</v>
      </c>
      <c r="J104" s="15">
        <f>I104*Valores!$B$2</f>
        <v>4435.4310000000005</v>
      </c>
      <c r="K104" s="27">
        <v>0</v>
      </c>
      <c r="L104" s="15">
        <f>K104*Valores!$B$2</f>
        <v>0</v>
      </c>
      <c r="M104" s="27">
        <v>0</v>
      </c>
      <c r="N104" s="15">
        <f>M104*Valores!$B$2</f>
        <v>0</v>
      </c>
      <c r="O104" s="15">
        <f t="shared" si="9"/>
        <v>797.04255</v>
      </c>
      <c r="P104" s="15">
        <f t="shared" si="10"/>
        <v>0</v>
      </c>
      <c r="Q104" s="17">
        <f>Valores!$B$18</f>
        <v>1015</v>
      </c>
      <c r="R104" s="17">
        <f>Valores!$C$6</f>
        <v>1038.184</v>
      </c>
      <c r="S104" s="17">
        <f>Valores!$B$23</f>
        <v>870</v>
      </c>
      <c r="T104" s="26">
        <f>Valores!$B$21</f>
        <v>725</v>
      </c>
      <c r="U104" s="15">
        <f t="shared" si="11"/>
        <v>725</v>
      </c>
      <c r="V104" s="15">
        <v>0</v>
      </c>
      <c r="W104" s="15">
        <v>0</v>
      </c>
      <c r="X104" s="24">
        <v>0</v>
      </c>
      <c r="Y104" s="15">
        <f>X104*Valores!$B$2</f>
        <v>0</v>
      </c>
      <c r="Z104" s="15">
        <v>0</v>
      </c>
      <c r="AA104" s="39">
        <v>129.04</v>
      </c>
      <c r="AB104" s="15">
        <f t="shared" si="12"/>
        <v>0</v>
      </c>
      <c r="AC104" s="15">
        <v>129.04</v>
      </c>
      <c r="AD104" s="24">
        <v>94</v>
      </c>
      <c r="AE104" s="15">
        <f>AD104*Valores!$B$2</f>
        <v>218.174</v>
      </c>
      <c r="AF104" s="31">
        <f t="shared" si="13"/>
        <v>9510.097550000004</v>
      </c>
      <c r="AG104" s="15">
        <v>0</v>
      </c>
      <c r="AH104" s="39">
        <f>Valores!$B$4</f>
        <v>340</v>
      </c>
      <c r="AI104" s="15">
        <f>Valores!$B$25</f>
        <v>0</v>
      </c>
      <c r="AJ104" s="15">
        <v>0</v>
      </c>
      <c r="AK104" s="25">
        <f t="shared" si="14"/>
        <v>340</v>
      </c>
      <c r="AL104" s="17">
        <f t="shared" si="15"/>
        <v>7710.325601250003</v>
      </c>
      <c r="AM104" s="43">
        <v>110</v>
      </c>
      <c r="AN104" s="56"/>
      <c r="AO104" s="56"/>
      <c r="AP104" s="20" t="s">
        <v>487</v>
      </c>
    </row>
    <row r="105" spans="2:42" s="20" customFormat="1" ht="11.25" customHeight="1" thickBot="1">
      <c r="B105" s="20">
        <v>105</v>
      </c>
      <c r="C105" s="20" t="s">
        <v>478</v>
      </c>
      <c r="D105" s="57" t="s">
        <v>201</v>
      </c>
      <c r="E105" s="57"/>
      <c r="F105" s="58" t="s">
        <v>202</v>
      </c>
      <c r="G105" s="59">
        <v>61</v>
      </c>
      <c r="H105" s="60">
        <f>G105*Valores!$B$2</f>
        <v>141.58100000000002</v>
      </c>
      <c r="I105" s="59">
        <v>1545</v>
      </c>
      <c r="J105" s="60">
        <f>I105*Valores!$B$2</f>
        <v>3585.945</v>
      </c>
      <c r="K105" s="70">
        <v>0</v>
      </c>
      <c r="L105" s="60">
        <f>K105*Valores!$B$2</f>
        <v>0</v>
      </c>
      <c r="M105" s="70">
        <v>0</v>
      </c>
      <c r="N105" s="60">
        <f>M105*Valores!$B$2</f>
        <v>0</v>
      </c>
      <c r="O105" s="60">
        <f t="shared" si="9"/>
        <v>667.8788999999999</v>
      </c>
      <c r="P105" s="60">
        <f t="shared" si="10"/>
        <v>0</v>
      </c>
      <c r="Q105" s="62">
        <f>Valores!$B$18</f>
        <v>1015</v>
      </c>
      <c r="R105" s="62">
        <f>Valores!$C$6</f>
        <v>1038.184</v>
      </c>
      <c r="S105" s="60">
        <f>Valores!$B$23</f>
        <v>870</v>
      </c>
      <c r="T105" s="71">
        <f>Valores!$B$21</f>
        <v>725</v>
      </c>
      <c r="U105" s="60">
        <f t="shared" si="11"/>
        <v>725</v>
      </c>
      <c r="V105" s="60">
        <v>0</v>
      </c>
      <c r="W105" s="60">
        <v>0</v>
      </c>
      <c r="X105" s="63">
        <v>0</v>
      </c>
      <c r="Y105" s="60">
        <f>X105*Valores!$B$2</f>
        <v>0</v>
      </c>
      <c r="Z105" s="60">
        <v>0</v>
      </c>
      <c r="AA105" s="64">
        <v>129.04</v>
      </c>
      <c r="AB105" s="60">
        <f t="shared" si="12"/>
        <v>0</v>
      </c>
      <c r="AC105" s="60">
        <v>129.04</v>
      </c>
      <c r="AD105" s="63">
        <v>94</v>
      </c>
      <c r="AE105" s="60">
        <f>AD105*Valores!$B$2</f>
        <v>218.174</v>
      </c>
      <c r="AF105" s="66">
        <f t="shared" si="13"/>
        <v>8519.842900000001</v>
      </c>
      <c r="AG105" s="60">
        <v>0</v>
      </c>
      <c r="AH105" s="64">
        <f>Valores!$B$4</f>
        <v>340</v>
      </c>
      <c r="AI105" s="64">
        <f>Valores!$B$25</f>
        <v>0</v>
      </c>
      <c r="AJ105" s="60">
        <v>0</v>
      </c>
      <c r="AK105" s="67">
        <f t="shared" si="14"/>
        <v>340</v>
      </c>
      <c r="AL105" s="62">
        <f t="shared" si="15"/>
        <v>6942.878247500002</v>
      </c>
      <c r="AM105" s="68"/>
      <c r="AN105" s="69"/>
      <c r="AO105" s="69"/>
      <c r="AP105" s="20" t="s">
        <v>486</v>
      </c>
    </row>
    <row r="106" spans="2:42" s="20" customFormat="1" ht="11.25" customHeight="1" thickTop="1">
      <c r="B106" s="20">
        <v>106</v>
      </c>
      <c r="D106" s="20" t="s">
        <v>203</v>
      </c>
      <c r="F106" s="21" t="s">
        <v>204</v>
      </c>
      <c r="G106" s="28">
        <f>75+143</f>
        <v>218</v>
      </c>
      <c r="H106" s="15">
        <f>G106*Valores!$B$2</f>
        <v>505.97800000000007</v>
      </c>
      <c r="I106" s="28">
        <v>2100</v>
      </c>
      <c r="J106" s="15">
        <f>I106*Valores!$B$2</f>
        <v>4874.1</v>
      </c>
      <c r="K106" s="27">
        <v>0</v>
      </c>
      <c r="L106" s="15">
        <f>K106*Valores!$B$2</f>
        <v>0</v>
      </c>
      <c r="M106" s="27">
        <v>0</v>
      </c>
      <c r="N106" s="15">
        <f>M106*Valores!$B$2</f>
        <v>0</v>
      </c>
      <c r="O106" s="15">
        <f t="shared" si="9"/>
        <v>915.7617</v>
      </c>
      <c r="P106" s="15">
        <f t="shared" si="10"/>
        <v>0</v>
      </c>
      <c r="Q106" s="17">
        <f>Valores!$B$18</f>
        <v>1015</v>
      </c>
      <c r="R106" s="17">
        <f>Valores!$C$6</f>
        <v>1038.184</v>
      </c>
      <c r="S106" s="17">
        <f>Valores!$B$23</f>
        <v>870</v>
      </c>
      <c r="T106" s="26">
        <f>Valores!$B$21</f>
        <v>725</v>
      </c>
      <c r="U106" s="15">
        <f t="shared" si="11"/>
        <v>725</v>
      </c>
      <c r="V106" s="15">
        <v>0</v>
      </c>
      <c r="W106" s="15">
        <v>0</v>
      </c>
      <c r="X106" s="24">
        <v>0</v>
      </c>
      <c r="Y106" s="15">
        <f>X106*Valores!$B$2</f>
        <v>0</v>
      </c>
      <c r="Z106" s="15">
        <v>0</v>
      </c>
      <c r="AA106" s="39">
        <v>129.04</v>
      </c>
      <c r="AB106" s="15">
        <f t="shared" si="12"/>
        <v>0</v>
      </c>
      <c r="AC106" s="15">
        <v>129.04</v>
      </c>
      <c r="AD106" s="16">
        <v>0</v>
      </c>
      <c r="AE106" s="15">
        <f>AD106*Valores!$B$2</f>
        <v>0</v>
      </c>
      <c r="AF106" s="31">
        <f t="shared" si="13"/>
        <v>10202.103700000001</v>
      </c>
      <c r="AG106" s="15">
        <v>0</v>
      </c>
      <c r="AH106" s="39">
        <f>Valores!$B$4</f>
        <v>340</v>
      </c>
      <c r="AI106" s="15">
        <f>Valores!$B$25</f>
        <v>0</v>
      </c>
      <c r="AJ106" s="15">
        <v>0</v>
      </c>
      <c r="AK106" s="25">
        <f t="shared" si="14"/>
        <v>340</v>
      </c>
      <c r="AL106" s="17">
        <f t="shared" si="15"/>
        <v>8246.630367500002</v>
      </c>
      <c r="AM106" s="43"/>
      <c r="AN106" s="56"/>
      <c r="AO106" s="56"/>
      <c r="AP106" s="20" t="s">
        <v>487</v>
      </c>
    </row>
    <row r="107" spans="2:42" s="20" customFormat="1" ht="11.25" customHeight="1">
      <c r="B107" s="20">
        <v>107</v>
      </c>
      <c r="D107" s="20" t="s">
        <v>205</v>
      </c>
      <c r="F107" s="21" t="s">
        <v>206</v>
      </c>
      <c r="G107" s="28">
        <f>77+143</f>
        <v>220</v>
      </c>
      <c r="H107" s="15">
        <f>G107*Valores!$B$2</f>
        <v>510.62000000000006</v>
      </c>
      <c r="I107" s="28">
        <v>1995</v>
      </c>
      <c r="J107" s="15">
        <f>I107*Valores!$B$2</f>
        <v>4630.395</v>
      </c>
      <c r="K107" s="27">
        <v>0</v>
      </c>
      <c r="L107" s="15">
        <f>K107*Valores!$B$2</f>
        <v>0</v>
      </c>
      <c r="M107" s="27">
        <v>0</v>
      </c>
      <c r="N107" s="15">
        <f>M107*Valores!$B$2</f>
        <v>0</v>
      </c>
      <c r="O107" s="15">
        <f t="shared" si="9"/>
        <v>879.90225</v>
      </c>
      <c r="P107" s="15">
        <f t="shared" si="10"/>
        <v>0</v>
      </c>
      <c r="Q107" s="17">
        <f>Valores!$B$18</f>
        <v>1015</v>
      </c>
      <c r="R107" s="17">
        <f>Valores!$C$6</f>
        <v>1038.184</v>
      </c>
      <c r="S107" s="17">
        <f>Valores!$B$23</f>
        <v>870</v>
      </c>
      <c r="T107" s="26">
        <f>Valores!$B$21</f>
        <v>725</v>
      </c>
      <c r="U107" s="15">
        <f t="shared" si="11"/>
        <v>725</v>
      </c>
      <c r="V107" s="15">
        <v>0</v>
      </c>
      <c r="W107" s="15">
        <v>0</v>
      </c>
      <c r="X107" s="24">
        <v>0</v>
      </c>
      <c r="Y107" s="15">
        <f>X107*Valores!$B$2</f>
        <v>0</v>
      </c>
      <c r="Z107" s="15">
        <v>0</v>
      </c>
      <c r="AA107" s="39">
        <v>129.04</v>
      </c>
      <c r="AB107" s="15">
        <f t="shared" si="12"/>
        <v>0</v>
      </c>
      <c r="AC107" s="15">
        <v>129.04</v>
      </c>
      <c r="AD107" s="16">
        <v>0</v>
      </c>
      <c r="AE107" s="15">
        <f>AD107*Valores!$B$2</f>
        <v>0</v>
      </c>
      <c r="AF107" s="31">
        <f t="shared" si="13"/>
        <v>9927.181250000001</v>
      </c>
      <c r="AG107" s="15">
        <v>0</v>
      </c>
      <c r="AH107" s="39">
        <f>Valores!$B$4</f>
        <v>340</v>
      </c>
      <c r="AI107" s="15">
        <f>Valores!$B$25</f>
        <v>0</v>
      </c>
      <c r="AJ107" s="15">
        <v>0</v>
      </c>
      <c r="AK107" s="25">
        <f t="shared" si="14"/>
        <v>340</v>
      </c>
      <c r="AL107" s="17">
        <f t="shared" si="15"/>
        <v>8033.565468750001</v>
      </c>
      <c r="AM107" s="43">
        <v>110</v>
      </c>
      <c r="AN107" s="56"/>
      <c r="AO107" s="56"/>
      <c r="AP107" s="20" t="s">
        <v>487</v>
      </c>
    </row>
    <row r="108" spans="2:42" s="20" customFormat="1" ht="11.25" customHeight="1">
      <c r="B108" s="20">
        <v>108</v>
      </c>
      <c r="D108" s="20" t="s">
        <v>207</v>
      </c>
      <c r="F108" s="21" t="s">
        <v>208</v>
      </c>
      <c r="G108" s="28">
        <f>72+115</f>
        <v>187</v>
      </c>
      <c r="H108" s="15">
        <f>G108*Valores!$B$2</f>
        <v>434.02700000000004</v>
      </c>
      <c r="I108" s="28">
        <v>1704</v>
      </c>
      <c r="J108" s="15">
        <f>I108*Valores!$B$2</f>
        <v>3954.9840000000004</v>
      </c>
      <c r="K108" s="27">
        <v>0</v>
      </c>
      <c r="L108" s="15">
        <f>K108*Valores!$B$2</f>
        <v>0</v>
      </c>
      <c r="M108" s="27">
        <v>0</v>
      </c>
      <c r="N108" s="15">
        <f>M108*Valores!$B$2</f>
        <v>0</v>
      </c>
      <c r="O108" s="15">
        <f t="shared" si="9"/>
        <v>767.1016500000001</v>
      </c>
      <c r="P108" s="15">
        <f t="shared" si="10"/>
        <v>0</v>
      </c>
      <c r="Q108" s="17">
        <f>Valores!$B$18</f>
        <v>1015</v>
      </c>
      <c r="R108" s="17">
        <f>Valores!$C$6</f>
        <v>1038.184</v>
      </c>
      <c r="S108" s="17">
        <f>Valores!$B$23</f>
        <v>870</v>
      </c>
      <c r="T108" s="26">
        <f>Valores!$B$21</f>
        <v>725</v>
      </c>
      <c r="U108" s="15">
        <f t="shared" si="11"/>
        <v>725</v>
      </c>
      <c r="V108" s="15">
        <v>0</v>
      </c>
      <c r="W108" s="15">
        <v>0</v>
      </c>
      <c r="X108" s="24">
        <v>0</v>
      </c>
      <c r="Y108" s="15">
        <f>X108*Valores!$B$2</f>
        <v>0</v>
      </c>
      <c r="Z108" s="15">
        <v>0</v>
      </c>
      <c r="AA108" s="39">
        <v>129.04</v>
      </c>
      <c r="AB108" s="15">
        <f t="shared" si="12"/>
        <v>0</v>
      </c>
      <c r="AC108" s="15">
        <v>129.04</v>
      </c>
      <c r="AD108" s="16">
        <v>0</v>
      </c>
      <c r="AE108" s="15">
        <f>AD108*Valores!$B$2</f>
        <v>0</v>
      </c>
      <c r="AF108" s="31">
        <f t="shared" si="13"/>
        <v>9062.376650000002</v>
      </c>
      <c r="AG108" s="15">
        <v>0</v>
      </c>
      <c r="AH108" s="39">
        <f>Valores!$B$4</f>
        <v>340</v>
      </c>
      <c r="AI108" s="15">
        <f>Valores!$B$25</f>
        <v>0</v>
      </c>
      <c r="AJ108" s="15">
        <v>0</v>
      </c>
      <c r="AK108" s="25">
        <f t="shared" si="14"/>
        <v>340</v>
      </c>
      <c r="AL108" s="17">
        <f t="shared" si="15"/>
        <v>7363.341903750002</v>
      </c>
      <c r="AM108" s="43"/>
      <c r="AN108" s="56"/>
      <c r="AO108" s="56"/>
      <c r="AP108" s="20" t="s">
        <v>487</v>
      </c>
    </row>
    <row r="109" spans="2:42" s="20" customFormat="1" ht="11.25" customHeight="1">
      <c r="B109" s="20">
        <v>109</v>
      </c>
      <c r="D109" s="20" t="s">
        <v>209</v>
      </c>
      <c r="F109" s="21" t="s">
        <v>210</v>
      </c>
      <c r="G109" s="28">
        <f>67+94</f>
        <v>161</v>
      </c>
      <c r="H109" s="15">
        <f>G109*Valores!$B$2</f>
        <v>373.68100000000004</v>
      </c>
      <c r="I109" s="28">
        <v>1480</v>
      </c>
      <c r="J109" s="15">
        <f>I109*Valores!$B$2</f>
        <v>3435.0800000000004</v>
      </c>
      <c r="K109" s="27">
        <v>0</v>
      </c>
      <c r="L109" s="15">
        <f>K109*Valores!$B$2</f>
        <v>0</v>
      </c>
      <c r="M109" s="27">
        <v>0</v>
      </c>
      <c r="N109" s="15">
        <f>M109*Valores!$B$2</f>
        <v>0</v>
      </c>
      <c r="O109" s="15">
        <f t="shared" si="9"/>
        <v>680.06415</v>
      </c>
      <c r="P109" s="15">
        <f t="shared" si="10"/>
        <v>0</v>
      </c>
      <c r="Q109" s="17">
        <f>Valores!$B$18</f>
        <v>1015</v>
      </c>
      <c r="R109" s="17">
        <f>Valores!$C$6</f>
        <v>1038.184</v>
      </c>
      <c r="S109" s="17">
        <f>Valores!$B$23</f>
        <v>870</v>
      </c>
      <c r="T109" s="26">
        <f>Valores!$B$21</f>
        <v>725</v>
      </c>
      <c r="U109" s="15">
        <f t="shared" si="11"/>
        <v>725</v>
      </c>
      <c r="V109" s="15">
        <v>0</v>
      </c>
      <c r="W109" s="15">
        <v>0</v>
      </c>
      <c r="X109" s="24">
        <v>0</v>
      </c>
      <c r="Y109" s="15">
        <f>X109*Valores!$B$2</f>
        <v>0</v>
      </c>
      <c r="Z109" s="15">
        <v>0</v>
      </c>
      <c r="AA109" s="39">
        <v>129.04</v>
      </c>
      <c r="AB109" s="15">
        <f t="shared" si="12"/>
        <v>0</v>
      </c>
      <c r="AC109" s="15">
        <v>129.04</v>
      </c>
      <c r="AD109" s="16">
        <v>0</v>
      </c>
      <c r="AE109" s="15">
        <f>AD109*Valores!$B$2</f>
        <v>0</v>
      </c>
      <c r="AF109" s="31">
        <f t="shared" si="13"/>
        <v>8395.089150000002</v>
      </c>
      <c r="AG109" s="15">
        <v>0</v>
      </c>
      <c r="AH109" s="39">
        <f>Valores!$B$4</f>
        <v>340</v>
      </c>
      <c r="AI109" s="15">
        <f>Valores!$B$25</f>
        <v>0</v>
      </c>
      <c r="AJ109" s="15">
        <v>0</v>
      </c>
      <c r="AK109" s="25">
        <f t="shared" si="14"/>
        <v>340</v>
      </c>
      <c r="AL109" s="17">
        <f t="shared" si="15"/>
        <v>6846.194091250001</v>
      </c>
      <c r="AM109" s="43"/>
      <c r="AN109" s="56"/>
      <c r="AO109" s="56"/>
      <c r="AP109" s="20" t="s">
        <v>487</v>
      </c>
    </row>
    <row r="110" spans="2:42" s="20" customFormat="1" ht="11.25" customHeight="1" thickBot="1">
      <c r="B110" s="20">
        <v>110</v>
      </c>
      <c r="C110" s="20" t="s">
        <v>478</v>
      </c>
      <c r="D110" s="57" t="s">
        <v>211</v>
      </c>
      <c r="E110" s="57"/>
      <c r="F110" s="58" t="s">
        <v>212</v>
      </c>
      <c r="G110" s="59">
        <f>1184+94</f>
        <v>1278</v>
      </c>
      <c r="H110" s="60">
        <f>G110*Valores!$B$2</f>
        <v>2966.2380000000003</v>
      </c>
      <c r="I110" s="63">
        <v>0</v>
      </c>
      <c r="J110" s="60">
        <f>I110*Valores!$B$2</f>
        <v>0</v>
      </c>
      <c r="K110" s="70">
        <v>0</v>
      </c>
      <c r="L110" s="60">
        <f>K110*Valores!$B$2</f>
        <v>0</v>
      </c>
      <c r="M110" s="70">
        <v>0</v>
      </c>
      <c r="N110" s="60">
        <f>M110*Valores!$B$2</f>
        <v>0</v>
      </c>
      <c r="O110" s="60">
        <f t="shared" si="9"/>
        <v>553.6857</v>
      </c>
      <c r="P110" s="60">
        <f t="shared" si="10"/>
        <v>0</v>
      </c>
      <c r="Q110" s="62">
        <f>Valores!$B$18</f>
        <v>1015</v>
      </c>
      <c r="R110" s="62">
        <f>Valores!$C$6</f>
        <v>1038.184</v>
      </c>
      <c r="S110" s="60">
        <f>Valores!$B$23</f>
        <v>870</v>
      </c>
      <c r="T110" s="71">
        <f>Valores!$B$21</f>
        <v>725</v>
      </c>
      <c r="U110" s="60">
        <f t="shared" si="11"/>
        <v>725</v>
      </c>
      <c r="V110" s="60">
        <v>0</v>
      </c>
      <c r="W110" s="60">
        <v>0</v>
      </c>
      <c r="X110" s="63">
        <v>0</v>
      </c>
      <c r="Y110" s="60">
        <f>X110*Valores!$B$2</f>
        <v>0</v>
      </c>
      <c r="Z110" s="60">
        <v>0</v>
      </c>
      <c r="AA110" s="64">
        <v>129.04</v>
      </c>
      <c r="AB110" s="60">
        <f t="shared" si="12"/>
        <v>0</v>
      </c>
      <c r="AC110" s="60">
        <v>129.04</v>
      </c>
      <c r="AD110" s="65">
        <v>0</v>
      </c>
      <c r="AE110" s="60">
        <f>AD110*Valores!$B$2</f>
        <v>0</v>
      </c>
      <c r="AF110" s="66">
        <f t="shared" si="13"/>
        <v>7426.1877</v>
      </c>
      <c r="AG110" s="60">
        <v>0</v>
      </c>
      <c r="AH110" s="39">
        <f>Valores!$B$4</f>
        <v>340</v>
      </c>
      <c r="AI110" s="64">
        <f>Valores!$B$25</f>
        <v>0</v>
      </c>
      <c r="AJ110" s="60">
        <v>0</v>
      </c>
      <c r="AK110" s="67">
        <f t="shared" si="14"/>
        <v>340</v>
      </c>
      <c r="AL110" s="62">
        <f t="shared" si="15"/>
        <v>6095.2954675</v>
      </c>
      <c r="AM110" s="68">
        <v>110</v>
      </c>
      <c r="AN110" s="69"/>
      <c r="AO110" s="69"/>
      <c r="AP110" s="20" t="s">
        <v>487</v>
      </c>
    </row>
    <row r="111" spans="2:42" s="20" customFormat="1" ht="11.25" customHeight="1" thickTop="1">
      <c r="B111" s="20">
        <v>111</v>
      </c>
      <c r="D111" s="20" t="s">
        <v>213</v>
      </c>
      <c r="F111" s="21" t="s">
        <v>214</v>
      </c>
      <c r="G111" s="28">
        <v>77</v>
      </c>
      <c r="H111" s="15">
        <f>G111*Valores!$B$2</f>
        <v>178.717</v>
      </c>
      <c r="I111" s="24">
        <v>2073</v>
      </c>
      <c r="J111" s="15">
        <f>I111*Valores!$B$2</f>
        <v>4811.433</v>
      </c>
      <c r="K111" s="27">
        <v>0</v>
      </c>
      <c r="L111" s="15">
        <f>K111*Valores!$B$2</f>
        <v>0</v>
      </c>
      <c r="M111" s="27">
        <v>0</v>
      </c>
      <c r="N111" s="15">
        <f>M111*Valores!$B$2</f>
        <v>0</v>
      </c>
      <c r="O111" s="15">
        <f t="shared" si="9"/>
        <v>861.7724999999999</v>
      </c>
      <c r="P111" s="15">
        <f t="shared" si="10"/>
        <v>0</v>
      </c>
      <c r="Q111" s="17">
        <f>Valores!$B$12</f>
        <v>1165</v>
      </c>
      <c r="R111" s="17">
        <f>Valores!$C$6</f>
        <v>1038.184</v>
      </c>
      <c r="S111" s="17">
        <f>Valores!$B$23</f>
        <v>870</v>
      </c>
      <c r="T111" s="15">
        <f>Valores!$B$20</f>
        <v>755</v>
      </c>
      <c r="U111" s="15">
        <f t="shared" si="11"/>
        <v>755</v>
      </c>
      <c r="V111" s="15">
        <v>0</v>
      </c>
      <c r="W111" s="15">
        <v>0</v>
      </c>
      <c r="X111" s="24">
        <v>0</v>
      </c>
      <c r="Y111" s="15">
        <f>X111*Valores!$B$2</f>
        <v>0</v>
      </c>
      <c r="Z111" s="15">
        <v>0</v>
      </c>
      <c r="AA111" s="39">
        <v>129.04</v>
      </c>
      <c r="AB111" s="15">
        <f t="shared" si="12"/>
        <v>0</v>
      </c>
      <c r="AC111" s="15">
        <v>129.04</v>
      </c>
      <c r="AD111" s="16">
        <v>0</v>
      </c>
      <c r="AE111" s="15">
        <f>AD111*Valores!$B$2</f>
        <v>0</v>
      </c>
      <c r="AF111" s="31">
        <f t="shared" si="13"/>
        <v>9938.186500000002</v>
      </c>
      <c r="AG111" s="15">
        <v>0</v>
      </c>
      <c r="AH111" s="39">
        <f>Valores!$B$4</f>
        <v>340</v>
      </c>
      <c r="AI111" s="15">
        <f>Valores!$B$25</f>
        <v>0</v>
      </c>
      <c r="AJ111" s="15">
        <v>0</v>
      </c>
      <c r="AK111" s="25">
        <f t="shared" si="14"/>
        <v>340</v>
      </c>
      <c r="AL111" s="17">
        <f t="shared" si="15"/>
        <v>8042.094537500001</v>
      </c>
      <c r="AM111" s="43"/>
      <c r="AN111" s="56"/>
      <c r="AO111" s="56"/>
      <c r="AP111" s="20" t="s">
        <v>487</v>
      </c>
    </row>
    <row r="112" spans="2:42" s="20" customFormat="1" ht="11.25" customHeight="1">
      <c r="B112" s="20">
        <v>112</v>
      </c>
      <c r="D112" s="20" t="s">
        <v>215</v>
      </c>
      <c r="F112" s="21" t="s">
        <v>216</v>
      </c>
      <c r="G112" s="28">
        <v>77</v>
      </c>
      <c r="H112" s="15">
        <f>G112*Valores!$B$2</f>
        <v>178.717</v>
      </c>
      <c r="I112" s="24">
        <v>2043</v>
      </c>
      <c r="J112" s="15">
        <f>I112*Valores!$B$2</f>
        <v>4741.803000000001</v>
      </c>
      <c r="K112" s="27">
        <v>0</v>
      </c>
      <c r="L112" s="15">
        <f>K112*Valores!$B$2</f>
        <v>0</v>
      </c>
      <c r="M112" s="27">
        <v>0</v>
      </c>
      <c r="N112" s="15">
        <f>M112*Valores!$B$2</f>
        <v>0</v>
      </c>
      <c r="O112" s="15">
        <f t="shared" si="9"/>
        <v>851.3280000000001</v>
      </c>
      <c r="P112" s="15">
        <f t="shared" si="10"/>
        <v>0</v>
      </c>
      <c r="Q112" s="17">
        <f>Valores!$B$13</f>
        <v>1185</v>
      </c>
      <c r="R112" s="17">
        <f>Valores!$C$6</f>
        <v>1038.184</v>
      </c>
      <c r="S112" s="17">
        <f>Valores!$B$23</f>
        <v>870</v>
      </c>
      <c r="T112" s="15">
        <f>Valores!$B$20</f>
        <v>755</v>
      </c>
      <c r="U112" s="15">
        <f t="shared" si="11"/>
        <v>755</v>
      </c>
      <c r="V112" s="15">
        <v>0</v>
      </c>
      <c r="W112" s="15">
        <v>0</v>
      </c>
      <c r="X112" s="24">
        <v>0</v>
      </c>
      <c r="Y112" s="15">
        <f>X112*Valores!$B$2</f>
        <v>0</v>
      </c>
      <c r="Z112" s="15">
        <v>0</v>
      </c>
      <c r="AA112" s="39">
        <v>129.04</v>
      </c>
      <c r="AB112" s="15">
        <f t="shared" si="12"/>
        <v>0</v>
      </c>
      <c r="AC112" s="15">
        <v>129.04</v>
      </c>
      <c r="AD112" s="16">
        <v>0</v>
      </c>
      <c r="AE112" s="15">
        <f>AD112*Valores!$B$2</f>
        <v>0</v>
      </c>
      <c r="AF112" s="31">
        <f t="shared" si="13"/>
        <v>9878.112000000003</v>
      </c>
      <c r="AG112" s="15">
        <v>0</v>
      </c>
      <c r="AH112" s="39">
        <f>Valores!$B$4</f>
        <v>340</v>
      </c>
      <c r="AI112" s="15">
        <f>Valores!$B$25</f>
        <v>0</v>
      </c>
      <c r="AJ112" s="15">
        <v>0</v>
      </c>
      <c r="AK112" s="25">
        <f t="shared" si="14"/>
        <v>340</v>
      </c>
      <c r="AL112" s="17">
        <f t="shared" si="15"/>
        <v>7995.536800000003</v>
      </c>
      <c r="AM112" s="43">
        <v>110</v>
      </c>
      <c r="AN112" s="56"/>
      <c r="AO112" s="56"/>
      <c r="AP112" s="20" t="s">
        <v>487</v>
      </c>
    </row>
    <row r="113" spans="2:42" s="20" customFormat="1" ht="11.25" customHeight="1">
      <c r="B113" s="20">
        <v>113</v>
      </c>
      <c r="D113" s="20" t="s">
        <v>217</v>
      </c>
      <c r="F113" s="21" t="s">
        <v>218</v>
      </c>
      <c r="G113" s="28">
        <v>76</v>
      </c>
      <c r="H113" s="15">
        <f>G113*Valores!$B$2</f>
        <v>176.39600000000002</v>
      </c>
      <c r="I113" s="24">
        <v>1954</v>
      </c>
      <c r="J113" s="15">
        <f>I113*Valores!$B$2</f>
        <v>4535.234</v>
      </c>
      <c r="K113" s="27">
        <v>0</v>
      </c>
      <c r="L113" s="15">
        <f>K113*Valores!$B$2</f>
        <v>0</v>
      </c>
      <c r="M113" s="27">
        <v>0</v>
      </c>
      <c r="N113" s="15">
        <f>M113*Valores!$B$2</f>
        <v>0</v>
      </c>
      <c r="O113" s="15">
        <f t="shared" si="9"/>
        <v>819.9945</v>
      </c>
      <c r="P113" s="15">
        <f t="shared" si="10"/>
        <v>0</v>
      </c>
      <c r="Q113" s="17">
        <f>Valores!$B$13</f>
        <v>1185</v>
      </c>
      <c r="R113" s="17">
        <f>Valores!$C$6</f>
        <v>1038.184</v>
      </c>
      <c r="S113" s="17">
        <f>Valores!$B$23</f>
        <v>870</v>
      </c>
      <c r="T113" s="15">
        <f>Valores!$B$20</f>
        <v>755</v>
      </c>
      <c r="U113" s="15">
        <f t="shared" si="11"/>
        <v>755</v>
      </c>
      <c r="V113" s="15">
        <v>0</v>
      </c>
      <c r="W113" s="15">
        <v>0</v>
      </c>
      <c r="X113" s="24">
        <v>0</v>
      </c>
      <c r="Y113" s="15">
        <f>X113*Valores!$B$2</f>
        <v>0</v>
      </c>
      <c r="Z113" s="15">
        <v>0</v>
      </c>
      <c r="AA113" s="39">
        <v>129.04</v>
      </c>
      <c r="AB113" s="15">
        <f t="shared" si="12"/>
        <v>0</v>
      </c>
      <c r="AC113" s="15">
        <v>129.04</v>
      </c>
      <c r="AD113" s="16">
        <v>0</v>
      </c>
      <c r="AE113" s="15">
        <f>AD113*Valores!$B$2</f>
        <v>0</v>
      </c>
      <c r="AF113" s="31">
        <f t="shared" si="13"/>
        <v>9637.888500000001</v>
      </c>
      <c r="AG113" s="15">
        <v>0</v>
      </c>
      <c r="AH113" s="39">
        <f>Valores!$B$4</f>
        <v>340</v>
      </c>
      <c r="AI113" s="15">
        <f>Valores!$B$25</f>
        <v>0</v>
      </c>
      <c r="AJ113" s="15">
        <v>0</v>
      </c>
      <c r="AK113" s="25">
        <f t="shared" si="14"/>
        <v>340</v>
      </c>
      <c r="AL113" s="17">
        <f t="shared" si="15"/>
        <v>7809.363587500001</v>
      </c>
      <c r="AM113" s="43"/>
      <c r="AN113" s="56"/>
      <c r="AO113" s="56"/>
      <c r="AP113" s="20" t="s">
        <v>487</v>
      </c>
    </row>
    <row r="114" spans="2:42" s="20" customFormat="1" ht="11.25" customHeight="1">
      <c r="B114" s="20">
        <v>114</v>
      </c>
      <c r="D114" s="20" t="s">
        <v>219</v>
      </c>
      <c r="F114" s="21" t="s">
        <v>220</v>
      </c>
      <c r="G114" s="28">
        <v>274</v>
      </c>
      <c r="H114" s="15">
        <f>G114*Valores!$B$2</f>
        <v>635.9540000000001</v>
      </c>
      <c r="I114" s="24">
        <v>1163</v>
      </c>
      <c r="J114" s="15">
        <f>I114*Valores!$B$2</f>
        <v>2699.3230000000003</v>
      </c>
      <c r="K114" s="27">
        <v>0</v>
      </c>
      <c r="L114" s="15">
        <f>K114*Valores!$B$2</f>
        <v>0</v>
      </c>
      <c r="M114" s="27">
        <v>0</v>
      </c>
      <c r="N114" s="15">
        <f>M114*Valores!$B$2</f>
        <v>0</v>
      </c>
      <c r="O114" s="15">
        <f t="shared" si="9"/>
        <v>613.54155</v>
      </c>
      <c r="P114" s="15">
        <f t="shared" si="10"/>
        <v>0</v>
      </c>
      <c r="Q114" s="17">
        <f>Valores!$B$13</f>
        <v>1185</v>
      </c>
      <c r="R114" s="17">
        <f>Valores!$C$6</f>
        <v>1038.184</v>
      </c>
      <c r="S114" s="17">
        <f>Valores!$B$23</f>
        <v>870</v>
      </c>
      <c r="T114" s="15">
        <f>Valores!$B$20</f>
        <v>755</v>
      </c>
      <c r="U114" s="15">
        <f t="shared" si="11"/>
        <v>755</v>
      </c>
      <c r="V114" s="15">
        <v>0</v>
      </c>
      <c r="W114" s="15">
        <v>0</v>
      </c>
      <c r="X114" s="24">
        <v>0</v>
      </c>
      <c r="Y114" s="15">
        <f>X114*Valores!$B$2</f>
        <v>0</v>
      </c>
      <c r="Z114" s="15">
        <v>0</v>
      </c>
      <c r="AA114" s="39">
        <v>129.04</v>
      </c>
      <c r="AB114" s="15">
        <f t="shared" si="12"/>
        <v>0</v>
      </c>
      <c r="AC114" s="15">
        <v>129.04</v>
      </c>
      <c r="AD114" s="16">
        <v>0</v>
      </c>
      <c r="AE114" s="15">
        <f>AD114*Valores!$B$2</f>
        <v>0</v>
      </c>
      <c r="AF114" s="31">
        <f t="shared" si="13"/>
        <v>8055.08255</v>
      </c>
      <c r="AG114" s="15">
        <v>0</v>
      </c>
      <c r="AH114" s="39">
        <f>Valores!$B$4</f>
        <v>340</v>
      </c>
      <c r="AI114" s="15">
        <f>Valores!$B$25</f>
        <v>0</v>
      </c>
      <c r="AJ114" s="15">
        <v>0</v>
      </c>
      <c r="AK114" s="25">
        <f t="shared" si="14"/>
        <v>340</v>
      </c>
      <c r="AL114" s="17">
        <f t="shared" si="15"/>
        <v>6582.68897625</v>
      </c>
      <c r="AM114" s="43"/>
      <c r="AN114" s="56"/>
      <c r="AO114" s="56"/>
      <c r="AP114" s="20" t="s">
        <v>487</v>
      </c>
    </row>
    <row r="115" spans="2:42" s="20" customFormat="1" ht="11.25" customHeight="1" thickBot="1">
      <c r="B115" s="20">
        <v>115</v>
      </c>
      <c r="C115" s="20" t="s">
        <v>478</v>
      </c>
      <c r="D115" s="57" t="s">
        <v>221</v>
      </c>
      <c r="E115" s="57"/>
      <c r="F115" s="58" t="s">
        <v>222</v>
      </c>
      <c r="G115" s="59">
        <v>2800</v>
      </c>
      <c r="H115" s="60">
        <f>G115*Valores!$B$2</f>
        <v>6498.8</v>
      </c>
      <c r="I115" s="63">
        <v>0</v>
      </c>
      <c r="J115" s="60">
        <f>I115*Valores!$B$2</f>
        <v>0</v>
      </c>
      <c r="K115" s="70">
        <v>0</v>
      </c>
      <c r="L115" s="60">
        <f>K115*Valores!$B$2</f>
        <v>0</v>
      </c>
      <c r="M115" s="70">
        <v>0</v>
      </c>
      <c r="N115" s="60">
        <f>M115*Valores!$B$2</f>
        <v>0</v>
      </c>
      <c r="O115" s="60">
        <f t="shared" si="9"/>
        <v>1083.57</v>
      </c>
      <c r="P115" s="60">
        <f t="shared" si="10"/>
        <v>0</v>
      </c>
      <c r="Q115" s="62">
        <f>Valores!$B$18</f>
        <v>1015</v>
      </c>
      <c r="R115" s="62">
        <f>Valores!$C$6</f>
        <v>1038.184</v>
      </c>
      <c r="S115" s="60">
        <f>Valores!$B$23</f>
        <v>870</v>
      </c>
      <c r="T115" s="71">
        <f>Valores!$B$21</f>
        <v>725</v>
      </c>
      <c r="U115" s="60">
        <f t="shared" si="11"/>
        <v>725</v>
      </c>
      <c r="V115" s="60">
        <v>0</v>
      </c>
      <c r="W115" s="60">
        <v>0</v>
      </c>
      <c r="X115" s="63">
        <v>0</v>
      </c>
      <c r="Y115" s="60">
        <f>X115*Valores!$B$2</f>
        <v>0</v>
      </c>
      <c r="Z115" s="60">
        <v>0</v>
      </c>
      <c r="AA115" s="64">
        <v>129.04</v>
      </c>
      <c r="AB115" s="60">
        <f t="shared" si="12"/>
        <v>0</v>
      </c>
      <c r="AC115" s="60">
        <v>129.04</v>
      </c>
      <c r="AD115" s="65">
        <v>0</v>
      </c>
      <c r="AE115" s="60">
        <f>AD115*Valores!$B$2</f>
        <v>0</v>
      </c>
      <c r="AF115" s="66">
        <f t="shared" si="13"/>
        <v>11488.634</v>
      </c>
      <c r="AG115" s="60">
        <v>0</v>
      </c>
      <c r="AH115" s="64">
        <f>Valores!$B$4</f>
        <v>340</v>
      </c>
      <c r="AI115" s="64">
        <f>Valores!$B$25</f>
        <v>0</v>
      </c>
      <c r="AJ115" s="60">
        <v>0</v>
      </c>
      <c r="AK115" s="67">
        <f t="shared" si="14"/>
        <v>340</v>
      </c>
      <c r="AL115" s="62">
        <f t="shared" si="15"/>
        <v>9243.691350000001</v>
      </c>
      <c r="AM115" s="68">
        <v>220</v>
      </c>
      <c r="AN115" s="69"/>
      <c r="AO115" s="69">
        <v>22</v>
      </c>
      <c r="AP115" s="20" t="s">
        <v>487</v>
      </c>
    </row>
    <row r="116" spans="2:42" s="20" customFormat="1" ht="11.25" customHeight="1" thickTop="1">
      <c r="B116" s="20">
        <v>116</v>
      </c>
      <c r="D116" s="20" t="s">
        <v>223</v>
      </c>
      <c r="F116" s="21" t="s">
        <v>224</v>
      </c>
      <c r="G116" s="28">
        <v>2850</v>
      </c>
      <c r="H116" s="15">
        <f>G116*Valores!$B$2</f>
        <v>6614.85</v>
      </c>
      <c r="I116" s="24">
        <v>0</v>
      </c>
      <c r="J116" s="15">
        <f>I116*Valores!$B$2</f>
        <v>0</v>
      </c>
      <c r="K116" s="27">
        <v>0</v>
      </c>
      <c r="L116" s="15">
        <f>K116*Valores!$B$2</f>
        <v>0</v>
      </c>
      <c r="M116" s="27">
        <v>0</v>
      </c>
      <c r="N116" s="15">
        <f>M116*Valores!$B$2</f>
        <v>0</v>
      </c>
      <c r="O116" s="15">
        <f t="shared" si="9"/>
        <v>1100.9775</v>
      </c>
      <c r="P116" s="15">
        <f t="shared" si="10"/>
        <v>0</v>
      </c>
      <c r="Q116" s="17">
        <f>Valores!$B$13</f>
        <v>1185</v>
      </c>
      <c r="R116" s="17">
        <f>Valores!$C$6</f>
        <v>1038.184</v>
      </c>
      <c r="S116" s="17">
        <f>Valores!$B$23</f>
        <v>870</v>
      </c>
      <c r="T116" s="26">
        <f>Valores!$B$21</f>
        <v>725</v>
      </c>
      <c r="U116" s="15">
        <f t="shared" si="11"/>
        <v>725</v>
      </c>
      <c r="V116" s="15">
        <v>0</v>
      </c>
      <c r="W116" s="15">
        <v>0</v>
      </c>
      <c r="X116" s="24">
        <v>0</v>
      </c>
      <c r="Y116" s="15">
        <f>X116*Valores!$B$2</f>
        <v>0</v>
      </c>
      <c r="Z116" s="15">
        <v>0</v>
      </c>
      <c r="AA116" s="39">
        <v>129.04</v>
      </c>
      <c r="AB116" s="15">
        <f t="shared" si="12"/>
        <v>0</v>
      </c>
      <c r="AC116" s="15">
        <v>129.04</v>
      </c>
      <c r="AD116" s="16">
        <v>0</v>
      </c>
      <c r="AE116" s="15">
        <f>AD116*Valores!$B$2</f>
        <v>0</v>
      </c>
      <c r="AF116" s="31">
        <f t="shared" si="13"/>
        <v>11792.0915</v>
      </c>
      <c r="AG116" s="15">
        <v>0</v>
      </c>
      <c r="AH116" s="39">
        <f>Valores!$B$4</f>
        <v>340</v>
      </c>
      <c r="AI116" s="15">
        <f>Valores!$B$25</f>
        <v>0</v>
      </c>
      <c r="AJ116" s="15">
        <v>0</v>
      </c>
      <c r="AK116" s="25">
        <f t="shared" si="14"/>
        <v>340</v>
      </c>
      <c r="AL116" s="17">
        <f t="shared" si="15"/>
        <v>9478.8709125</v>
      </c>
      <c r="AM116" s="43">
        <v>220</v>
      </c>
      <c r="AN116" s="56"/>
      <c r="AO116" s="56">
        <v>22</v>
      </c>
      <c r="AP116" s="20" t="s">
        <v>487</v>
      </c>
    </row>
    <row r="117" spans="2:42" s="20" customFormat="1" ht="11.25" customHeight="1">
      <c r="B117" s="20">
        <v>117</v>
      </c>
      <c r="D117" s="20" t="s">
        <v>225</v>
      </c>
      <c r="F117" s="21" t="s">
        <v>226</v>
      </c>
      <c r="G117" s="28">
        <v>1735</v>
      </c>
      <c r="H117" s="15">
        <f>G117*Valores!$B$2</f>
        <v>4026.9350000000004</v>
      </c>
      <c r="I117" s="24">
        <v>0</v>
      </c>
      <c r="J117" s="15">
        <f>I117*Valores!$B$2</f>
        <v>0</v>
      </c>
      <c r="K117" s="27">
        <v>0</v>
      </c>
      <c r="L117" s="15">
        <f>K117*Valores!$B$2</f>
        <v>0</v>
      </c>
      <c r="M117" s="27">
        <v>0</v>
      </c>
      <c r="N117" s="15">
        <f>M117*Valores!$B$2</f>
        <v>0</v>
      </c>
      <c r="O117" s="15">
        <f t="shared" si="9"/>
        <v>712.79025</v>
      </c>
      <c r="P117" s="15">
        <f t="shared" si="10"/>
        <v>0</v>
      </c>
      <c r="Q117" s="17">
        <f>Valores!$B$18</f>
        <v>1015</v>
      </c>
      <c r="R117" s="17">
        <f>Valores!$C$6</f>
        <v>1038.184</v>
      </c>
      <c r="S117" s="15">
        <v>0</v>
      </c>
      <c r="T117" s="26">
        <f>Valores!$B$21</f>
        <v>725</v>
      </c>
      <c r="U117" s="15">
        <f t="shared" si="11"/>
        <v>725</v>
      </c>
      <c r="V117" s="15">
        <v>0</v>
      </c>
      <c r="W117" s="15">
        <v>0</v>
      </c>
      <c r="X117" s="24">
        <v>0</v>
      </c>
      <c r="Y117" s="15">
        <f>X117*Valores!$B$2</f>
        <v>0</v>
      </c>
      <c r="Z117" s="15">
        <v>0</v>
      </c>
      <c r="AA117" s="39">
        <v>129.04</v>
      </c>
      <c r="AB117" s="15">
        <f t="shared" si="12"/>
        <v>0</v>
      </c>
      <c r="AC117" s="15">
        <v>129.04</v>
      </c>
      <c r="AD117" s="16">
        <v>0</v>
      </c>
      <c r="AE117" s="15">
        <f>AD117*Valores!$B$2</f>
        <v>0</v>
      </c>
      <c r="AF117" s="31">
        <f t="shared" si="13"/>
        <v>7775.9892500000005</v>
      </c>
      <c r="AG117" s="15">
        <v>0</v>
      </c>
      <c r="AH117" s="15">
        <v>0</v>
      </c>
      <c r="AI117" s="15">
        <f>Valores!$B$25</f>
        <v>0</v>
      </c>
      <c r="AJ117" s="15">
        <v>0</v>
      </c>
      <c r="AK117" s="25">
        <f t="shared" si="14"/>
        <v>0</v>
      </c>
      <c r="AL117" s="17">
        <f t="shared" si="15"/>
        <v>6026.3916687500005</v>
      </c>
      <c r="AM117" s="43">
        <v>110</v>
      </c>
      <c r="AN117" s="56"/>
      <c r="AO117" s="56">
        <v>22</v>
      </c>
      <c r="AP117" s="20" t="s">
        <v>487</v>
      </c>
    </row>
    <row r="118" spans="2:42" s="20" customFormat="1" ht="11.25" customHeight="1">
      <c r="B118" s="20">
        <v>118</v>
      </c>
      <c r="D118" s="20" t="s">
        <v>227</v>
      </c>
      <c r="F118" s="21" t="s">
        <v>228</v>
      </c>
      <c r="G118" s="28">
        <v>72</v>
      </c>
      <c r="H118" s="15">
        <f>G118*Valores!$B$2</f>
        <v>167.11200000000002</v>
      </c>
      <c r="I118" s="24">
        <v>1590</v>
      </c>
      <c r="J118" s="15">
        <f>I118*Valores!$B$2</f>
        <v>3690.3900000000003</v>
      </c>
      <c r="K118" s="27">
        <v>0</v>
      </c>
      <c r="L118" s="15">
        <f>K118*Valores!$B$2</f>
        <v>0</v>
      </c>
      <c r="M118" s="27">
        <v>0</v>
      </c>
      <c r="N118" s="15">
        <f>M118*Valores!$B$2</f>
        <v>0</v>
      </c>
      <c r="O118" s="15">
        <f t="shared" si="9"/>
        <v>687.3753</v>
      </c>
      <c r="P118" s="15">
        <f t="shared" si="10"/>
        <v>0</v>
      </c>
      <c r="Q118" s="17">
        <f>Valores!$B$18</f>
        <v>1015</v>
      </c>
      <c r="R118" s="17">
        <f>Valores!$C$6</f>
        <v>1038.184</v>
      </c>
      <c r="S118" s="15">
        <v>0</v>
      </c>
      <c r="T118" s="26">
        <f>Valores!$B$21</f>
        <v>725</v>
      </c>
      <c r="U118" s="15">
        <f t="shared" si="11"/>
        <v>725</v>
      </c>
      <c r="V118" s="15">
        <v>0</v>
      </c>
      <c r="W118" s="15">
        <v>0</v>
      </c>
      <c r="X118" s="24">
        <v>0</v>
      </c>
      <c r="Y118" s="15">
        <f>X118*Valores!$B$2</f>
        <v>0</v>
      </c>
      <c r="Z118" s="15">
        <v>0</v>
      </c>
      <c r="AA118" s="39">
        <v>129.04</v>
      </c>
      <c r="AB118" s="15">
        <f t="shared" si="12"/>
        <v>0</v>
      </c>
      <c r="AC118" s="15">
        <v>129.04</v>
      </c>
      <c r="AD118" s="16">
        <v>0</v>
      </c>
      <c r="AE118" s="15">
        <f>AD118*Valores!$B$2</f>
        <v>0</v>
      </c>
      <c r="AF118" s="31">
        <f t="shared" si="13"/>
        <v>7581.1413</v>
      </c>
      <c r="AG118" s="15">
        <v>0</v>
      </c>
      <c r="AH118" s="39">
        <f>Valores!$B$4</f>
        <v>340</v>
      </c>
      <c r="AI118" s="15">
        <f>Valores!$B$25</f>
        <v>0</v>
      </c>
      <c r="AJ118" s="15">
        <v>0</v>
      </c>
      <c r="AK118" s="25">
        <f t="shared" si="14"/>
        <v>340</v>
      </c>
      <c r="AL118" s="17">
        <f t="shared" si="15"/>
        <v>6215.3845075</v>
      </c>
      <c r="AM118" s="43">
        <v>110</v>
      </c>
      <c r="AN118" s="56"/>
      <c r="AO118" s="56"/>
      <c r="AP118" s="20" t="s">
        <v>487</v>
      </c>
    </row>
    <row r="119" spans="2:42" s="20" customFormat="1" ht="11.25" customHeight="1">
      <c r="B119" s="20">
        <v>119</v>
      </c>
      <c r="D119" s="20" t="s">
        <v>229</v>
      </c>
      <c r="F119" s="21" t="s">
        <v>230</v>
      </c>
      <c r="G119" s="28">
        <v>72</v>
      </c>
      <c r="H119" s="15">
        <f>G119*Valores!$B$2</f>
        <v>167.11200000000002</v>
      </c>
      <c r="I119" s="24">
        <v>1590</v>
      </c>
      <c r="J119" s="15">
        <f>I119*Valores!$B$2</f>
        <v>3690.3900000000003</v>
      </c>
      <c r="K119" s="27">
        <v>0</v>
      </c>
      <c r="L119" s="15">
        <f>K119*Valores!$B$2</f>
        <v>0</v>
      </c>
      <c r="M119" s="27">
        <v>0</v>
      </c>
      <c r="N119" s="15">
        <f>M119*Valores!$B$2</f>
        <v>0</v>
      </c>
      <c r="O119" s="15">
        <f t="shared" si="9"/>
        <v>687.3753</v>
      </c>
      <c r="P119" s="15">
        <f t="shared" si="10"/>
        <v>0</v>
      </c>
      <c r="Q119" s="17">
        <f>Valores!$B$18</f>
        <v>1015</v>
      </c>
      <c r="R119" s="17">
        <f>Valores!$C$6</f>
        <v>1038.184</v>
      </c>
      <c r="S119" s="17">
        <f>Valores!$B$23</f>
        <v>870</v>
      </c>
      <c r="T119" s="26">
        <f>Valores!$B$21</f>
        <v>725</v>
      </c>
      <c r="U119" s="15">
        <f t="shared" si="11"/>
        <v>725</v>
      </c>
      <c r="V119" s="15">
        <v>0</v>
      </c>
      <c r="W119" s="15">
        <v>0</v>
      </c>
      <c r="X119" s="24">
        <v>0</v>
      </c>
      <c r="Y119" s="15">
        <f>X119*Valores!$B$2</f>
        <v>0</v>
      </c>
      <c r="Z119" s="15">
        <v>0</v>
      </c>
      <c r="AA119" s="39">
        <v>129.04</v>
      </c>
      <c r="AB119" s="15">
        <f t="shared" si="12"/>
        <v>0</v>
      </c>
      <c r="AC119" s="15">
        <v>129.04</v>
      </c>
      <c r="AD119" s="24">
        <v>94</v>
      </c>
      <c r="AE119" s="15">
        <f>AD119*Valores!$B$2</f>
        <v>218.174</v>
      </c>
      <c r="AF119" s="31">
        <f t="shared" si="13"/>
        <v>8669.315300000004</v>
      </c>
      <c r="AG119" s="15">
        <v>0</v>
      </c>
      <c r="AH119" s="39">
        <f>Valores!$B$4</f>
        <v>340</v>
      </c>
      <c r="AI119" s="15">
        <f>Valores!$B$25</f>
        <v>0</v>
      </c>
      <c r="AJ119" s="15">
        <v>0</v>
      </c>
      <c r="AK119" s="25">
        <f t="shared" si="14"/>
        <v>340</v>
      </c>
      <c r="AL119" s="17">
        <f t="shared" si="15"/>
        <v>7058.719357500003</v>
      </c>
      <c r="AM119" s="43">
        <v>110</v>
      </c>
      <c r="AN119" s="56"/>
      <c r="AO119" s="56">
        <v>20</v>
      </c>
      <c r="AP119" s="20" t="s">
        <v>487</v>
      </c>
    </row>
    <row r="120" spans="2:42" s="20" customFormat="1" ht="11.25" customHeight="1" thickBot="1">
      <c r="B120" s="20">
        <v>120</v>
      </c>
      <c r="C120" s="20" t="s">
        <v>478</v>
      </c>
      <c r="D120" s="57" t="s">
        <v>231</v>
      </c>
      <c r="E120" s="57"/>
      <c r="F120" s="58" t="s">
        <v>232</v>
      </c>
      <c r="G120" s="59">
        <v>72</v>
      </c>
      <c r="H120" s="60">
        <f>G120*Valores!$B$2</f>
        <v>167.11200000000002</v>
      </c>
      <c r="I120" s="63">
        <v>1622</v>
      </c>
      <c r="J120" s="60">
        <f>I120*Valores!$B$2</f>
        <v>3764.6620000000003</v>
      </c>
      <c r="K120" s="70">
        <v>0</v>
      </c>
      <c r="L120" s="60">
        <f>K120*Valores!$B$2</f>
        <v>0</v>
      </c>
      <c r="M120" s="70">
        <v>0</v>
      </c>
      <c r="N120" s="60">
        <f>M120*Valores!$B$2</f>
        <v>0</v>
      </c>
      <c r="O120" s="60">
        <f t="shared" si="9"/>
        <v>703.0161</v>
      </c>
      <c r="P120" s="60">
        <f t="shared" si="10"/>
        <v>0</v>
      </c>
      <c r="Q120" s="62">
        <f>Valores!$B$18</f>
        <v>1015</v>
      </c>
      <c r="R120" s="62">
        <f>Valores!$C$6</f>
        <v>1038.184</v>
      </c>
      <c r="S120" s="60">
        <f>Valores!$B$23</f>
        <v>870</v>
      </c>
      <c r="T120" s="60">
        <f>Valores!$B$20</f>
        <v>755</v>
      </c>
      <c r="U120" s="60">
        <f t="shared" si="11"/>
        <v>755</v>
      </c>
      <c r="V120" s="60">
        <v>0</v>
      </c>
      <c r="W120" s="60">
        <v>0</v>
      </c>
      <c r="X120" s="63">
        <v>0</v>
      </c>
      <c r="Y120" s="60">
        <f>X120*Valores!$B$2</f>
        <v>0</v>
      </c>
      <c r="Z120" s="60">
        <v>0</v>
      </c>
      <c r="AA120" s="64">
        <v>129.04</v>
      </c>
      <c r="AB120" s="60">
        <f t="shared" si="12"/>
        <v>0</v>
      </c>
      <c r="AC120" s="60">
        <v>129.04</v>
      </c>
      <c r="AD120" s="65">
        <v>0</v>
      </c>
      <c r="AE120" s="60">
        <f>AD120*Valores!$B$2</f>
        <v>0</v>
      </c>
      <c r="AF120" s="66">
        <f t="shared" si="13"/>
        <v>8571.054100000001</v>
      </c>
      <c r="AG120" s="60">
        <v>0</v>
      </c>
      <c r="AH120" s="64">
        <f>Valores!$B$4</f>
        <v>340</v>
      </c>
      <c r="AI120" s="64">
        <f>Valores!$B$25</f>
        <v>0</v>
      </c>
      <c r="AJ120" s="60">
        <v>0</v>
      </c>
      <c r="AK120" s="67">
        <f t="shared" si="14"/>
        <v>340</v>
      </c>
      <c r="AL120" s="62">
        <f t="shared" si="15"/>
        <v>6982.566927500001</v>
      </c>
      <c r="AM120" s="68"/>
      <c r="AN120" s="69"/>
      <c r="AO120" s="69">
        <v>22</v>
      </c>
      <c r="AP120" s="20" t="s">
        <v>487</v>
      </c>
    </row>
    <row r="121" spans="2:42" s="20" customFormat="1" ht="11.25" customHeight="1" thickTop="1">
      <c r="B121" s="20">
        <v>121</v>
      </c>
      <c r="D121" s="20" t="s">
        <v>233</v>
      </c>
      <c r="F121" s="21" t="s">
        <v>234</v>
      </c>
      <c r="G121" s="28">
        <v>61</v>
      </c>
      <c r="H121" s="15">
        <f>G121*Valores!$B$2</f>
        <v>141.58100000000002</v>
      </c>
      <c r="I121" s="24">
        <v>1217</v>
      </c>
      <c r="J121" s="15">
        <f>I121*Valores!$B$2</f>
        <v>2824.657</v>
      </c>
      <c r="K121" s="27">
        <v>0</v>
      </c>
      <c r="L121" s="15">
        <f>K121*Valores!$B$2</f>
        <v>0</v>
      </c>
      <c r="M121" s="27">
        <v>0</v>
      </c>
      <c r="N121" s="15">
        <f>M121*Valores!$B$2</f>
        <v>0</v>
      </c>
      <c r="O121" s="15">
        <f t="shared" si="9"/>
        <v>553.6857</v>
      </c>
      <c r="P121" s="15">
        <f t="shared" si="10"/>
        <v>0</v>
      </c>
      <c r="Q121" s="17">
        <f>Valores!$B$18</f>
        <v>1015</v>
      </c>
      <c r="R121" s="17">
        <f>Valores!$C$6</f>
        <v>1038.184</v>
      </c>
      <c r="S121" s="15">
        <v>0</v>
      </c>
      <c r="T121" s="26">
        <f>Valores!$B$21</f>
        <v>725</v>
      </c>
      <c r="U121" s="15">
        <f t="shared" si="11"/>
        <v>725</v>
      </c>
      <c r="V121" s="15">
        <v>0</v>
      </c>
      <c r="W121" s="15">
        <v>0</v>
      </c>
      <c r="X121" s="24">
        <v>0</v>
      </c>
      <c r="Y121" s="15">
        <f>X121*Valores!$B$2</f>
        <v>0</v>
      </c>
      <c r="Z121" s="15">
        <v>0</v>
      </c>
      <c r="AA121" s="39">
        <v>129.04</v>
      </c>
      <c r="AB121" s="15">
        <f t="shared" si="12"/>
        <v>0</v>
      </c>
      <c r="AC121" s="15">
        <v>129.04</v>
      </c>
      <c r="AD121" s="16">
        <v>0</v>
      </c>
      <c r="AE121" s="15">
        <f>AD121*Valores!$B$2</f>
        <v>0</v>
      </c>
      <c r="AF121" s="31">
        <f t="shared" si="13"/>
        <v>6556.1877</v>
      </c>
      <c r="AG121" s="15">
        <v>0</v>
      </c>
      <c r="AH121" s="39">
        <f>Valores!$B$4</f>
        <v>340</v>
      </c>
      <c r="AI121" s="15">
        <f>Valores!$B$25</f>
        <v>0</v>
      </c>
      <c r="AJ121" s="15">
        <v>0</v>
      </c>
      <c r="AK121" s="25">
        <f t="shared" si="14"/>
        <v>340</v>
      </c>
      <c r="AL121" s="17">
        <f t="shared" si="15"/>
        <v>5421.0454675</v>
      </c>
      <c r="AM121" s="43">
        <v>110</v>
      </c>
      <c r="AN121" s="56"/>
      <c r="AO121" s="56"/>
      <c r="AP121" s="20" t="s">
        <v>487</v>
      </c>
    </row>
    <row r="122" spans="2:42" s="20" customFormat="1" ht="11.25" customHeight="1">
      <c r="B122" s="20">
        <v>122</v>
      </c>
      <c r="D122" s="20" t="s">
        <v>235</v>
      </c>
      <c r="F122" s="21" t="s">
        <v>236</v>
      </c>
      <c r="G122" s="28">
        <v>72</v>
      </c>
      <c r="H122" s="15">
        <f>G122*Valores!$B$2</f>
        <v>167.11200000000002</v>
      </c>
      <c r="I122" s="24">
        <v>1206</v>
      </c>
      <c r="J122" s="15">
        <f>I122*Valores!$B$2</f>
        <v>2799.126</v>
      </c>
      <c r="K122" s="27">
        <v>0</v>
      </c>
      <c r="L122" s="15">
        <f>K122*Valores!$B$2</f>
        <v>0</v>
      </c>
      <c r="M122" s="27">
        <v>0</v>
      </c>
      <c r="N122" s="15">
        <f>M122*Valores!$B$2</f>
        <v>0</v>
      </c>
      <c r="O122" s="15">
        <f t="shared" si="9"/>
        <v>558.1857</v>
      </c>
      <c r="P122" s="15">
        <f t="shared" si="10"/>
        <v>0</v>
      </c>
      <c r="Q122" s="17">
        <f>Valores!$B$18</f>
        <v>1015</v>
      </c>
      <c r="R122" s="17">
        <f>Valores!$C$6</f>
        <v>1038.184</v>
      </c>
      <c r="S122" s="17">
        <f>Valores!$B$23</f>
        <v>870</v>
      </c>
      <c r="T122" s="15">
        <f>Valores!$B$20</f>
        <v>755</v>
      </c>
      <c r="U122" s="15">
        <f t="shared" si="11"/>
        <v>755</v>
      </c>
      <c r="V122" s="15">
        <v>0</v>
      </c>
      <c r="W122" s="15">
        <v>0</v>
      </c>
      <c r="X122" s="24">
        <v>0</v>
      </c>
      <c r="Y122" s="15">
        <f>X122*Valores!$B$2</f>
        <v>0</v>
      </c>
      <c r="Z122" s="15">
        <v>0</v>
      </c>
      <c r="AA122" s="39">
        <v>129.04</v>
      </c>
      <c r="AB122" s="15">
        <f t="shared" si="12"/>
        <v>0</v>
      </c>
      <c r="AC122" s="15">
        <v>129.04</v>
      </c>
      <c r="AD122" s="24">
        <v>94</v>
      </c>
      <c r="AE122" s="15">
        <f>AD122*Valores!$B$2</f>
        <v>218.174</v>
      </c>
      <c r="AF122" s="31">
        <f t="shared" si="13"/>
        <v>7678.8617</v>
      </c>
      <c r="AG122" s="15">
        <v>0</v>
      </c>
      <c r="AH122" s="39">
        <f>Valores!$B$4</f>
        <v>340</v>
      </c>
      <c r="AI122" s="15">
        <f>Valores!$B$25</f>
        <v>0</v>
      </c>
      <c r="AJ122" s="15">
        <v>0</v>
      </c>
      <c r="AK122" s="25">
        <f t="shared" si="14"/>
        <v>340</v>
      </c>
      <c r="AL122" s="17">
        <f t="shared" si="15"/>
        <v>6291.1178175000005</v>
      </c>
      <c r="AM122" s="43">
        <v>110</v>
      </c>
      <c r="AN122" s="56"/>
      <c r="AO122" s="56">
        <v>20</v>
      </c>
      <c r="AP122" s="20" t="s">
        <v>487</v>
      </c>
    </row>
    <row r="123" spans="2:42" s="20" customFormat="1" ht="11.25" customHeight="1">
      <c r="B123" s="20">
        <v>123</v>
      </c>
      <c r="D123" s="20" t="s">
        <v>237</v>
      </c>
      <c r="F123" s="21" t="s">
        <v>238</v>
      </c>
      <c r="G123" s="28">
        <v>61</v>
      </c>
      <c r="H123" s="15">
        <f>G123*Valores!$B$2</f>
        <v>141.58100000000002</v>
      </c>
      <c r="I123" s="24">
        <v>1217</v>
      </c>
      <c r="J123" s="15">
        <f>I123*Valores!$B$2</f>
        <v>2824.657</v>
      </c>
      <c r="K123" s="27">
        <v>0</v>
      </c>
      <c r="L123" s="15">
        <f>K123*Valores!$B$2</f>
        <v>0</v>
      </c>
      <c r="M123" s="27">
        <v>0</v>
      </c>
      <c r="N123" s="15">
        <f>M123*Valores!$B$2</f>
        <v>0</v>
      </c>
      <c r="O123" s="15">
        <f t="shared" si="9"/>
        <v>553.6857</v>
      </c>
      <c r="P123" s="15">
        <f t="shared" si="10"/>
        <v>0</v>
      </c>
      <c r="Q123" s="17">
        <f>Valores!$B$18</f>
        <v>1015</v>
      </c>
      <c r="R123" s="17">
        <f>Valores!$C$6</f>
        <v>1038.184</v>
      </c>
      <c r="S123" s="15">
        <v>0</v>
      </c>
      <c r="T123" s="26">
        <f>Valores!$B$21</f>
        <v>725</v>
      </c>
      <c r="U123" s="15">
        <f t="shared" si="11"/>
        <v>725</v>
      </c>
      <c r="V123" s="15">
        <v>0</v>
      </c>
      <c r="W123" s="15">
        <v>0</v>
      </c>
      <c r="X123" s="24">
        <v>0</v>
      </c>
      <c r="Y123" s="15">
        <f>X123*Valores!$B$2</f>
        <v>0</v>
      </c>
      <c r="Z123" s="15">
        <v>0</v>
      </c>
      <c r="AA123" s="39">
        <v>129.04</v>
      </c>
      <c r="AB123" s="15">
        <f t="shared" si="12"/>
        <v>0</v>
      </c>
      <c r="AC123" s="15">
        <v>129.04</v>
      </c>
      <c r="AD123" s="16">
        <v>0</v>
      </c>
      <c r="AE123" s="15">
        <f>AD123*Valores!$B$2</f>
        <v>0</v>
      </c>
      <c r="AF123" s="31">
        <f t="shared" si="13"/>
        <v>6556.1877</v>
      </c>
      <c r="AG123" s="15">
        <v>0</v>
      </c>
      <c r="AH123" s="15">
        <v>0</v>
      </c>
      <c r="AI123" s="15">
        <f>Valores!$B$25</f>
        <v>0</v>
      </c>
      <c r="AJ123" s="15">
        <v>0</v>
      </c>
      <c r="AK123" s="25">
        <f t="shared" si="14"/>
        <v>0</v>
      </c>
      <c r="AL123" s="17">
        <f t="shared" si="15"/>
        <v>5081.0454675</v>
      </c>
      <c r="AM123" s="43"/>
      <c r="AN123" s="56"/>
      <c r="AO123" s="56">
        <v>22</v>
      </c>
      <c r="AP123" s="20" t="s">
        <v>486</v>
      </c>
    </row>
    <row r="124" spans="2:42" s="20" customFormat="1" ht="11.25" customHeight="1">
      <c r="B124" s="20">
        <v>124</v>
      </c>
      <c r="D124" s="20" t="s">
        <v>239</v>
      </c>
      <c r="F124" s="21" t="s">
        <v>240</v>
      </c>
      <c r="G124" s="28">
        <v>1278</v>
      </c>
      <c r="H124" s="15">
        <f>G124*Valores!$B$2</f>
        <v>2966.2380000000003</v>
      </c>
      <c r="I124" s="24">
        <v>0</v>
      </c>
      <c r="J124" s="15">
        <f>I124*Valores!$B$2</f>
        <v>0</v>
      </c>
      <c r="K124" s="27">
        <v>0</v>
      </c>
      <c r="L124" s="15">
        <f>K124*Valores!$B$2</f>
        <v>0</v>
      </c>
      <c r="M124" s="27">
        <v>0</v>
      </c>
      <c r="N124" s="15">
        <f>M124*Valores!$B$2</f>
        <v>0</v>
      </c>
      <c r="O124" s="15">
        <f t="shared" si="9"/>
        <v>553.6857</v>
      </c>
      <c r="P124" s="15">
        <f t="shared" si="10"/>
        <v>0</v>
      </c>
      <c r="Q124" s="17">
        <f>Valores!$B$18</f>
        <v>1015</v>
      </c>
      <c r="R124" s="17">
        <f>Valores!$C$6</f>
        <v>1038.184</v>
      </c>
      <c r="S124" s="17">
        <f>Valores!$B$23</f>
        <v>870</v>
      </c>
      <c r="T124" s="26">
        <f>Valores!$B$21</f>
        <v>725</v>
      </c>
      <c r="U124" s="15">
        <f t="shared" si="11"/>
        <v>725</v>
      </c>
      <c r="V124" s="15">
        <v>0</v>
      </c>
      <c r="W124" s="15">
        <v>0</v>
      </c>
      <c r="X124" s="24">
        <v>0</v>
      </c>
      <c r="Y124" s="15">
        <f>X124*Valores!$B$2</f>
        <v>0</v>
      </c>
      <c r="Z124" s="15">
        <v>0</v>
      </c>
      <c r="AA124" s="39">
        <v>129.04</v>
      </c>
      <c r="AB124" s="15">
        <f t="shared" si="12"/>
        <v>0</v>
      </c>
      <c r="AC124" s="15">
        <v>129.04</v>
      </c>
      <c r="AD124" s="16">
        <v>0</v>
      </c>
      <c r="AE124" s="15">
        <f>AD124*Valores!$B$2</f>
        <v>0</v>
      </c>
      <c r="AF124" s="31">
        <f t="shared" si="13"/>
        <v>7426.1877</v>
      </c>
      <c r="AG124" s="15">
        <v>0</v>
      </c>
      <c r="AH124" s="39">
        <f>Valores!$B$4</f>
        <v>340</v>
      </c>
      <c r="AI124" s="15">
        <f>Valores!$B$25</f>
        <v>0</v>
      </c>
      <c r="AJ124" s="15">
        <v>0</v>
      </c>
      <c r="AK124" s="25">
        <f t="shared" si="14"/>
        <v>340</v>
      </c>
      <c r="AL124" s="17">
        <f t="shared" si="15"/>
        <v>6095.2954675</v>
      </c>
      <c r="AM124" s="43">
        <v>110</v>
      </c>
      <c r="AN124" s="56"/>
      <c r="AO124" s="56">
        <v>22</v>
      </c>
      <c r="AP124" s="20" t="s">
        <v>487</v>
      </c>
    </row>
    <row r="125" spans="2:42" s="20" customFormat="1" ht="11.25" customHeight="1" thickBot="1">
      <c r="B125" s="20">
        <v>125</v>
      </c>
      <c r="C125" s="20" t="s">
        <v>478</v>
      </c>
      <c r="D125" s="57" t="s">
        <v>241</v>
      </c>
      <c r="E125" s="57"/>
      <c r="F125" s="58" t="s">
        <v>242</v>
      </c>
      <c r="G125" s="59">
        <v>1278</v>
      </c>
      <c r="H125" s="60">
        <f>G125*Valores!$B$2</f>
        <v>2966.2380000000003</v>
      </c>
      <c r="I125" s="63">
        <v>0</v>
      </c>
      <c r="J125" s="60">
        <f>I125*Valores!$B$2</f>
        <v>0</v>
      </c>
      <c r="K125" s="70">
        <v>0</v>
      </c>
      <c r="L125" s="60">
        <f>K125*Valores!$B$2</f>
        <v>0</v>
      </c>
      <c r="M125" s="70">
        <v>0</v>
      </c>
      <c r="N125" s="60">
        <f>M125*Valores!$B$2</f>
        <v>0</v>
      </c>
      <c r="O125" s="60">
        <f t="shared" si="9"/>
        <v>558.1857</v>
      </c>
      <c r="P125" s="60">
        <f t="shared" si="10"/>
        <v>0</v>
      </c>
      <c r="Q125" s="62">
        <f>Valores!$B$18</f>
        <v>1015</v>
      </c>
      <c r="R125" s="62">
        <f>Valores!$C$6</f>
        <v>1038.184</v>
      </c>
      <c r="S125" s="60">
        <f>Valores!$B$23</f>
        <v>870</v>
      </c>
      <c r="T125" s="60">
        <f>Valores!$B$20</f>
        <v>755</v>
      </c>
      <c r="U125" s="60">
        <f t="shared" si="11"/>
        <v>755</v>
      </c>
      <c r="V125" s="60">
        <v>0</v>
      </c>
      <c r="W125" s="60">
        <v>0</v>
      </c>
      <c r="X125" s="63">
        <v>0</v>
      </c>
      <c r="Y125" s="60">
        <f>X125*Valores!$B$2</f>
        <v>0</v>
      </c>
      <c r="Z125" s="60">
        <v>0</v>
      </c>
      <c r="AA125" s="64">
        <v>129.04</v>
      </c>
      <c r="AB125" s="60">
        <f t="shared" si="12"/>
        <v>0</v>
      </c>
      <c r="AC125" s="60">
        <v>129.04</v>
      </c>
      <c r="AD125" s="63">
        <v>94</v>
      </c>
      <c r="AE125" s="60">
        <f>AD125*Valores!$B$2</f>
        <v>218.174</v>
      </c>
      <c r="AF125" s="66">
        <f t="shared" si="13"/>
        <v>7678.8617</v>
      </c>
      <c r="AG125" s="62">
        <f>$AG$135</f>
        <v>3730.3538500000004</v>
      </c>
      <c r="AH125" s="64">
        <v>0</v>
      </c>
      <c r="AI125" s="64">
        <f>Valores!$B$25</f>
        <v>0</v>
      </c>
      <c r="AJ125" s="60">
        <v>0</v>
      </c>
      <c r="AK125" s="67">
        <f t="shared" si="14"/>
        <v>0</v>
      </c>
      <c r="AL125" s="62">
        <f t="shared" si="15"/>
        <v>5951.1178175000005</v>
      </c>
      <c r="AM125" s="68">
        <v>110</v>
      </c>
      <c r="AN125" s="69"/>
      <c r="AO125" s="69">
        <v>20</v>
      </c>
      <c r="AP125" s="20" t="s">
        <v>487</v>
      </c>
    </row>
    <row r="126" spans="2:42" s="20" customFormat="1" ht="11.25" customHeight="1" thickBot="1" thickTop="1">
      <c r="B126" s="20">
        <v>126</v>
      </c>
      <c r="D126" s="20" t="s">
        <v>243</v>
      </c>
      <c r="F126" s="21" t="s">
        <v>244</v>
      </c>
      <c r="G126" s="28">
        <v>936</v>
      </c>
      <c r="H126" s="15">
        <f>G126*Valores!$B$2</f>
        <v>2172.456</v>
      </c>
      <c r="I126" s="24">
        <v>0</v>
      </c>
      <c r="J126" s="15">
        <f>I126*Valores!$B$2</f>
        <v>0</v>
      </c>
      <c r="K126" s="27">
        <v>0</v>
      </c>
      <c r="L126" s="15">
        <f>K126*Valores!$B$2</f>
        <v>0</v>
      </c>
      <c r="M126" s="27">
        <v>0</v>
      </c>
      <c r="N126" s="15">
        <f>M126*Valores!$B$2</f>
        <v>0</v>
      </c>
      <c r="O126" s="15">
        <f t="shared" si="9"/>
        <v>434.6184</v>
      </c>
      <c r="P126" s="15">
        <f t="shared" si="10"/>
        <v>0</v>
      </c>
      <c r="Q126" s="17">
        <f>Valores!$B$18</f>
        <v>1015</v>
      </c>
      <c r="R126" s="17">
        <f>Valores!$C$6</f>
        <v>1038.184</v>
      </c>
      <c r="S126" s="17">
        <f>Valores!$B$23</f>
        <v>870</v>
      </c>
      <c r="T126" s="26">
        <f>Valores!$B$21</f>
        <v>725</v>
      </c>
      <c r="U126" s="15">
        <f t="shared" si="11"/>
        <v>725</v>
      </c>
      <c r="V126" s="15">
        <v>0</v>
      </c>
      <c r="W126" s="15">
        <v>0</v>
      </c>
      <c r="X126" s="24">
        <v>0</v>
      </c>
      <c r="Y126" s="15">
        <f>X126*Valores!$B$2</f>
        <v>0</v>
      </c>
      <c r="Z126" s="15">
        <v>0</v>
      </c>
      <c r="AA126" s="39">
        <v>129.04</v>
      </c>
      <c r="AB126" s="15">
        <f t="shared" si="12"/>
        <v>0</v>
      </c>
      <c r="AC126" s="15">
        <v>129.04</v>
      </c>
      <c r="AD126" s="81">
        <v>94</v>
      </c>
      <c r="AE126" s="82">
        <f>AD126*Valores!$B$2</f>
        <v>218.174</v>
      </c>
      <c r="AF126" s="31">
        <f t="shared" si="13"/>
        <v>6731.5124</v>
      </c>
      <c r="AG126" s="15">
        <v>0</v>
      </c>
      <c r="AH126" s="39">
        <v>0</v>
      </c>
      <c r="AI126" s="15">
        <f>Valores!$B$25</f>
        <v>0</v>
      </c>
      <c r="AJ126" s="15">
        <v>0</v>
      </c>
      <c r="AK126" s="25">
        <f t="shared" si="14"/>
        <v>0</v>
      </c>
      <c r="AL126" s="17">
        <f t="shared" si="15"/>
        <v>5216.9221099999995</v>
      </c>
      <c r="AM126" s="43">
        <v>110</v>
      </c>
      <c r="AN126" s="56">
        <v>8</v>
      </c>
      <c r="AO126" s="56">
        <v>22</v>
      </c>
      <c r="AP126" s="20" t="s">
        <v>487</v>
      </c>
    </row>
    <row r="127" spans="2:42" s="20" customFormat="1" ht="11.25" customHeight="1" thickBot="1" thickTop="1">
      <c r="B127" s="20">
        <v>127</v>
      </c>
      <c r="D127" s="20" t="s">
        <v>245</v>
      </c>
      <c r="F127" s="21" t="s">
        <v>246</v>
      </c>
      <c r="G127" s="28">
        <v>1278</v>
      </c>
      <c r="H127" s="15">
        <f>G127*Valores!$B$2</f>
        <v>2966.2380000000003</v>
      </c>
      <c r="I127" s="24">
        <v>0</v>
      </c>
      <c r="J127" s="15">
        <f>I127*Valores!$B$2</f>
        <v>0</v>
      </c>
      <c r="K127" s="27">
        <v>0</v>
      </c>
      <c r="L127" s="15">
        <f>K127*Valores!$B$2</f>
        <v>0</v>
      </c>
      <c r="M127" s="27">
        <v>0</v>
      </c>
      <c r="N127" s="15">
        <f>M127*Valores!$B$2</f>
        <v>0</v>
      </c>
      <c r="O127" s="15">
        <f t="shared" si="9"/>
        <v>553.6857</v>
      </c>
      <c r="P127" s="15">
        <f t="shared" si="10"/>
        <v>0</v>
      </c>
      <c r="Q127" s="17">
        <f>Valores!$B$12</f>
        <v>1165</v>
      </c>
      <c r="R127" s="17">
        <f>Valores!$C$6</f>
        <v>1038.184</v>
      </c>
      <c r="S127" s="80">
        <v>0</v>
      </c>
      <c r="T127" s="26">
        <f>Valores!$B$21</f>
        <v>725</v>
      </c>
      <c r="U127" s="15">
        <f t="shared" si="11"/>
        <v>725</v>
      </c>
      <c r="V127" s="15">
        <v>0</v>
      </c>
      <c r="W127" s="15">
        <v>0</v>
      </c>
      <c r="X127" s="24">
        <v>0</v>
      </c>
      <c r="Y127" s="15">
        <f>X127*Valores!$B$2</f>
        <v>0</v>
      </c>
      <c r="Z127" s="15">
        <v>0</v>
      </c>
      <c r="AA127" s="39">
        <v>129.04</v>
      </c>
      <c r="AB127" s="15">
        <f t="shared" si="12"/>
        <v>0</v>
      </c>
      <c r="AC127" s="15">
        <v>129.04</v>
      </c>
      <c r="AD127" s="81">
        <v>94</v>
      </c>
      <c r="AE127" s="82">
        <f>AD127*Valores!$B$2</f>
        <v>218.174</v>
      </c>
      <c r="AF127" s="31">
        <f t="shared" si="13"/>
        <v>6924.3617</v>
      </c>
      <c r="AG127" s="15">
        <v>0</v>
      </c>
      <c r="AH127" s="39">
        <f>Valores!$B$4</f>
        <v>340</v>
      </c>
      <c r="AI127" s="15">
        <f>Valores!$B$25</f>
        <v>0</v>
      </c>
      <c r="AJ127" s="15">
        <v>0</v>
      </c>
      <c r="AK127" s="25">
        <f t="shared" si="14"/>
        <v>340</v>
      </c>
      <c r="AL127" s="17">
        <f t="shared" si="15"/>
        <v>5706.3803175</v>
      </c>
      <c r="AM127" s="43">
        <v>110</v>
      </c>
      <c r="AN127" s="56"/>
      <c r="AO127" s="56">
        <v>22</v>
      </c>
      <c r="AP127" s="20" t="s">
        <v>487</v>
      </c>
    </row>
    <row r="128" spans="2:42" s="20" customFormat="1" ht="11.25" customHeight="1" thickTop="1">
      <c r="B128" s="20">
        <v>128</v>
      </c>
      <c r="D128" s="20" t="s">
        <v>247</v>
      </c>
      <c r="F128" s="21" t="s">
        <v>248</v>
      </c>
      <c r="G128" s="28">
        <v>1278</v>
      </c>
      <c r="H128" s="15">
        <f>G128*Valores!$B$2</f>
        <v>2966.2380000000003</v>
      </c>
      <c r="I128" s="24">
        <v>0</v>
      </c>
      <c r="J128" s="15">
        <f>I128*Valores!$B$2</f>
        <v>0</v>
      </c>
      <c r="K128" s="27">
        <v>0</v>
      </c>
      <c r="L128" s="15">
        <f>K128*Valores!$B$2</f>
        <v>0</v>
      </c>
      <c r="M128" s="27">
        <v>0</v>
      </c>
      <c r="N128" s="15">
        <f>M128*Valores!$B$2</f>
        <v>0</v>
      </c>
      <c r="O128" s="15">
        <f t="shared" si="9"/>
        <v>558.1857</v>
      </c>
      <c r="P128" s="15">
        <f t="shared" si="10"/>
        <v>0</v>
      </c>
      <c r="Q128" s="17">
        <f>Valores!$B$12</f>
        <v>1165</v>
      </c>
      <c r="R128" s="17">
        <f>Valores!$C$6</f>
        <v>1038.184</v>
      </c>
      <c r="S128" s="17">
        <f>Valores!$B$23</f>
        <v>870</v>
      </c>
      <c r="T128" s="15">
        <f>Valores!$B$20</f>
        <v>755</v>
      </c>
      <c r="U128" s="15">
        <f t="shared" si="11"/>
        <v>755</v>
      </c>
      <c r="V128" s="15">
        <v>0</v>
      </c>
      <c r="W128" s="15">
        <v>0</v>
      </c>
      <c r="X128" s="24">
        <v>0</v>
      </c>
      <c r="Y128" s="15">
        <f>X128*Valores!$B$2</f>
        <v>0</v>
      </c>
      <c r="Z128" s="15">
        <v>0</v>
      </c>
      <c r="AA128" s="39">
        <v>129.04</v>
      </c>
      <c r="AB128" s="15">
        <f t="shared" si="12"/>
        <v>0</v>
      </c>
      <c r="AC128" s="15">
        <v>129.04</v>
      </c>
      <c r="AD128" s="16">
        <v>0</v>
      </c>
      <c r="AE128" s="15">
        <f>AD128*Valores!$B$2</f>
        <v>0</v>
      </c>
      <c r="AF128" s="31">
        <f t="shared" si="13"/>
        <v>7610.6877</v>
      </c>
      <c r="AG128" s="15">
        <v>0</v>
      </c>
      <c r="AH128" s="39">
        <f>Valores!$B$4</f>
        <v>340</v>
      </c>
      <c r="AI128" s="15">
        <f>Valores!$B$25</f>
        <v>0</v>
      </c>
      <c r="AJ128" s="15">
        <v>0</v>
      </c>
      <c r="AK128" s="25">
        <f t="shared" si="14"/>
        <v>340</v>
      </c>
      <c r="AL128" s="17">
        <f t="shared" si="15"/>
        <v>6238.2829675</v>
      </c>
      <c r="AM128" s="43">
        <v>110</v>
      </c>
      <c r="AN128" s="56"/>
      <c r="AO128" s="56">
        <v>22</v>
      </c>
      <c r="AP128" s="20" t="s">
        <v>487</v>
      </c>
    </row>
    <row r="129" spans="2:42" s="20" customFormat="1" ht="11.25" customHeight="1">
      <c r="B129" s="20">
        <v>129</v>
      </c>
      <c r="D129" s="20" t="s">
        <v>249</v>
      </c>
      <c r="F129" s="21" t="s">
        <v>250</v>
      </c>
      <c r="G129" s="28">
        <v>1278</v>
      </c>
      <c r="H129" s="15">
        <f>G129*Valores!$B$2</f>
        <v>2966.2380000000003</v>
      </c>
      <c r="I129" s="24">
        <v>0</v>
      </c>
      <c r="J129" s="15">
        <f>I129*Valores!$B$2</f>
        <v>0</v>
      </c>
      <c r="K129" s="27">
        <v>0</v>
      </c>
      <c r="L129" s="15">
        <f>K129*Valores!$B$2</f>
        <v>0</v>
      </c>
      <c r="M129" s="27">
        <v>0</v>
      </c>
      <c r="N129" s="15">
        <f>M129*Valores!$B$2</f>
        <v>0</v>
      </c>
      <c r="O129" s="15">
        <f t="shared" si="9"/>
        <v>558.1857</v>
      </c>
      <c r="P129" s="15">
        <f t="shared" si="10"/>
        <v>0</v>
      </c>
      <c r="Q129" s="17">
        <f>Valores!$B$12</f>
        <v>1165</v>
      </c>
      <c r="R129" s="17">
        <f>Valores!$C$6</f>
        <v>1038.184</v>
      </c>
      <c r="S129" s="17">
        <f>Valores!$B$23</f>
        <v>870</v>
      </c>
      <c r="T129" s="15">
        <f>Valores!$B$20</f>
        <v>755</v>
      </c>
      <c r="U129" s="15">
        <f t="shared" si="11"/>
        <v>755</v>
      </c>
      <c r="V129" s="15">
        <v>0</v>
      </c>
      <c r="W129" s="15">
        <v>0</v>
      </c>
      <c r="X129" s="24">
        <v>0</v>
      </c>
      <c r="Y129" s="15">
        <f>X129*Valores!$B$2</f>
        <v>0</v>
      </c>
      <c r="Z129" s="15">
        <v>0</v>
      </c>
      <c r="AA129" s="39">
        <v>129.04</v>
      </c>
      <c r="AB129" s="15">
        <f t="shared" si="12"/>
        <v>0</v>
      </c>
      <c r="AC129" s="15">
        <v>129.04</v>
      </c>
      <c r="AD129" s="16">
        <v>0</v>
      </c>
      <c r="AE129" s="15">
        <f>AD129*Valores!$B$2</f>
        <v>0</v>
      </c>
      <c r="AF129" s="31">
        <f t="shared" si="13"/>
        <v>7610.6877</v>
      </c>
      <c r="AG129" s="15">
        <v>0</v>
      </c>
      <c r="AH129" s="39">
        <f>Valores!$B$4</f>
        <v>340</v>
      </c>
      <c r="AI129" s="15">
        <f>Valores!$B$25</f>
        <v>0</v>
      </c>
      <c r="AJ129" s="15">
        <v>0</v>
      </c>
      <c r="AK129" s="25">
        <f t="shared" si="14"/>
        <v>340</v>
      </c>
      <c r="AL129" s="17">
        <f t="shared" si="15"/>
        <v>6238.2829675</v>
      </c>
      <c r="AM129" s="43">
        <v>110</v>
      </c>
      <c r="AN129" s="56"/>
      <c r="AO129" s="56">
        <v>22</v>
      </c>
      <c r="AP129" s="20" t="s">
        <v>487</v>
      </c>
    </row>
    <row r="130" spans="2:42" s="20" customFormat="1" ht="11.25" customHeight="1" thickBot="1">
      <c r="B130" s="20">
        <v>130</v>
      </c>
      <c r="C130" s="20" t="s">
        <v>478</v>
      </c>
      <c r="D130" s="57" t="s">
        <v>251</v>
      </c>
      <c r="E130" s="57"/>
      <c r="F130" s="58" t="s">
        <v>252</v>
      </c>
      <c r="G130" s="59">
        <v>1278</v>
      </c>
      <c r="H130" s="60">
        <f>G130*Valores!$B$2</f>
        <v>2966.2380000000003</v>
      </c>
      <c r="I130" s="63">
        <v>0</v>
      </c>
      <c r="J130" s="60">
        <f>I130*Valores!$B$2</f>
        <v>0</v>
      </c>
      <c r="K130" s="70">
        <v>0</v>
      </c>
      <c r="L130" s="60">
        <f>K130*Valores!$B$2</f>
        <v>0</v>
      </c>
      <c r="M130" s="70">
        <v>0</v>
      </c>
      <c r="N130" s="60">
        <f>M130*Valores!$B$2</f>
        <v>0</v>
      </c>
      <c r="O130" s="60">
        <f t="shared" si="9"/>
        <v>558.1857</v>
      </c>
      <c r="P130" s="60">
        <f t="shared" si="10"/>
        <v>0</v>
      </c>
      <c r="Q130" s="62">
        <f>Valores!$B$18</f>
        <v>1015</v>
      </c>
      <c r="R130" s="62">
        <f>Valores!$C$6</f>
        <v>1038.184</v>
      </c>
      <c r="S130" s="60">
        <v>0</v>
      </c>
      <c r="T130" s="60">
        <f>Valores!$B$20</f>
        <v>755</v>
      </c>
      <c r="U130" s="60">
        <f t="shared" si="11"/>
        <v>755</v>
      </c>
      <c r="V130" s="60">
        <v>0</v>
      </c>
      <c r="W130" s="60">
        <v>0</v>
      </c>
      <c r="X130" s="63">
        <v>0</v>
      </c>
      <c r="Y130" s="60">
        <f>X130*Valores!$B$2</f>
        <v>0</v>
      </c>
      <c r="Z130" s="60">
        <v>0</v>
      </c>
      <c r="AA130" s="64">
        <v>129.04</v>
      </c>
      <c r="AB130" s="60">
        <f t="shared" si="12"/>
        <v>0</v>
      </c>
      <c r="AC130" s="60">
        <v>129.04</v>
      </c>
      <c r="AD130" s="65">
        <v>0</v>
      </c>
      <c r="AE130" s="60">
        <f>AD130*Valores!$B$2</f>
        <v>0</v>
      </c>
      <c r="AF130" s="66">
        <f t="shared" si="13"/>
        <v>6590.6877</v>
      </c>
      <c r="AG130" s="60">
        <v>0</v>
      </c>
      <c r="AH130" s="64">
        <f>Valores!$B$4</f>
        <v>340</v>
      </c>
      <c r="AI130" s="64">
        <f>Valores!$B$25</f>
        <v>0</v>
      </c>
      <c r="AJ130" s="60">
        <v>0</v>
      </c>
      <c r="AK130" s="67">
        <f t="shared" si="14"/>
        <v>340</v>
      </c>
      <c r="AL130" s="62">
        <f t="shared" si="15"/>
        <v>5447.7829675</v>
      </c>
      <c r="AM130" s="68"/>
      <c r="AN130" s="69">
        <v>12</v>
      </c>
      <c r="AO130" s="69">
        <v>12</v>
      </c>
      <c r="AP130" s="20" t="s">
        <v>486</v>
      </c>
    </row>
    <row r="131" spans="2:42" s="20" customFormat="1" ht="11.25" customHeight="1" thickTop="1">
      <c r="B131" s="20">
        <v>131</v>
      </c>
      <c r="D131" s="20" t="s">
        <v>253</v>
      </c>
      <c r="F131" s="21" t="s">
        <v>254</v>
      </c>
      <c r="G131" s="28">
        <v>616</v>
      </c>
      <c r="H131" s="15">
        <f>G131*Valores!$B$2</f>
        <v>1429.736</v>
      </c>
      <c r="I131" s="24">
        <v>0</v>
      </c>
      <c r="J131" s="15">
        <f>I131*Valores!$B$2</f>
        <v>0</v>
      </c>
      <c r="K131" s="27">
        <v>0</v>
      </c>
      <c r="L131" s="15">
        <f>K131*Valores!$B$2</f>
        <v>0</v>
      </c>
      <c r="M131" s="27">
        <v>0</v>
      </c>
      <c r="N131" s="15">
        <f>M131*Valores!$B$2</f>
        <v>0</v>
      </c>
      <c r="O131" s="15">
        <f t="shared" si="9"/>
        <v>327.7104</v>
      </c>
      <c r="P131" s="15">
        <f t="shared" si="10"/>
        <v>0</v>
      </c>
      <c r="Q131" s="17">
        <f>Valores!$B$12</f>
        <v>1165</v>
      </c>
      <c r="R131" s="17">
        <f>Valores!$C$6</f>
        <v>1038.184</v>
      </c>
      <c r="S131" s="17">
        <f>Valores!$B$23</f>
        <v>870</v>
      </c>
      <c r="T131" s="15">
        <f>Valores!$B$20</f>
        <v>755</v>
      </c>
      <c r="U131" s="15">
        <f t="shared" si="11"/>
        <v>755</v>
      </c>
      <c r="V131" s="15">
        <v>0</v>
      </c>
      <c r="W131" s="15">
        <v>0</v>
      </c>
      <c r="X131" s="24">
        <v>0</v>
      </c>
      <c r="Y131" s="15">
        <f>X131*Valores!$B$2</f>
        <v>0</v>
      </c>
      <c r="Z131" s="15">
        <v>0</v>
      </c>
      <c r="AA131" s="39">
        <v>129.04</v>
      </c>
      <c r="AB131" s="15">
        <f t="shared" si="12"/>
        <v>0</v>
      </c>
      <c r="AC131" s="15">
        <v>129.04</v>
      </c>
      <c r="AD131" s="16">
        <v>0</v>
      </c>
      <c r="AE131" s="15">
        <f>AD131*Valores!$B$2</f>
        <v>0</v>
      </c>
      <c r="AF131" s="31">
        <f t="shared" si="13"/>
        <v>5843.7104</v>
      </c>
      <c r="AG131" s="15">
        <v>0</v>
      </c>
      <c r="AH131" s="39">
        <f>Valores!$B$4</f>
        <v>340</v>
      </c>
      <c r="AI131" s="15">
        <f>Valores!$B$25</f>
        <v>0</v>
      </c>
      <c r="AJ131" s="15">
        <v>0</v>
      </c>
      <c r="AK131" s="25">
        <f t="shared" si="14"/>
        <v>340</v>
      </c>
      <c r="AL131" s="17">
        <f t="shared" si="15"/>
        <v>4868.87556</v>
      </c>
      <c r="AM131" s="43"/>
      <c r="AN131" s="56">
        <v>6</v>
      </c>
      <c r="AO131" s="56">
        <v>22</v>
      </c>
      <c r="AP131" s="20" t="s">
        <v>486</v>
      </c>
    </row>
    <row r="132" spans="2:42" s="20" customFormat="1" ht="11.25" customHeight="1">
      <c r="B132" s="20">
        <v>132</v>
      </c>
      <c r="D132" s="20" t="s">
        <v>255</v>
      </c>
      <c r="F132" s="21" t="s">
        <v>256</v>
      </c>
      <c r="G132" s="28">
        <v>1278</v>
      </c>
      <c r="H132" s="15">
        <f>G132*Valores!$B$2</f>
        <v>2966.2380000000003</v>
      </c>
      <c r="I132" s="24">
        <v>0</v>
      </c>
      <c r="J132" s="15">
        <f>I132*Valores!$B$2</f>
        <v>0</v>
      </c>
      <c r="K132" s="27">
        <v>0</v>
      </c>
      <c r="L132" s="15">
        <f>K132*Valores!$B$2</f>
        <v>0</v>
      </c>
      <c r="M132" s="27">
        <v>0</v>
      </c>
      <c r="N132" s="15">
        <f>M132*Valores!$B$2</f>
        <v>0</v>
      </c>
      <c r="O132" s="15">
        <f t="shared" si="9"/>
        <v>553.6857</v>
      </c>
      <c r="P132" s="15">
        <f t="shared" si="10"/>
        <v>0</v>
      </c>
      <c r="Q132" s="17">
        <f>Valores!$B$18</f>
        <v>1015</v>
      </c>
      <c r="R132" s="17">
        <f>Valores!$C$6</f>
        <v>1038.184</v>
      </c>
      <c r="S132" s="15">
        <v>0</v>
      </c>
      <c r="T132" s="26">
        <f>Valores!$B$21</f>
        <v>725</v>
      </c>
      <c r="U132" s="15">
        <f t="shared" si="11"/>
        <v>725</v>
      </c>
      <c r="V132" s="15">
        <v>0</v>
      </c>
      <c r="W132" s="15">
        <v>0</v>
      </c>
      <c r="X132" s="24">
        <v>0</v>
      </c>
      <c r="Y132" s="15">
        <f>X132*Valores!$B$2</f>
        <v>0</v>
      </c>
      <c r="Z132" s="15">
        <v>0</v>
      </c>
      <c r="AA132" s="39">
        <v>129.04</v>
      </c>
      <c r="AB132" s="15">
        <f t="shared" si="12"/>
        <v>0</v>
      </c>
      <c r="AC132" s="15">
        <v>129.04</v>
      </c>
      <c r="AD132" s="16">
        <v>0</v>
      </c>
      <c r="AE132" s="15">
        <f>AD132*Valores!$B$2</f>
        <v>0</v>
      </c>
      <c r="AF132" s="31">
        <f t="shared" si="13"/>
        <v>6556.1877</v>
      </c>
      <c r="AG132" s="15">
        <v>0</v>
      </c>
      <c r="AH132" s="15">
        <v>0</v>
      </c>
      <c r="AI132" s="15">
        <f>Valores!$B$25</f>
        <v>0</v>
      </c>
      <c r="AJ132" s="15">
        <v>0</v>
      </c>
      <c r="AK132" s="25">
        <f t="shared" si="14"/>
        <v>0</v>
      </c>
      <c r="AL132" s="17">
        <f t="shared" si="15"/>
        <v>5081.0454675</v>
      </c>
      <c r="AM132" s="43">
        <v>100.44</v>
      </c>
      <c r="AN132" s="56">
        <v>12</v>
      </c>
      <c r="AO132" s="56">
        <v>12</v>
      </c>
      <c r="AP132" s="20" t="s">
        <v>487</v>
      </c>
    </row>
    <row r="133" spans="2:42" s="20" customFormat="1" ht="11.25" customHeight="1">
      <c r="B133" s="20">
        <v>133</v>
      </c>
      <c r="D133" s="20" t="s">
        <v>257</v>
      </c>
      <c r="F133" s="21" t="s">
        <v>258</v>
      </c>
      <c r="G133" s="28">
        <v>1983</v>
      </c>
      <c r="H133" s="15">
        <f>G133*Valores!$B$2</f>
        <v>4602.543000000001</v>
      </c>
      <c r="I133" s="24">
        <v>0</v>
      </c>
      <c r="J133" s="15">
        <f>I133*Valores!$B$2</f>
        <v>0</v>
      </c>
      <c r="K133" s="27">
        <v>0</v>
      </c>
      <c r="L133" s="15">
        <f>K133*Valores!$B$2</f>
        <v>0</v>
      </c>
      <c r="M133" s="27">
        <v>0</v>
      </c>
      <c r="N133" s="15">
        <f>M133*Valores!$B$2</f>
        <v>0</v>
      </c>
      <c r="O133" s="15">
        <f t="shared" si="9"/>
        <v>803.6314500000001</v>
      </c>
      <c r="P133" s="15">
        <f t="shared" si="10"/>
        <v>0</v>
      </c>
      <c r="Q133" s="17">
        <f>Valores!$B$12</f>
        <v>1165</v>
      </c>
      <c r="R133" s="17">
        <f>Valores!$C$6</f>
        <v>1038.184</v>
      </c>
      <c r="S133" s="17">
        <f>Valores!$B$23</f>
        <v>870</v>
      </c>
      <c r="T133" s="15">
        <f>Valores!$B$20</f>
        <v>755</v>
      </c>
      <c r="U133" s="15">
        <f t="shared" si="11"/>
        <v>755</v>
      </c>
      <c r="V133" s="15">
        <v>0</v>
      </c>
      <c r="W133" s="15">
        <v>0</v>
      </c>
      <c r="X133" s="24">
        <v>0</v>
      </c>
      <c r="Y133" s="15">
        <f>X133*Valores!$B$2</f>
        <v>0</v>
      </c>
      <c r="Z133" s="15">
        <v>0</v>
      </c>
      <c r="AA133" s="39">
        <v>129.04</v>
      </c>
      <c r="AB133" s="15">
        <f t="shared" si="12"/>
        <v>0</v>
      </c>
      <c r="AC133" s="15">
        <v>129.04</v>
      </c>
      <c r="AD133" s="24">
        <v>94</v>
      </c>
      <c r="AE133" s="15">
        <f>AD133*Valores!$B$2</f>
        <v>218.174</v>
      </c>
      <c r="AF133" s="31">
        <f t="shared" si="13"/>
        <v>9710.612450000002</v>
      </c>
      <c r="AG133" s="15">
        <v>0</v>
      </c>
      <c r="AH133" s="39">
        <f>Valores!$B$4</f>
        <v>340</v>
      </c>
      <c r="AI133" s="15">
        <f>Valores!$B$25</f>
        <v>0</v>
      </c>
      <c r="AJ133" s="15">
        <v>0</v>
      </c>
      <c r="AK133" s="25">
        <f t="shared" si="14"/>
        <v>340</v>
      </c>
      <c r="AL133" s="17">
        <f t="shared" si="15"/>
        <v>7865.724648750002</v>
      </c>
      <c r="AM133" s="43"/>
      <c r="AN133" s="56"/>
      <c r="AO133" s="56">
        <v>22</v>
      </c>
      <c r="AP133" s="20" t="s">
        <v>486</v>
      </c>
    </row>
    <row r="134" spans="2:42" s="20" customFormat="1" ht="11.25" customHeight="1">
      <c r="B134" s="20">
        <v>134</v>
      </c>
      <c r="D134" s="20" t="s">
        <v>259</v>
      </c>
      <c r="F134" s="21" t="s">
        <v>260</v>
      </c>
      <c r="G134" s="28">
        <v>1378</v>
      </c>
      <c r="H134" s="15">
        <f>G134*Valores!$B$2</f>
        <v>3198.338</v>
      </c>
      <c r="I134" s="24">
        <v>0</v>
      </c>
      <c r="J134" s="15">
        <f>I134*Valores!$B$2</f>
        <v>0</v>
      </c>
      <c r="K134" s="27">
        <v>0</v>
      </c>
      <c r="L134" s="15">
        <f>K134*Valores!$B$2</f>
        <v>0</v>
      </c>
      <c r="M134" s="27">
        <v>0</v>
      </c>
      <c r="N134" s="15">
        <f>M134*Valores!$B$2</f>
        <v>0</v>
      </c>
      <c r="O134" s="15">
        <f aca="true" t="shared" si="16" ref="O134">IF($J$1=0,(SUM(H134,J134,L134,N134,Y134,T134)*0.15),0)</f>
        <v>588.5007</v>
      </c>
      <c r="P134" s="15">
        <f aca="true" t="shared" si="17" ref="P134:P197">SUM(H134,J134,L134,N134,Y134)*$J$1</f>
        <v>0</v>
      </c>
      <c r="Q134" s="17">
        <f>Valores!$B$18</f>
        <v>1015</v>
      </c>
      <c r="R134" s="17">
        <f>Valores!$C$6</f>
        <v>1038.184</v>
      </c>
      <c r="S134" s="17">
        <f>Valores!$B$23</f>
        <v>870</v>
      </c>
      <c r="T134" s="26">
        <f>Valores!$B$21</f>
        <v>725</v>
      </c>
      <c r="U134" s="15">
        <f aca="true" t="shared" si="18" ref="U134:U198">T134*(1+$J$1)</f>
        <v>725</v>
      </c>
      <c r="V134" s="15">
        <v>0</v>
      </c>
      <c r="W134" s="15">
        <v>0</v>
      </c>
      <c r="X134" s="24">
        <v>0</v>
      </c>
      <c r="Y134" s="15">
        <f>X134*Valores!$B$2</f>
        <v>0</v>
      </c>
      <c r="Z134" s="15">
        <v>0</v>
      </c>
      <c r="AA134" s="39">
        <v>129.04</v>
      </c>
      <c r="AB134" s="15">
        <f aca="true" t="shared" si="19" ref="AB134:AB197">SUM(H134,J134,L134,Y134)*$H$2/100</f>
        <v>0</v>
      </c>
      <c r="AC134" s="15">
        <v>129.04</v>
      </c>
      <c r="AD134" s="16">
        <v>0</v>
      </c>
      <c r="AE134" s="15">
        <f>AD134*Valores!$B$2</f>
        <v>0</v>
      </c>
      <c r="AF134" s="31">
        <f aca="true" t="shared" si="20" ref="AF134:AF197">SUM(H134,J134,L134,N134,O134,P134,Q134,R134,S134,U134,V134,W134,Y134,Z134,AA134,AB134,AC134,AE134)</f>
        <v>7693.1027</v>
      </c>
      <c r="AG134" s="15">
        <v>0</v>
      </c>
      <c r="AH134" s="39">
        <f>Valores!$B$4</f>
        <v>340</v>
      </c>
      <c r="AI134" s="15">
        <f>Valores!$B$25</f>
        <v>0</v>
      </c>
      <c r="AJ134" s="15">
        <v>0</v>
      </c>
      <c r="AK134" s="25">
        <f aca="true" t="shared" si="21" ref="AK134:AK198">SUM(AH134:AJ134)</f>
        <v>340</v>
      </c>
      <c r="AL134" s="17">
        <f t="shared" si="15"/>
        <v>6302.1545925</v>
      </c>
      <c r="AM134" s="43">
        <v>110</v>
      </c>
      <c r="AN134" s="56"/>
      <c r="AO134" s="56">
        <v>22</v>
      </c>
      <c r="AP134" s="20" t="s">
        <v>487</v>
      </c>
    </row>
    <row r="135" spans="2:42" s="20" customFormat="1" ht="11.25" customHeight="1" thickBot="1">
      <c r="B135" s="20">
        <v>135</v>
      </c>
      <c r="C135" s="20" t="s">
        <v>478</v>
      </c>
      <c r="D135" s="57" t="s">
        <v>261</v>
      </c>
      <c r="E135" s="57"/>
      <c r="F135" s="58" t="s">
        <v>262</v>
      </c>
      <c r="G135" s="59">
        <v>1278</v>
      </c>
      <c r="H135" s="60">
        <f>G135*Valores!$B$2</f>
        <v>2966.2380000000003</v>
      </c>
      <c r="I135" s="63">
        <v>0</v>
      </c>
      <c r="J135" s="60">
        <f>I135*Valores!$B$2</f>
        <v>0</v>
      </c>
      <c r="K135" s="70">
        <v>0</v>
      </c>
      <c r="L135" s="60">
        <f>K135*Valores!$B$2</f>
        <v>0</v>
      </c>
      <c r="M135" s="70">
        <v>0</v>
      </c>
      <c r="N135" s="60">
        <f>M135*Valores!$B$2</f>
        <v>0</v>
      </c>
      <c r="O135" s="60">
        <f>IF($J$1=0,(SUM(H135,J135,L135,N135,Y135,T135)*0.15),0)</f>
        <v>558.1857</v>
      </c>
      <c r="P135" s="60">
        <f t="shared" si="17"/>
        <v>0</v>
      </c>
      <c r="Q135" s="62">
        <f>Valores!$B$18</f>
        <v>1015</v>
      </c>
      <c r="R135" s="62">
        <f>Valores!$C$6</f>
        <v>1038.184</v>
      </c>
      <c r="S135" s="60">
        <f>Valores!$B$23</f>
        <v>870</v>
      </c>
      <c r="T135" s="60">
        <f>Valores!$B$20</f>
        <v>755</v>
      </c>
      <c r="U135" s="60">
        <f t="shared" si="18"/>
        <v>755</v>
      </c>
      <c r="V135" s="60">
        <v>0</v>
      </c>
      <c r="W135" s="60">
        <v>0</v>
      </c>
      <c r="X135" s="63">
        <v>0</v>
      </c>
      <c r="Y135" s="60">
        <f>X135*Valores!$B$2</f>
        <v>0</v>
      </c>
      <c r="Z135" s="60">
        <v>0</v>
      </c>
      <c r="AA135" s="64">
        <v>129.04</v>
      </c>
      <c r="AB135" s="60">
        <f t="shared" si="19"/>
        <v>0</v>
      </c>
      <c r="AC135" s="60">
        <v>129.04</v>
      </c>
      <c r="AD135" s="65">
        <v>0</v>
      </c>
      <c r="AE135" s="60">
        <f>AD135*Valores!$B$2</f>
        <v>0</v>
      </c>
      <c r="AF135" s="66">
        <f t="shared" si="20"/>
        <v>7460.6877</v>
      </c>
      <c r="AG135" s="62">
        <f>((((H135+T135)*1.15)+Q135+R135+S135+AA135+AC135)*0.5)+0.01</f>
        <v>3730.3538500000004</v>
      </c>
      <c r="AH135" s="64">
        <v>0</v>
      </c>
      <c r="AI135" s="64">
        <f>Valores!$B$25</f>
        <v>0</v>
      </c>
      <c r="AJ135" s="60">
        <v>0</v>
      </c>
      <c r="AK135" s="67">
        <f t="shared" si="21"/>
        <v>0</v>
      </c>
      <c r="AL135" s="62">
        <f aca="true" t="shared" si="22" ref="AL135:AL199">(AF135*0.775)+AK135</f>
        <v>5782.0329675</v>
      </c>
      <c r="AM135" s="68">
        <v>110</v>
      </c>
      <c r="AN135" s="69"/>
      <c r="AO135" s="69">
        <v>22</v>
      </c>
      <c r="AP135" s="20" t="s">
        <v>487</v>
      </c>
    </row>
    <row r="136" spans="2:42" s="20" customFormat="1" ht="11.25" customHeight="1" thickTop="1">
      <c r="B136" s="20">
        <v>136</v>
      </c>
      <c r="D136" s="20" t="s">
        <v>263</v>
      </c>
      <c r="F136" s="21" t="s">
        <v>264</v>
      </c>
      <c r="G136" s="28">
        <v>1278</v>
      </c>
      <c r="H136" s="15">
        <f>G136*Valores!$B$2</f>
        <v>2966.2380000000003</v>
      </c>
      <c r="I136" s="24">
        <v>0</v>
      </c>
      <c r="J136" s="15">
        <f>I136*Valores!$B$2</f>
        <v>0</v>
      </c>
      <c r="K136" s="27">
        <v>0</v>
      </c>
      <c r="L136" s="15">
        <f>K136*Valores!$B$2</f>
        <v>0</v>
      </c>
      <c r="M136" s="27">
        <v>0</v>
      </c>
      <c r="N136" s="15">
        <f>M136*Valores!$B$2</f>
        <v>0</v>
      </c>
      <c r="O136" s="15">
        <f aca="true" t="shared" si="23" ref="O136:O199">IF($J$1=0,(SUM(H136,J136,L136,N136,Y136,T136)*0.15),0)</f>
        <v>553.6857</v>
      </c>
      <c r="P136" s="15">
        <f t="shared" si="17"/>
        <v>0</v>
      </c>
      <c r="Q136" s="17">
        <f>Valores!$B$18</f>
        <v>1015</v>
      </c>
      <c r="R136" s="17">
        <f>Valores!$C$6</f>
        <v>1038.184</v>
      </c>
      <c r="S136" s="17">
        <f>Valores!$B$23</f>
        <v>870</v>
      </c>
      <c r="T136" s="26">
        <f>Valores!$B$21</f>
        <v>725</v>
      </c>
      <c r="U136" s="15">
        <f t="shared" si="18"/>
        <v>725</v>
      </c>
      <c r="V136" s="15">
        <v>0</v>
      </c>
      <c r="W136" s="15">
        <v>0</v>
      </c>
      <c r="X136" s="24">
        <v>0</v>
      </c>
      <c r="Y136" s="15">
        <f>X136*Valores!$B$2</f>
        <v>0</v>
      </c>
      <c r="Z136" s="15">
        <v>0</v>
      </c>
      <c r="AA136" s="39">
        <v>129.04</v>
      </c>
      <c r="AB136" s="15">
        <f t="shared" si="19"/>
        <v>0</v>
      </c>
      <c r="AC136" s="15">
        <v>129.04</v>
      </c>
      <c r="AD136" s="16">
        <v>0</v>
      </c>
      <c r="AE136" s="15">
        <f>AD136*Valores!$B$2</f>
        <v>0</v>
      </c>
      <c r="AF136" s="31">
        <f t="shared" si="20"/>
        <v>7426.1877</v>
      </c>
      <c r="AG136" s="15">
        <v>0</v>
      </c>
      <c r="AH136" s="39">
        <v>340</v>
      </c>
      <c r="AI136" s="15">
        <f>Valores!$B$25</f>
        <v>0</v>
      </c>
      <c r="AJ136" s="15">
        <v>0</v>
      </c>
      <c r="AK136" s="25">
        <f t="shared" si="21"/>
        <v>340</v>
      </c>
      <c r="AL136" s="17">
        <f t="shared" si="22"/>
        <v>6095.2954675</v>
      </c>
      <c r="AM136" s="43"/>
      <c r="AN136" s="56"/>
      <c r="AO136" s="56">
        <v>22</v>
      </c>
      <c r="AP136" s="20" t="s">
        <v>486</v>
      </c>
    </row>
    <row r="137" spans="2:42" s="20" customFormat="1" ht="11.25" customHeight="1">
      <c r="B137" s="20">
        <v>137</v>
      </c>
      <c r="D137" s="20" t="s">
        <v>265</v>
      </c>
      <c r="F137" s="21" t="s">
        <v>266</v>
      </c>
      <c r="G137" s="28">
        <v>1278</v>
      </c>
      <c r="H137" s="15">
        <f>G137*Valores!$B$2</f>
        <v>2966.2380000000003</v>
      </c>
      <c r="I137" s="24">
        <v>0</v>
      </c>
      <c r="J137" s="15">
        <f>I137*Valores!$B$2</f>
        <v>0</v>
      </c>
      <c r="K137" s="27">
        <v>0</v>
      </c>
      <c r="L137" s="15">
        <f>K137*Valores!$B$2</f>
        <v>0</v>
      </c>
      <c r="M137" s="27">
        <v>0</v>
      </c>
      <c r="N137" s="15">
        <f>M137*Valores!$B$2</f>
        <v>0</v>
      </c>
      <c r="O137" s="15">
        <f t="shared" si="23"/>
        <v>558.1857</v>
      </c>
      <c r="P137" s="15">
        <f t="shared" si="17"/>
        <v>0</v>
      </c>
      <c r="Q137" s="17">
        <f>Valores!$B$18</f>
        <v>1015</v>
      </c>
      <c r="R137" s="17">
        <f>Valores!$C$6</f>
        <v>1038.184</v>
      </c>
      <c r="S137" s="17">
        <f>Valores!$B$23</f>
        <v>870</v>
      </c>
      <c r="T137" s="15">
        <f>Valores!$B$20</f>
        <v>755</v>
      </c>
      <c r="U137" s="15">
        <f t="shared" si="18"/>
        <v>755</v>
      </c>
      <c r="V137" s="15">
        <v>0</v>
      </c>
      <c r="W137" s="15">
        <v>0</v>
      </c>
      <c r="X137" s="24">
        <v>0</v>
      </c>
      <c r="Y137" s="15">
        <f>X137*Valores!$B$2</f>
        <v>0</v>
      </c>
      <c r="Z137" s="15">
        <v>0</v>
      </c>
      <c r="AA137" s="39">
        <v>129.04</v>
      </c>
      <c r="AB137" s="15">
        <f t="shared" si="19"/>
        <v>0</v>
      </c>
      <c r="AC137" s="15">
        <v>129.04</v>
      </c>
      <c r="AD137" s="16">
        <v>0</v>
      </c>
      <c r="AE137" s="15">
        <f>AD137*Valores!$B$2</f>
        <v>0</v>
      </c>
      <c r="AF137" s="31">
        <f t="shared" si="20"/>
        <v>7460.6877</v>
      </c>
      <c r="AG137" s="17">
        <f>$AG$135</f>
        <v>3730.3538500000004</v>
      </c>
      <c r="AH137" s="39">
        <v>0</v>
      </c>
      <c r="AI137" s="15">
        <f>Valores!$B$25</f>
        <v>0</v>
      </c>
      <c r="AJ137" s="15">
        <v>0</v>
      </c>
      <c r="AK137" s="25">
        <f t="shared" si="21"/>
        <v>0</v>
      </c>
      <c r="AL137" s="17">
        <f t="shared" si="22"/>
        <v>5782.0329675</v>
      </c>
      <c r="AM137" s="43"/>
      <c r="AN137" s="56"/>
      <c r="AO137" s="56">
        <v>22</v>
      </c>
      <c r="AP137" s="20" t="s">
        <v>487</v>
      </c>
    </row>
    <row r="138" spans="2:42" s="20" customFormat="1" ht="11.25" customHeight="1">
      <c r="B138" s="20">
        <v>138</v>
      </c>
      <c r="D138" s="20" t="s">
        <v>267</v>
      </c>
      <c r="F138" s="21" t="s">
        <v>268</v>
      </c>
      <c r="G138" s="28">
        <v>1278</v>
      </c>
      <c r="H138" s="15">
        <f>G138*Valores!$B$2</f>
        <v>2966.2380000000003</v>
      </c>
      <c r="I138" s="24">
        <v>0</v>
      </c>
      <c r="J138" s="15">
        <f>I138*Valores!$B$2</f>
        <v>0</v>
      </c>
      <c r="K138" s="27">
        <v>0</v>
      </c>
      <c r="L138" s="15">
        <f>K138*Valores!$B$2</f>
        <v>0</v>
      </c>
      <c r="M138" s="27">
        <v>0</v>
      </c>
      <c r="N138" s="15">
        <f>M138*Valores!$B$2</f>
        <v>0</v>
      </c>
      <c r="O138" s="15">
        <f t="shared" si="23"/>
        <v>558.1857</v>
      </c>
      <c r="P138" s="15">
        <f t="shared" si="17"/>
        <v>0</v>
      </c>
      <c r="Q138" s="17">
        <f>Valores!$B$18</f>
        <v>1015</v>
      </c>
      <c r="R138" s="17">
        <f>Valores!$C$6</f>
        <v>1038.184</v>
      </c>
      <c r="S138" s="17">
        <f>Valores!$B$23</f>
        <v>870</v>
      </c>
      <c r="T138" s="15">
        <f>Valores!$B$20</f>
        <v>755</v>
      </c>
      <c r="U138" s="15">
        <f t="shared" si="18"/>
        <v>755</v>
      </c>
      <c r="V138" s="15">
        <v>0</v>
      </c>
      <c r="W138" s="15">
        <v>0</v>
      </c>
      <c r="X138" s="24">
        <v>0</v>
      </c>
      <c r="Y138" s="15">
        <f>X138*Valores!$B$2</f>
        <v>0</v>
      </c>
      <c r="Z138" s="15">
        <v>0</v>
      </c>
      <c r="AA138" s="39">
        <v>129.04</v>
      </c>
      <c r="AB138" s="15">
        <f t="shared" si="19"/>
        <v>0</v>
      </c>
      <c r="AC138" s="15">
        <v>129.04</v>
      </c>
      <c r="AD138" s="16">
        <v>0</v>
      </c>
      <c r="AE138" s="15">
        <f>AD138*Valores!$B$2</f>
        <v>0</v>
      </c>
      <c r="AF138" s="31">
        <f t="shared" si="20"/>
        <v>7460.6877</v>
      </c>
      <c r="AG138" s="17">
        <f>$AG$135</f>
        <v>3730.3538500000004</v>
      </c>
      <c r="AH138" s="39">
        <v>0</v>
      </c>
      <c r="AI138" s="15">
        <f>Valores!$B$25</f>
        <v>0</v>
      </c>
      <c r="AJ138" s="15">
        <v>0</v>
      </c>
      <c r="AK138" s="25">
        <f t="shared" si="21"/>
        <v>0</v>
      </c>
      <c r="AL138" s="17">
        <f t="shared" si="22"/>
        <v>5782.0329675</v>
      </c>
      <c r="AM138" s="43">
        <v>110</v>
      </c>
      <c r="AN138" s="56"/>
      <c r="AO138" s="56">
        <v>20</v>
      </c>
      <c r="AP138" s="20" t="s">
        <v>487</v>
      </c>
    </row>
    <row r="139" spans="2:42" s="20" customFormat="1" ht="11.25" customHeight="1">
      <c r="B139" s="20">
        <v>139</v>
      </c>
      <c r="D139" s="20" t="s">
        <v>269</v>
      </c>
      <c r="F139" s="21" t="s">
        <v>270</v>
      </c>
      <c r="G139" s="28">
        <v>1278</v>
      </c>
      <c r="H139" s="15">
        <f>G139*Valores!$B$2</f>
        <v>2966.2380000000003</v>
      </c>
      <c r="I139" s="24">
        <v>0</v>
      </c>
      <c r="J139" s="15">
        <f>I139*Valores!$B$2</f>
        <v>0</v>
      </c>
      <c r="K139" s="27">
        <v>0</v>
      </c>
      <c r="L139" s="15">
        <f>K139*Valores!$B$2</f>
        <v>0</v>
      </c>
      <c r="M139" s="27">
        <v>0</v>
      </c>
      <c r="N139" s="15">
        <f>M139*Valores!$B$2</f>
        <v>0</v>
      </c>
      <c r="O139" s="15">
        <f t="shared" si="23"/>
        <v>558.1857</v>
      </c>
      <c r="P139" s="15">
        <f t="shared" si="17"/>
        <v>0</v>
      </c>
      <c r="Q139" s="17">
        <f>Valores!$B$18</f>
        <v>1015</v>
      </c>
      <c r="R139" s="17">
        <f>Valores!$C$6</f>
        <v>1038.184</v>
      </c>
      <c r="S139" s="17">
        <f>Valores!$B$23</f>
        <v>870</v>
      </c>
      <c r="T139" s="15">
        <f>Valores!$B$20</f>
        <v>755</v>
      </c>
      <c r="U139" s="15">
        <f t="shared" si="18"/>
        <v>755</v>
      </c>
      <c r="V139" s="15">
        <v>0</v>
      </c>
      <c r="W139" s="15">
        <v>0</v>
      </c>
      <c r="X139" s="24">
        <v>0</v>
      </c>
      <c r="Y139" s="15">
        <f>X139*Valores!$B$2</f>
        <v>0</v>
      </c>
      <c r="Z139" s="15">
        <v>0</v>
      </c>
      <c r="AA139" s="39">
        <v>129.04</v>
      </c>
      <c r="AB139" s="15">
        <f t="shared" si="19"/>
        <v>0</v>
      </c>
      <c r="AC139" s="15">
        <v>129.04</v>
      </c>
      <c r="AD139" s="24">
        <v>94</v>
      </c>
      <c r="AE139" s="15">
        <f>AD139*Valores!$B$2</f>
        <v>218.174</v>
      </c>
      <c r="AF139" s="31">
        <f t="shared" si="20"/>
        <v>7678.8617</v>
      </c>
      <c r="AG139" s="17">
        <f>$AG$135</f>
        <v>3730.3538500000004</v>
      </c>
      <c r="AH139" s="39">
        <v>0</v>
      </c>
      <c r="AI139" s="15">
        <f>Valores!$B$25</f>
        <v>0</v>
      </c>
      <c r="AJ139" s="15">
        <v>0</v>
      </c>
      <c r="AK139" s="25">
        <f t="shared" si="21"/>
        <v>0</v>
      </c>
      <c r="AL139" s="17">
        <f t="shared" si="22"/>
        <v>5951.1178175000005</v>
      </c>
      <c r="AM139" s="43">
        <v>110</v>
      </c>
      <c r="AN139" s="56"/>
      <c r="AO139" s="56">
        <v>22</v>
      </c>
      <c r="AP139" s="20" t="s">
        <v>487</v>
      </c>
    </row>
    <row r="140" spans="2:42" s="20" customFormat="1" ht="11.25" customHeight="1" thickBot="1">
      <c r="B140" s="20">
        <v>140</v>
      </c>
      <c r="C140" s="20" t="s">
        <v>478</v>
      </c>
      <c r="D140" s="57" t="s">
        <v>271</v>
      </c>
      <c r="E140" s="57"/>
      <c r="F140" s="58" t="s">
        <v>272</v>
      </c>
      <c r="G140" s="59">
        <v>1278</v>
      </c>
      <c r="H140" s="60">
        <f>G140*Valores!$B$2</f>
        <v>2966.2380000000003</v>
      </c>
      <c r="I140" s="63">
        <v>0</v>
      </c>
      <c r="J140" s="60">
        <f>I140*Valores!$B$2</f>
        <v>0</v>
      </c>
      <c r="K140" s="70">
        <v>0</v>
      </c>
      <c r="L140" s="60">
        <f>K140*Valores!$B$2</f>
        <v>0</v>
      </c>
      <c r="M140" s="70">
        <v>0</v>
      </c>
      <c r="N140" s="60">
        <f>M140*Valores!$B$2</f>
        <v>0</v>
      </c>
      <c r="O140" s="60">
        <f t="shared" si="23"/>
        <v>553.6857</v>
      </c>
      <c r="P140" s="60">
        <f t="shared" si="17"/>
        <v>0</v>
      </c>
      <c r="Q140" s="62">
        <f>Valores!$B$18</f>
        <v>1015</v>
      </c>
      <c r="R140" s="62">
        <f>Valores!$C$6</f>
        <v>1038.184</v>
      </c>
      <c r="S140" s="60">
        <v>0</v>
      </c>
      <c r="T140" s="71">
        <f>Valores!$B$21</f>
        <v>725</v>
      </c>
      <c r="U140" s="60">
        <f t="shared" si="18"/>
        <v>725</v>
      </c>
      <c r="V140" s="60">
        <v>0</v>
      </c>
      <c r="W140" s="60">
        <v>0</v>
      </c>
      <c r="X140" s="63">
        <v>0</v>
      </c>
      <c r="Y140" s="60">
        <f>X140*Valores!$B$2</f>
        <v>0</v>
      </c>
      <c r="Z140" s="60">
        <v>0</v>
      </c>
      <c r="AA140" s="64">
        <v>129.04</v>
      </c>
      <c r="AB140" s="60">
        <f t="shared" si="19"/>
        <v>0</v>
      </c>
      <c r="AC140" s="60">
        <v>129.04</v>
      </c>
      <c r="AD140" s="65">
        <v>0</v>
      </c>
      <c r="AE140" s="60">
        <f>AD140*Valores!$B$2</f>
        <v>0</v>
      </c>
      <c r="AF140" s="66">
        <f t="shared" si="20"/>
        <v>6556.1877</v>
      </c>
      <c r="AG140" s="60">
        <v>0</v>
      </c>
      <c r="AH140" s="64">
        <f>Valores!$B$4</f>
        <v>340</v>
      </c>
      <c r="AI140" s="64">
        <f>Valores!$B$25</f>
        <v>0</v>
      </c>
      <c r="AJ140" s="60">
        <v>0</v>
      </c>
      <c r="AK140" s="67">
        <f t="shared" si="21"/>
        <v>340</v>
      </c>
      <c r="AL140" s="62">
        <f t="shared" si="22"/>
        <v>5421.0454675</v>
      </c>
      <c r="AM140" s="68">
        <v>110</v>
      </c>
      <c r="AN140" s="69"/>
      <c r="AO140" s="69">
        <v>22</v>
      </c>
      <c r="AP140" s="20" t="s">
        <v>487</v>
      </c>
    </row>
    <row r="141" spans="2:42" s="20" customFormat="1" ht="11.25" customHeight="1" thickTop="1">
      <c r="B141" s="20">
        <v>141</v>
      </c>
      <c r="D141" s="20" t="s">
        <v>273</v>
      </c>
      <c r="F141" s="21" t="s">
        <v>274</v>
      </c>
      <c r="G141" s="28">
        <v>1278</v>
      </c>
      <c r="H141" s="15">
        <f>G141*Valores!$B$2</f>
        <v>2966.2380000000003</v>
      </c>
      <c r="I141" s="24">
        <v>0</v>
      </c>
      <c r="J141" s="15">
        <f>I141*Valores!$B$2</f>
        <v>0</v>
      </c>
      <c r="K141" s="27">
        <v>0</v>
      </c>
      <c r="L141" s="15">
        <f>K141*Valores!$B$2</f>
        <v>0</v>
      </c>
      <c r="M141" s="27">
        <v>0</v>
      </c>
      <c r="N141" s="15">
        <f>M141*Valores!$B$2</f>
        <v>0</v>
      </c>
      <c r="O141" s="15">
        <f t="shared" si="23"/>
        <v>553.6857</v>
      </c>
      <c r="P141" s="15">
        <f t="shared" si="17"/>
        <v>0</v>
      </c>
      <c r="Q141" s="17">
        <f>Valores!$B$18</f>
        <v>1015</v>
      </c>
      <c r="R141" s="17">
        <f>Valores!$C$6</f>
        <v>1038.184</v>
      </c>
      <c r="S141" s="15">
        <v>0</v>
      </c>
      <c r="T141" s="26">
        <f>Valores!$B$21</f>
        <v>725</v>
      </c>
      <c r="U141" s="15">
        <f t="shared" si="18"/>
        <v>725</v>
      </c>
      <c r="V141" s="15">
        <v>0</v>
      </c>
      <c r="W141" s="15">
        <v>0</v>
      </c>
      <c r="X141" s="24">
        <v>0</v>
      </c>
      <c r="Y141" s="15">
        <f>X141*Valores!$B$2</f>
        <v>0</v>
      </c>
      <c r="Z141" s="15">
        <v>0</v>
      </c>
      <c r="AA141" s="39">
        <v>129.04</v>
      </c>
      <c r="AB141" s="15">
        <f t="shared" si="19"/>
        <v>0</v>
      </c>
      <c r="AC141" s="15">
        <v>129.04</v>
      </c>
      <c r="AD141" s="16">
        <v>0</v>
      </c>
      <c r="AE141" s="15">
        <f>AD141*Valores!$B$2</f>
        <v>0</v>
      </c>
      <c r="AF141" s="31">
        <f t="shared" si="20"/>
        <v>6556.1877</v>
      </c>
      <c r="AG141" s="15">
        <v>0</v>
      </c>
      <c r="AH141" s="15">
        <v>0</v>
      </c>
      <c r="AI141" s="15">
        <f>Valores!$B$25</f>
        <v>0</v>
      </c>
      <c r="AJ141" s="15">
        <v>0</v>
      </c>
      <c r="AK141" s="25">
        <f t="shared" si="21"/>
        <v>0</v>
      </c>
      <c r="AL141" s="17">
        <f t="shared" si="22"/>
        <v>5081.0454675</v>
      </c>
      <c r="AM141" s="43"/>
      <c r="AN141" s="56"/>
      <c r="AO141" s="56"/>
      <c r="AP141" s="20" t="s">
        <v>486</v>
      </c>
    </row>
    <row r="142" spans="2:42" s="20" customFormat="1" ht="11.25" customHeight="1">
      <c r="B142" s="20">
        <v>142</v>
      </c>
      <c r="D142" s="20" t="s">
        <v>275</v>
      </c>
      <c r="F142" s="21" t="s">
        <v>276</v>
      </c>
      <c r="G142" s="28">
        <v>1278</v>
      </c>
      <c r="H142" s="15">
        <f>G142*Valores!$B$2</f>
        <v>2966.2380000000003</v>
      </c>
      <c r="I142" s="24">
        <v>0</v>
      </c>
      <c r="J142" s="15">
        <f>I142*Valores!$B$2</f>
        <v>0</v>
      </c>
      <c r="K142" s="27">
        <v>0</v>
      </c>
      <c r="L142" s="15">
        <f>K142*Valores!$B$2</f>
        <v>0</v>
      </c>
      <c r="M142" s="27">
        <v>0</v>
      </c>
      <c r="N142" s="15">
        <f>M142*Valores!$B$2</f>
        <v>0</v>
      </c>
      <c r="O142" s="15">
        <f t="shared" si="23"/>
        <v>553.6857</v>
      </c>
      <c r="P142" s="15">
        <f t="shared" si="17"/>
        <v>0</v>
      </c>
      <c r="Q142" s="17">
        <f>Valores!$B$18</f>
        <v>1015</v>
      </c>
      <c r="R142" s="17">
        <f>Valores!$C$6</f>
        <v>1038.184</v>
      </c>
      <c r="S142" s="15">
        <v>0</v>
      </c>
      <c r="T142" s="26">
        <f>Valores!$B$21</f>
        <v>725</v>
      </c>
      <c r="U142" s="15">
        <f t="shared" si="18"/>
        <v>725</v>
      </c>
      <c r="V142" s="15">
        <v>0</v>
      </c>
      <c r="W142" s="15">
        <v>0</v>
      </c>
      <c r="X142" s="24">
        <v>0</v>
      </c>
      <c r="Y142" s="15">
        <f>X142*Valores!$B$2</f>
        <v>0</v>
      </c>
      <c r="Z142" s="15">
        <v>0</v>
      </c>
      <c r="AA142" s="39">
        <v>129.04</v>
      </c>
      <c r="AB142" s="15">
        <f t="shared" si="19"/>
        <v>0</v>
      </c>
      <c r="AC142" s="15">
        <v>129.04</v>
      </c>
      <c r="AD142" s="16">
        <v>0</v>
      </c>
      <c r="AE142" s="15">
        <f>AD142*Valores!$B$2</f>
        <v>0</v>
      </c>
      <c r="AF142" s="31">
        <f t="shared" si="20"/>
        <v>6556.1877</v>
      </c>
      <c r="AG142" s="15">
        <v>0</v>
      </c>
      <c r="AH142" s="15">
        <v>0</v>
      </c>
      <c r="AI142" s="15">
        <f>Valores!$B$25</f>
        <v>0</v>
      </c>
      <c r="AJ142" s="15">
        <v>0</v>
      </c>
      <c r="AK142" s="25">
        <f t="shared" si="21"/>
        <v>0</v>
      </c>
      <c r="AL142" s="17">
        <f t="shared" si="22"/>
        <v>5081.0454675</v>
      </c>
      <c r="AM142" s="43"/>
      <c r="AN142" s="56"/>
      <c r="AO142" s="56"/>
      <c r="AP142" s="20" t="s">
        <v>486</v>
      </c>
    </row>
    <row r="143" spans="2:42" s="20" customFormat="1" ht="11.25" customHeight="1">
      <c r="B143" s="20">
        <v>143</v>
      </c>
      <c r="D143" s="20" t="s">
        <v>277</v>
      </c>
      <c r="F143" s="21" t="s">
        <v>278</v>
      </c>
      <c r="G143" s="28">
        <v>1060</v>
      </c>
      <c r="H143" s="15">
        <f>G143*Valores!$B$2</f>
        <v>2460.26</v>
      </c>
      <c r="I143" s="24">
        <v>0</v>
      </c>
      <c r="J143" s="15">
        <f>I143*Valores!$B$2</f>
        <v>0</v>
      </c>
      <c r="K143" s="27">
        <v>0</v>
      </c>
      <c r="L143" s="15">
        <f>K143*Valores!$B$2</f>
        <v>0</v>
      </c>
      <c r="M143" s="27">
        <v>0</v>
      </c>
      <c r="N143" s="15">
        <f>M143*Valores!$B$2</f>
        <v>0</v>
      </c>
      <c r="O143" s="15">
        <f t="shared" si="23"/>
        <v>482.289</v>
      </c>
      <c r="P143" s="15">
        <f t="shared" si="17"/>
        <v>0</v>
      </c>
      <c r="Q143" s="17">
        <f>Valores!$B$18</f>
        <v>1015</v>
      </c>
      <c r="R143" s="17">
        <f>Valores!$C$6</f>
        <v>1038.184</v>
      </c>
      <c r="S143" s="17">
        <f>Valores!$B$23</f>
        <v>870</v>
      </c>
      <c r="T143" s="15">
        <f>Valores!$B$20</f>
        <v>755</v>
      </c>
      <c r="U143" s="15">
        <f t="shared" si="18"/>
        <v>755</v>
      </c>
      <c r="V143" s="15">
        <v>0</v>
      </c>
      <c r="W143" s="15">
        <v>0</v>
      </c>
      <c r="X143" s="24">
        <v>0</v>
      </c>
      <c r="Y143" s="15">
        <f>X143*Valores!$B$2</f>
        <v>0</v>
      </c>
      <c r="Z143" s="15">
        <v>0</v>
      </c>
      <c r="AA143" s="39">
        <v>129.04</v>
      </c>
      <c r="AB143" s="15">
        <f t="shared" si="19"/>
        <v>0</v>
      </c>
      <c r="AC143" s="15">
        <v>129.04</v>
      </c>
      <c r="AD143" s="16">
        <v>0</v>
      </c>
      <c r="AE143" s="15">
        <f>AD143*Valores!$B$2</f>
        <v>0</v>
      </c>
      <c r="AF143" s="31">
        <f t="shared" si="20"/>
        <v>6878.813</v>
      </c>
      <c r="AG143" s="17">
        <f>$AG$135</f>
        <v>3730.3538500000004</v>
      </c>
      <c r="AH143" s="39">
        <v>0</v>
      </c>
      <c r="AI143" s="15">
        <f>Valores!$B$25</f>
        <v>0</v>
      </c>
      <c r="AJ143" s="15">
        <v>0</v>
      </c>
      <c r="AK143" s="25">
        <f t="shared" si="21"/>
        <v>0</v>
      </c>
      <c r="AL143" s="17">
        <f t="shared" si="22"/>
        <v>5331.080075</v>
      </c>
      <c r="AM143" s="43">
        <v>110</v>
      </c>
      <c r="AN143" s="56"/>
      <c r="AO143" s="56">
        <v>22</v>
      </c>
      <c r="AP143" s="20" t="s">
        <v>487</v>
      </c>
    </row>
    <row r="144" spans="2:42" s="20" customFormat="1" ht="11.25" customHeight="1">
      <c r="B144" s="20">
        <v>144</v>
      </c>
      <c r="D144" s="20" t="s">
        <v>279</v>
      </c>
      <c r="F144" s="21" t="s">
        <v>280</v>
      </c>
      <c r="G144" s="28">
        <v>1278</v>
      </c>
      <c r="H144" s="15">
        <f>G144*Valores!$B$2</f>
        <v>2966.2380000000003</v>
      </c>
      <c r="I144" s="24">
        <v>0</v>
      </c>
      <c r="J144" s="15">
        <f>I144*Valores!$B$2</f>
        <v>0</v>
      </c>
      <c r="K144" s="27">
        <v>0</v>
      </c>
      <c r="L144" s="15">
        <f>K144*Valores!$B$2</f>
        <v>0</v>
      </c>
      <c r="M144" s="27">
        <v>0</v>
      </c>
      <c r="N144" s="15">
        <f>M144*Valores!$B$2</f>
        <v>0</v>
      </c>
      <c r="O144" s="15">
        <f t="shared" si="23"/>
        <v>553.6857</v>
      </c>
      <c r="P144" s="15">
        <f t="shared" si="17"/>
        <v>0</v>
      </c>
      <c r="Q144" s="17">
        <f>Valores!$B$18</f>
        <v>1015</v>
      </c>
      <c r="R144" s="17">
        <f>Valores!$C$6</f>
        <v>1038.184</v>
      </c>
      <c r="S144" s="17">
        <f>Valores!$B$23</f>
        <v>870</v>
      </c>
      <c r="T144" s="26">
        <f>Valores!$B$21</f>
        <v>725</v>
      </c>
      <c r="U144" s="15">
        <f t="shared" si="18"/>
        <v>725</v>
      </c>
      <c r="V144" s="15">
        <v>0</v>
      </c>
      <c r="W144" s="15">
        <v>0</v>
      </c>
      <c r="X144" s="24">
        <v>0</v>
      </c>
      <c r="Y144" s="15">
        <f>X144*Valores!$B$2</f>
        <v>0</v>
      </c>
      <c r="Z144" s="15">
        <v>0</v>
      </c>
      <c r="AA144" s="39">
        <v>129.04</v>
      </c>
      <c r="AB144" s="15">
        <f t="shared" si="19"/>
        <v>0</v>
      </c>
      <c r="AC144" s="15">
        <v>129.04</v>
      </c>
      <c r="AD144" s="16">
        <v>0</v>
      </c>
      <c r="AE144" s="15">
        <f>AD144*Valores!$B$2</f>
        <v>0</v>
      </c>
      <c r="AF144" s="31">
        <f t="shared" si="20"/>
        <v>7426.1877</v>
      </c>
      <c r="AG144" s="15">
        <v>0</v>
      </c>
      <c r="AH144" s="39">
        <v>0</v>
      </c>
      <c r="AI144" s="15">
        <f>Valores!$B$25</f>
        <v>0</v>
      </c>
      <c r="AJ144" s="15">
        <v>0</v>
      </c>
      <c r="AK144" s="25">
        <f t="shared" si="21"/>
        <v>0</v>
      </c>
      <c r="AL144" s="17">
        <f t="shared" si="22"/>
        <v>5755.2954675</v>
      </c>
      <c r="AM144" s="43"/>
      <c r="AN144" s="56"/>
      <c r="AO144" s="56">
        <v>22</v>
      </c>
      <c r="AP144" s="20" t="s">
        <v>487</v>
      </c>
    </row>
    <row r="145" spans="2:42" s="20" customFormat="1" ht="11.25" customHeight="1" thickBot="1">
      <c r="B145" s="20">
        <v>145</v>
      </c>
      <c r="C145" s="20" t="s">
        <v>478</v>
      </c>
      <c r="D145" s="57" t="s">
        <v>281</v>
      </c>
      <c r="E145" s="57"/>
      <c r="F145" s="58" t="s">
        <v>282</v>
      </c>
      <c r="G145" s="59">
        <v>1278</v>
      </c>
      <c r="H145" s="60">
        <f>G145*Valores!$B$2</f>
        <v>2966.2380000000003</v>
      </c>
      <c r="I145" s="63">
        <v>0</v>
      </c>
      <c r="J145" s="60">
        <f>I145*Valores!$B$2</f>
        <v>0</v>
      </c>
      <c r="K145" s="70">
        <v>0</v>
      </c>
      <c r="L145" s="60">
        <f>K145*Valores!$B$2</f>
        <v>0</v>
      </c>
      <c r="M145" s="70">
        <v>0</v>
      </c>
      <c r="N145" s="60">
        <f>M145*Valores!$B$2</f>
        <v>0</v>
      </c>
      <c r="O145" s="60">
        <f t="shared" si="23"/>
        <v>558.1857</v>
      </c>
      <c r="P145" s="60">
        <f t="shared" si="17"/>
        <v>0</v>
      </c>
      <c r="Q145" s="62">
        <f>Valores!$B$18</f>
        <v>1015</v>
      </c>
      <c r="R145" s="62">
        <f>Valores!$C$6</f>
        <v>1038.184</v>
      </c>
      <c r="S145" s="60">
        <f>Valores!$B$23</f>
        <v>870</v>
      </c>
      <c r="T145" s="60">
        <f>Valores!$B$20</f>
        <v>755</v>
      </c>
      <c r="U145" s="60">
        <f t="shared" si="18"/>
        <v>755</v>
      </c>
      <c r="V145" s="60">
        <v>0</v>
      </c>
      <c r="W145" s="60">
        <v>0</v>
      </c>
      <c r="X145" s="63">
        <v>0</v>
      </c>
      <c r="Y145" s="60">
        <f>X145*Valores!$B$2</f>
        <v>0</v>
      </c>
      <c r="Z145" s="60">
        <v>0</v>
      </c>
      <c r="AA145" s="64">
        <v>129.04</v>
      </c>
      <c r="AB145" s="60">
        <f t="shared" si="19"/>
        <v>0</v>
      </c>
      <c r="AC145" s="60">
        <v>129.04</v>
      </c>
      <c r="AD145" s="65">
        <v>0</v>
      </c>
      <c r="AE145" s="60">
        <f>AD145*Valores!$B$2</f>
        <v>0</v>
      </c>
      <c r="AF145" s="66">
        <f t="shared" si="20"/>
        <v>7460.6877</v>
      </c>
      <c r="AG145" s="60">
        <v>0</v>
      </c>
      <c r="AH145" s="64">
        <f>Valores!$B$4</f>
        <v>340</v>
      </c>
      <c r="AI145" s="64">
        <f>Valores!$B$25</f>
        <v>0</v>
      </c>
      <c r="AJ145" s="60">
        <v>0</v>
      </c>
      <c r="AK145" s="67">
        <f t="shared" si="21"/>
        <v>340</v>
      </c>
      <c r="AL145" s="62">
        <f t="shared" si="22"/>
        <v>6122.0329675</v>
      </c>
      <c r="AM145" s="68"/>
      <c r="AN145" s="69"/>
      <c r="AO145" s="69"/>
      <c r="AP145" s="20" t="s">
        <v>487</v>
      </c>
    </row>
    <row r="146" spans="2:42" s="20" customFormat="1" ht="11.25" customHeight="1" thickTop="1">
      <c r="B146" s="20">
        <v>146</v>
      </c>
      <c r="D146" s="20" t="s">
        <v>283</v>
      </c>
      <c r="F146" s="21" t="s">
        <v>284</v>
      </c>
      <c r="G146" s="28">
        <v>1065</v>
      </c>
      <c r="H146" s="15">
        <f>G146*Valores!$B$2</f>
        <v>2471.8650000000002</v>
      </c>
      <c r="I146" s="24">
        <v>0</v>
      </c>
      <c r="J146" s="15">
        <f>I146*Valores!$B$2</f>
        <v>0</v>
      </c>
      <c r="K146" s="27">
        <v>0</v>
      </c>
      <c r="L146" s="15">
        <f>K146*Valores!$B$2</f>
        <v>0</v>
      </c>
      <c r="M146" s="27">
        <v>0</v>
      </c>
      <c r="N146" s="15">
        <f>M146*Valores!$B$2</f>
        <v>0</v>
      </c>
      <c r="O146" s="15">
        <f t="shared" si="23"/>
        <v>479.52975000000004</v>
      </c>
      <c r="P146" s="15">
        <f t="shared" si="17"/>
        <v>0</v>
      </c>
      <c r="Q146" s="17">
        <f>Valores!$B$18</f>
        <v>1015</v>
      </c>
      <c r="R146" s="17">
        <f>Valores!$C$6</f>
        <v>1038.184</v>
      </c>
      <c r="S146" s="15">
        <v>0</v>
      </c>
      <c r="T146" s="26">
        <f>Valores!$B$21</f>
        <v>725</v>
      </c>
      <c r="U146" s="15">
        <f t="shared" si="18"/>
        <v>725</v>
      </c>
      <c r="V146" s="15">
        <v>0</v>
      </c>
      <c r="W146" s="15">
        <v>0</v>
      </c>
      <c r="X146" s="24">
        <v>0</v>
      </c>
      <c r="Y146" s="15">
        <f>X146*Valores!$B$2</f>
        <v>0</v>
      </c>
      <c r="Z146" s="15">
        <v>0</v>
      </c>
      <c r="AA146" s="39">
        <v>129.04</v>
      </c>
      <c r="AB146" s="15">
        <f t="shared" si="19"/>
        <v>0</v>
      </c>
      <c r="AC146" s="15">
        <v>129.04</v>
      </c>
      <c r="AD146" s="16">
        <v>0</v>
      </c>
      <c r="AE146" s="15">
        <f>AD146*Valores!$B$2</f>
        <v>0</v>
      </c>
      <c r="AF146" s="31">
        <f t="shared" si="20"/>
        <v>5987.6587500000005</v>
      </c>
      <c r="AG146" s="15">
        <v>0</v>
      </c>
      <c r="AH146" s="39">
        <f>Valores!$B$4</f>
        <v>340</v>
      </c>
      <c r="AI146" s="15">
        <f>Valores!$B$25</f>
        <v>0</v>
      </c>
      <c r="AJ146" s="15">
        <v>0</v>
      </c>
      <c r="AK146" s="25">
        <f t="shared" si="21"/>
        <v>340</v>
      </c>
      <c r="AL146" s="17">
        <f t="shared" si="22"/>
        <v>4980.43553125</v>
      </c>
      <c r="AM146" s="43">
        <v>110</v>
      </c>
      <c r="AN146" s="56"/>
      <c r="AO146" s="56"/>
      <c r="AP146" s="20" t="s">
        <v>487</v>
      </c>
    </row>
    <row r="147" spans="2:42" s="20" customFormat="1" ht="11.25" customHeight="1">
      <c r="B147" s="20">
        <v>147</v>
      </c>
      <c r="D147" s="20" t="s">
        <v>285</v>
      </c>
      <c r="F147" s="21" t="s">
        <v>286</v>
      </c>
      <c r="G147" s="28">
        <v>947</v>
      </c>
      <c r="H147" s="15">
        <f>G147*Valores!$B$2</f>
        <v>2197.987</v>
      </c>
      <c r="I147" s="24">
        <v>0</v>
      </c>
      <c r="J147" s="15">
        <f>I147*Valores!$B$2</f>
        <v>0</v>
      </c>
      <c r="K147" s="27">
        <v>0</v>
      </c>
      <c r="L147" s="15">
        <f>K147*Valores!$B$2</f>
        <v>0</v>
      </c>
      <c r="M147" s="27">
        <v>0</v>
      </c>
      <c r="N147" s="15">
        <f>M147*Valores!$B$2</f>
        <v>0</v>
      </c>
      <c r="O147" s="15">
        <f t="shared" si="23"/>
        <v>438.44805</v>
      </c>
      <c r="P147" s="15">
        <f t="shared" si="17"/>
        <v>0</v>
      </c>
      <c r="Q147" s="17">
        <f>Valores!$B$18</f>
        <v>1015</v>
      </c>
      <c r="R147" s="17">
        <f>Valores!$C$6</f>
        <v>1038.184</v>
      </c>
      <c r="S147" s="15">
        <v>0</v>
      </c>
      <c r="T147" s="26">
        <f>Valores!$B$21</f>
        <v>725</v>
      </c>
      <c r="U147" s="15">
        <f t="shared" si="18"/>
        <v>725</v>
      </c>
      <c r="V147" s="15">
        <v>0</v>
      </c>
      <c r="W147" s="15">
        <v>0</v>
      </c>
      <c r="X147" s="24">
        <v>0</v>
      </c>
      <c r="Y147" s="15">
        <f>X147*Valores!$B$2</f>
        <v>0</v>
      </c>
      <c r="Z147" s="15">
        <v>0</v>
      </c>
      <c r="AA147" s="39">
        <v>129.04</v>
      </c>
      <c r="AB147" s="15">
        <f t="shared" si="19"/>
        <v>0</v>
      </c>
      <c r="AC147" s="15">
        <v>129.04</v>
      </c>
      <c r="AD147" s="16">
        <v>0</v>
      </c>
      <c r="AE147" s="15">
        <f>AD147*Valores!$B$2</f>
        <v>0</v>
      </c>
      <c r="AF147" s="31">
        <f t="shared" si="20"/>
        <v>5672.69905</v>
      </c>
      <c r="AG147" s="15">
        <v>0</v>
      </c>
      <c r="AH147" s="39">
        <f>Valores!$B$4</f>
        <v>340</v>
      </c>
      <c r="AI147" s="15">
        <f>Valores!$B$25</f>
        <v>0</v>
      </c>
      <c r="AJ147" s="15">
        <v>0</v>
      </c>
      <c r="AK147" s="25">
        <f t="shared" si="21"/>
        <v>340</v>
      </c>
      <c r="AL147" s="17">
        <f t="shared" si="22"/>
        <v>4736.341763750001</v>
      </c>
      <c r="AM147" s="43">
        <v>110</v>
      </c>
      <c r="AN147" s="56"/>
      <c r="AO147" s="56">
        <v>22</v>
      </c>
      <c r="AP147" s="20" t="s">
        <v>487</v>
      </c>
    </row>
    <row r="148" spans="2:42" s="20" customFormat="1" ht="11.25" customHeight="1">
      <c r="B148" s="20">
        <v>148</v>
      </c>
      <c r="D148" s="20" t="s">
        <v>287</v>
      </c>
      <c r="F148" s="21" t="s">
        <v>288</v>
      </c>
      <c r="G148" s="28">
        <v>1800</v>
      </c>
      <c r="H148" s="15">
        <f>G148*Valores!$B$2</f>
        <v>4177.8</v>
      </c>
      <c r="I148" s="24">
        <v>0</v>
      </c>
      <c r="J148" s="15">
        <f>I148*Valores!$B$2</f>
        <v>0</v>
      </c>
      <c r="K148" s="27">
        <v>0</v>
      </c>
      <c r="L148" s="15">
        <f>K148*Valores!$B$2</f>
        <v>0</v>
      </c>
      <c r="M148" s="27">
        <v>0</v>
      </c>
      <c r="N148" s="15">
        <f>M148*Valores!$B$2</f>
        <v>0</v>
      </c>
      <c r="O148" s="15">
        <f t="shared" si="23"/>
        <v>739.92</v>
      </c>
      <c r="P148" s="15">
        <f t="shared" si="17"/>
        <v>0</v>
      </c>
      <c r="Q148" s="17">
        <f>Valores!$B$12</f>
        <v>1165</v>
      </c>
      <c r="R148" s="17">
        <f>Valores!$C$6</f>
        <v>1038.184</v>
      </c>
      <c r="S148" s="17">
        <f>Valores!$B$23</f>
        <v>870</v>
      </c>
      <c r="T148" s="15">
        <f>Valores!$B$20</f>
        <v>755</v>
      </c>
      <c r="U148" s="15">
        <f t="shared" si="18"/>
        <v>755</v>
      </c>
      <c r="V148" s="15">
        <v>0</v>
      </c>
      <c r="W148" s="15">
        <v>0</v>
      </c>
      <c r="X148" s="24">
        <v>0</v>
      </c>
      <c r="Y148" s="15">
        <f>X148*Valores!$B$2</f>
        <v>0</v>
      </c>
      <c r="Z148" s="15">
        <v>0</v>
      </c>
      <c r="AA148" s="39">
        <v>129.04</v>
      </c>
      <c r="AB148" s="15">
        <f t="shared" si="19"/>
        <v>0</v>
      </c>
      <c r="AC148" s="15">
        <v>129.04</v>
      </c>
      <c r="AD148" s="16">
        <v>0</v>
      </c>
      <c r="AE148" s="15">
        <f>AD148*Valores!$B$2</f>
        <v>0</v>
      </c>
      <c r="AF148" s="31">
        <f t="shared" si="20"/>
        <v>9003.984000000002</v>
      </c>
      <c r="AG148" s="15">
        <v>0</v>
      </c>
      <c r="AH148" s="39">
        <f>Valores!$B$4</f>
        <v>340</v>
      </c>
      <c r="AI148" s="15">
        <f>Valores!$B$25</f>
        <v>0</v>
      </c>
      <c r="AJ148" s="15">
        <v>0</v>
      </c>
      <c r="AK148" s="25">
        <f t="shared" si="21"/>
        <v>340</v>
      </c>
      <c r="AL148" s="17">
        <f t="shared" si="22"/>
        <v>7318.087600000002</v>
      </c>
      <c r="AM148" s="43"/>
      <c r="AN148" s="56"/>
      <c r="AO148" s="56">
        <v>22</v>
      </c>
      <c r="AP148" s="20" t="s">
        <v>487</v>
      </c>
    </row>
    <row r="149" spans="2:42" s="20" customFormat="1" ht="11.25" customHeight="1">
      <c r="B149" s="20">
        <v>149</v>
      </c>
      <c r="D149" s="20" t="s">
        <v>289</v>
      </c>
      <c r="F149" s="21" t="s">
        <v>290</v>
      </c>
      <c r="G149" s="28">
        <v>1278</v>
      </c>
      <c r="H149" s="15">
        <f>G149*Valores!$B$2</f>
        <v>2966.2380000000003</v>
      </c>
      <c r="I149" s="24">
        <v>0</v>
      </c>
      <c r="J149" s="15">
        <f>I149*Valores!$B$2</f>
        <v>0</v>
      </c>
      <c r="K149" s="27">
        <v>0</v>
      </c>
      <c r="L149" s="15">
        <f>K149*Valores!$B$2</f>
        <v>0</v>
      </c>
      <c r="M149" s="27">
        <v>0</v>
      </c>
      <c r="N149" s="15">
        <f>M149*Valores!$B$2</f>
        <v>0</v>
      </c>
      <c r="O149" s="15">
        <f t="shared" si="23"/>
        <v>558.1857</v>
      </c>
      <c r="P149" s="15">
        <f t="shared" si="17"/>
        <v>0</v>
      </c>
      <c r="Q149" s="17">
        <f>Valores!$B$12</f>
        <v>1165</v>
      </c>
      <c r="R149" s="17">
        <f>Valores!$C$6</f>
        <v>1038.184</v>
      </c>
      <c r="S149" s="17">
        <f>Valores!$B$23</f>
        <v>870</v>
      </c>
      <c r="T149" s="15">
        <f>Valores!$B$20</f>
        <v>755</v>
      </c>
      <c r="U149" s="15">
        <f t="shared" si="18"/>
        <v>755</v>
      </c>
      <c r="V149" s="15">
        <v>0</v>
      </c>
      <c r="W149" s="15">
        <v>0</v>
      </c>
      <c r="X149" s="24">
        <v>0</v>
      </c>
      <c r="Y149" s="15">
        <f>X149*Valores!$B$2</f>
        <v>0</v>
      </c>
      <c r="Z149" s="15">
        <v>0</v>
      </c>
      <c r="AA149" s="39">
        <v>129.04</v>
      </c>
      <c r="AB149" s="15">
        <f t="shared" si="19"/>
        <v>0</v>
      </c>
      <c r="AC149" s="15">
        <v>129.04</v>
      </c>
      <c r="AD149" s="16">
        <v>0</v>
      </c>
      <c r="AE149" s="15">
        <f>AD149*Valores!$B$2</f>
        <v>0</v>
      </c>
      <c r="AF149" s="31">
        <f t="shared" si="20"/>
        <v>7610.6877</v>
      </c>
      <c r="AG149" s="15">
        <v>0</v>
      </c>
      <c r="AH149" s="39">
        <f>Valores!$B$4</f>
        <v>340</v>
      </c>
      <c r="AI149" s="15">
        <f>Valores!$B$25</f>
        <v>0</v>
      </c>
      <c r="AJ149" s="15">
        <v>0</v>
      </c>
      <c r="AK149" s="25">
        <f t="shared" si="21"/>
        <v>340</v>
      </c>
      <c r="AL149" s="17">
        <f t="shared" si="22"/>
        <v>6238.2829675</v>
      </c>
      <c r="AM149" s="43">
        <v>110</v>
      </c>
      <c r="AN149" s="56"/>
      <c r="AO149" s="56"/>
      <c r="AP149" s="20" t="s">
        <v>487</v>
      </c>
    </row>
    <row r="150" spans="2:42" s="20" customFormat="1" ht="11.25" customHeight="1" thickBot="1">
      <c r="B150" s="20">
        <v>150</v>
      </c>
      <c r="C150" s="20" t="s">
        <v>478</v>
      </c>
      <c r="D150" s="57" t="s">
        <v>291</v>
      </c>
      <c r="E150" s="57"/>
      <c r="F150" s="58" t="s">
        <v>292</v>
      </c>
      <c r="G150" s="59">
        <v>1214</v>
      </c>
      <c r="H150" s="60">
        <f>G150*Valores!$B$2</f>
        <v>2817.6940000000004</v>
      </c>
      <c r="I150" s="63">
        <v>0</v>
      </c>
      <c r="J150" s="60">
        <f>I150*Valores!$B$2</f>
        <v>0</v>
      </c>
      <c r="K150" s="70">
        <v>0</v>
      </c>
      <c r="L150" s="60">
        <f>K150*Valores!$B$2</f>
        <v>0</v>
      </c>
      <c r="M150" s="70">
        <v>0</v>
      </c>
      <c r="N150" s="60">
        <f>M150*Valores!$B$2</f>
        <v>0</v>
      </c>
      <c r="O150" s="60">
        <f t="shared" si="23"/>
        <v>535.9041000000001</v>
      </c>
      <c r="P150" s="60">
        <f t="shared" si="17"/>
        <v>0</v>
      </c>
      <c r="Q150" s="62">
        <f>Valores!$B$18</f>
        <v>1015</v>
      </c>
      <c r="R150" s="62">
        <f>Valores!$C$6</f>
        <v>1038.184</v>
      </c>
      <c r="S150" s="60">
        <f>Valores!$B$23</f>
        <v>870</v>
      </c>
      <c r="T150" s="60">
        <f>Valores!$B$20</f>
        <v>755</v>
      </c>
      <c r="U150" s="60">
        <f t="shared" si="18"/>
        <v>755</v>
      </c>
      <c r="V150" s="60">
        <v>0</v>
      </c>
      <c r="W150" s="60">
        <v>0</v>
      </c>
      <c r="X150" s="63">
        <v>0</v>
      </c>
      <c r="Y150" s="60">
        <f>X150*Valores!$B$2</f>
        <v>0</v>
      </c>
      <c r="Z150" s="60">
        <v>0</v>
      </c>
      <c r="AA150" s="64">
        <v>129.04</v>
      </c>
      <c r="AB150" s="60">
        <f t="shared" si="19"/>
        <v>0</v>
      </c>
      <c r="AC150" s="60">
        <v>129.04</v>
      </c>
      <c r="AD150" s="65">
        <v>0</v>
      </c>
      <c r="AE150" s="60">
        <f>AD150*Valores!$B$2</f>
        <v>0</v>
      </c>
      <c r="AF150" s="66">
        <f t="shared" si="20"/>
        <v>7289.862100000001</v>
      </c>
      <c r="AG150" s="60">
        <v>0</v>
      </c>
      <c r="AH150" s="64">
        <f>Valores!$B$4</f>
        <v>340</v>
      </c>
      <c r="AI150" s="64">
        <f>Valores!$B$25</f>
        <v>0</v>
      </c>
      <c r="AJ150" s="60">
        <v>0</v>
      </c>
      <c r="AK150" s="67">
        <f t="shared" si="21"/>
        <v>340</v>
      </c>
      <c r="AL150" s="62">
        <f t="shared" si="22"/>
        <v>5989.643127500001</v>
      </c>
      <c r="AM150" s="68"/>
      <c r="AN150" s="69"/>
      <c r="AO150" s="69">
        <v>22</v>
      </c>
      <c r="AP150" s="20" t="s">
        <v>487</v>
      </c>
    </row>
    <row r="151" spans="2:42" s="20" customFormat="1" ht="11.25" customHeight="1" thickTop="1">
      <c r="B151" s="20">
        <v>151</v>
      </c>
      <c r="D151" s="20" t="s">
        <v>293</v>
      </c>
      <c r="F151" s="21" t="s">
        <v>294</v>
      </c>
      <c r="G151" s="28">
        <f>1106+78</f>
        <v>1184</v>
      </c>
      <c r="H151" s="15">
        <f>G151*Valores!$B$2</f>
        <v>2748.0640000000003</v>
      </c>
      <c r="I151" s="24">
        <v>0</v>
      </c>
      <c r="J151" s="15">
        <f>I151*Valores!$B$2</f>
        <v>0</v>
      </c>
      <c r="K151" s="27">
        <v>0</v>
      </c>
      <c r="L151" s="15">
        <f>K151*Valores!$B$2</f>
        <v>0</v>
      </c>
      <c r="M151" s="27">
        <v>0</v>
      </c>
      <c r="N151" s="15">
        <f>M151*Valores!$B$2</f>
        <v>0</v>
      </c>
      <c r="O151" s="15">
        <f t="shared" si="23"/>
        <v>520.9596</v>
      </c>
      <c r="P151" s="15">
        <f t="shared" si="17"/>
        <v>0</v>
      </c>
      <c r="Q151" s="17">
        <f>Valores!$B$18</f>
        <v>1015</v>
      </c>
      <c r="R151" s="17">
        <f>Valores!$C$6</f>
        <v>1038.184</v>
      </c>
      <c r="S151" s="15">
        <v>0</v>
      </c>
      <c r="T151" s="26">
        <f>Valores!$B$21</f>
        <v>725</v>
      </c>
      <c r="U151" s="15">
        <f t="shared" si="18"/>
        <v>725</v>
      </c>
      <c r="V151" s="15">
        <v>0</v>
      </c>
      <c r="W151" s="15">
        <v>0</v>
      </c>
      <c r="X151" s="24">
        <v>0</v>
      </c>
      <c r="Y151" s="15">
        <f>X151*Valores!$B$2</f>
        <v>0</v>
      </c>
      <c r="Z151" s="15">
        <v>0</v>
      </c>
      <c r="AA151" s="39">
        <v>129.04</v>
      </c>
      <c r="AB151" s="15">
        <f t="shared" si="19"/>
        <v>0</v>
      </c>
      <c r="AC151" s="15">
        <v>129.04</v>
      </c>
      <c r="AD151" s="16">
        <v>0</v>
      </c>
      <c r="AE151" s="15">
        <f>AD151*Valores!$B$2</f>
        <v>0</v>
      </c>
      <c r="AF151" s="31">
        <f t="shared" si="20"/>
        <v>6305.287600000001</v>
      </c>
      <c r="AG151" s="15">
        <v>0</v>
      </c>
      <c r="AH151" s="39">
        <f>Valores!$B$4</f>
        <v>340</v>
      </c>
      <c r="AI151" s="15">
        <f>Valores!$B$25</f>
        <v>0</v>
      </c>
      <c r="AJ151" s="15">
        <v>0</v>
      </c>
      <c r="AK151" s="25">
        <f t="shared" si="21"/>
        <v>340</v>
      </c>
      <c r="AL151" s="17">
        <f t="shared" si="22"/>
        <v>5226.597890000001</v>
      </c>
      <c r="AM151" s="43"/>
      <c r="AN151" s="56"/>
      <c r="AO151" s="56">
        <v>22</v>
      </c>
      <c r="AP151" s="20" t="s">
        <v>486</v>
      </c>
    </row>
    <row r="152" spans="2:42" s="20" customFormat="1" ht="11.25" customHeight="1">
      <c r="B152" s="20">
        <v>152</v>
      </c>
      <c r="D152" s="20" t="s">
        <v>295</v>
      </c>
      <c r="F152" s="21" t="s">
        <v>296</v>
      </c>
      <c r="G152" s="28">
        <v>971</v>
      </c>
      <c r="H152" s="15">
        <f>G152*Valores!$B$2</f>
        <v>2253.6910000000003</v>
      </c>
      <c r="I152" s="24">
        <v>0</v>
      </c>
      <c r="J152" s="15">
        <f>I152*Valores!$B$2</f>
        <v>0</v>
      </c>
      <c r="K152" s="27">
        <v>0</v>
      </c>
      <c r="L152" s="15">
        <f>K152*Valores!$B$2</f>
        <v>0</v>
      </c>
      <c r="M152" s="27">
        <v>0</v>
      </c>
      <c r="N152" s="15">
        <f>M152*Valores!$B$2</f>
        <v>0</v>
      </c>
      <c r="O152" s="15">
        <f t="shared" si="23"/>
        <v>451.30365</v>
      </c>
      <c r="P152" s="15">
        <f t="shared" si="17"/>
        <v>0</v>
      </c>
      <c r="Q152" s="17">
        <f>Valores!$B$18</f>
        <v>1015</v>
      </c>
      <c r="R152" s="17">
        <f>Valores!$C$6</f>
        <v>1038.184</v>
      </c>
      <c r="S152" s="17">
        <f>Valores!$B$23</f>
        <v>870</v>
      </c>
      <c r="T152" s="15">
        <f>Valores!$B$20</f>
        <v>755</v>
      </c>
      <c r="U152" s="15">
        <f t="shared" si="18"/>
        <v>755</v>
      </c>
      <c r="V152" s="15">
        <v>0</v>
      </c>
      <c r="W152" s="15">
        <v>0</v>
      </c>
      <c r="X152" s="24">
        <v>0</v>
      </c>
      <c r="Y152" s="15">
        <f>X152*Valores!$B$2</f>
        <v>0</v>
      </c>
      <c r="Z152" s="15">
        <v>0</v>
      </c>
      <c r="AA152" s="39">
        <v>129.04</v>
      </c>
      <c r="AB152" s="15">
        <f t="shared" si="19"/>
        <v>0</v>
      </c>
      <c r="AC152" s="15">
        <v>129.04</v>
      </c>
      <c r="AD152" s="16">
        <v>0</v>
      </c>
      <c r="AE152" s="15">
        <f>AD152*Valores!$B$2</f>
        <v>0</v>
      </c>
      <c r="AF152" s="31">
        <f t="shared" si="20"/>
        <v>6641.25865</v>
      </c>
      <c r="AG152" s="17">
        <f>$AG$135</f>
        <v>3730.3538500000004</v>
      </c>
      <c r="AH152" s="39">
        <v>0</v>
      </c>
      <c r="AI152" s="15">
        <f>Valores!$B$25</f>
        <v>0</v>
      </c>
      <c r="AJ152" s="15">
        <v>0</v>
      </c>
      <c r="AK152" s="25">
        <f t="shared" si="21"/>
        <v>0</v>
      </c>
      <c r="AL152" s="17">
        <f t="shared" si="22"/>
        <v>5146.97545375</v>
      </c>
      <c r="AM152" s="43">
        <v>100.21</v>
      </c>
      <c r="AN152" s="56">
        <v>12</v>
      </c>
      <c r="AO152" s="56">
        <v>22</v>
      </c>
      <c r="AP152" s="20" t="s">
        <v>487</v>
      </c>
    </row>
    <row r="153" spans="2:42" s="20" customFormat="1" ht="11.25" customHeight="1">
      <c r="B153" s="20">
        <v>153</v>
      </c>
      <c r="D153" s="20" t="s">
        <v>295</v>
      </c>
      <c r="F153" s="21" t="s">
        <v>389</v>
      </c>
      <c r="G153" s="28">
        <v>971</v>
      </c>
      <c r="H153" s="15">
        <f>G153*Valores!$B$2</f>
        <v>2253.6910000000003</v>
      </c>
      <c r="I153" s="24">
        <v>0</v>
      </c>
      <c r="J153" s="15">
        <f>I153*Valores!$B$2</f>
        <v>0</v>
      </c>
      <c r="K153" s="27">
        <v>0</v>
      </c>
      <c r="L153" s="15">
        <f>K153*Valores!$B$2</f>
        <v>0</v>
      </c>
      <c r="M153" s="27">
        <v>0</v>
      </c>
      <c r="N153" s="15">
        <f>M153*Valores!$B$2</f>
        <v>0</v>
      </c>
      <c r="O153" s="15">
        <f t="shared" si="23"/>
        <v>567.58575</v>
      </c>
      <c r="P153" s="15">
        <f t="shared" si="17"/>
        <v>0</v>
      </c>
      <c r="Q153" s="17">
        <f>Valores!$B$18</f>
        <v>1015</v>
      </c>
      <c r="R153" s="17">
        <f>Valores!$C$6</f>
        <v>1038.184</v>
      </c>
      <c r="S153" s="17">
        <f>Valores!$B$23</f>
        <v>870</v>
      </c>
      <c r="T153" s="15">
        <f>Valores!$B$20</f>
        <v>755</v>
      </c>
      <c r="U153" s="15">
        <f t="shared" si="18"/>
        <v>755</v>
      </c>
      <c r="V153" s="15">
        <v>0</v>
      </c>
      <c r="W153" s="15">
        <v>0</v>
      </c>
      <c r="X153" s="28">
        <v>334</v>
      </c>
      <c r="Y153" s="15">
        <f>X153*Valores!$B$2</f>
        <v>775.214</v>
      </c>
      <c r="Z153" s="17">
        <f>SUM(L153,J153,H153)*Valores!$B$3</f>
        <v>338.05365</v>
      </c>
      <c r="AA153" s="39">
        <v>129.04</v>
      </c>
      <c r="AB153" s="15">
        <f t="shared" si="19"/>
        <v>0</v>
      </c>
      <c r="AC153" s="15">
        <v>129.04</v>
      </c>
      <c r="AD153" s="24">
        <v>94</v>
      </c>
      <c r="AE153" s="15">
        <f>AD153*Valores!$B$2</f>
        <v>218.174</v>
      </c>
      <c r="AF153" s="31">
        <f t="shared" si="20"/>
        <v>8088.9824</v>
      </c>
      <c r="AG153" s="17">
        <f>$AG$135</f>
        <v>3730.3538500000004</v>
      </c>
      <c r="AH153" s="39">
        <v>0</v>
      </c>
      <c r="AI153" s="15">
        <f>Valores!$B$25</f>
        <v>0</v>
      </c>
      <c r="AJ153" s="15">
        <v>0</v>
      </c>
      <c r="AK153" s="25">
        <f t="shared" si="21"/>
        <v>0</v>
      </c>
      <c r="AL153" s="17">
        <f t="shared" si="22"/>
        <v>6268.96136</v>
      </c>
      <c r="AM153" s="43">
        <v>100.21</v>
      </c>
      <c r="AN153" s="56">
        <v>12</v>
      </c>
      <c r="AO153" s="56">
        <v>22</v>
      </c>
      <c r="AP153" s="20" t="s">
        <v>487</v>
      </c>
    </row>
    <row r="154" spans="2:42" s="20" customFormat="1" ht="11.25" customHeight="1">
      <c r="B154" s="20">
        <v>154</v>
      </c>
      <c r="D154" s="20" t="s">
        <v>295</v>
      </c>
      <c r="F154" s="21" t="s">
        <v>480</v>
      </c>
      <c r="G154" s="28">
        <v>971</v>
      </c>
      <c r="H154" s="15">
        <f>G154*Valores!$B$2</f>
        <v>2253.6910000000003</v>
      </c>
      <c r="I154" s="24">
        <v>0</v>
      </c>
      <c r="J154" s="15">
        <f>I154*Valores!$B$2</f>
        <v>0</v>
      </c>
      <c r="K154" s="27">
        <v>0</v>
      </c>
      <c r="L154" s="15">
        <f>K154*Valores!$B$2</f>
        <v>0</v>
      </c>
      <c r="M154" s="27">
        <v>0</v>
      </c>
      <c r="N154" s="15">
        <f>M154*Valores!$B$2</f>
        <v>0</v>
      </c>
      <c r="O154" s="15">
        <f t="shared" si="23"/>
        <v>590.2155</v>
      </c>
      <c r="P154" s="15">
        <f t="shared" si="17"/>
        <v>0</v>
      </c>
      <c r="Q154" s="17">
        <f>Valores!$B$18</f>
        <v>1015</v>
      </c>
      <c r="R154" s="17">
        <f>Valores!$C$6</f>
        <v>1038.184</v>
      </c>
      <c r="S154" s="17">
        <f>Valores!$B$23</f>
        <v>870</v>
      </c>
      <c r="T154" s="15">
        <f>Valores!$B$20</f>
        <v>755</v>
      </c>
      <c r="U154" s="15">
        <f t="shared" si="18"/>
        <v>755</v>
      </c>
      <c r="V154" s="15">
        <v>0</v>
      </c>
      <c r="W154" s="15">
        <v>0</v>
      </c>
      <c r="X154" s="28">
        <v>399</v>
      </c>
      <c r="Y154" s="15">
        <f>X154*Valores!$B$2</f>
        <v>926.0790000000001</v>
      </c>
      <c r="Z154" s="17">
        <f>SUM(L154,J154,H154)*Valores!$B$3</f>
        <v>338.05365</v>
      </c>
      <c r="AA154" s="39">
        <v>129.04</v>
      </c>
      <c r="AB154" s="15">
        <f t="shared" si="19"/>
        <v>0</v>
      </c>
      <c r="AC154" s="15">
        <v>129.04</v>
      </c>
      <c r="AD154" s="24">
        <v>94</v>
      </c>
      <c r="AE154" s="15">
        <f>AD154*Valores!$B$2</f>
        <v>218.174</v>
      </c>
      <c r="AF154" s="31">
        <f t="shared" si="20"/>
        <v>8262.47715</v>
      </c>
      <c r="AG154" s="17">
        <f>$AG$135</f>
        <v>3730.3538500000004</v>
      </c>
      <c r="AH154" s="39">
        <v>0</v>
      </c>
      <c r="AI154" s="15">
        <f>Valores!$B$25</f>
        <v>0</v>
      </c>
      <c r="AJ154" s="15">
        <v>0</v>
      </c>
      <c r="AK154" s="25">
        <f>SUM(AH154:AJ154)</f>
        <v>0</v>
      </c>
      <c r="AL154" s="17">
        <f>(AF154*0.775)+AK154</f>
        <v>6403.41979125</v>
      </c>
      <c r="AM154" s="43">
        <v>100.21</v>
      </c>
      <c r="AN154" s="56">
        <v>12</v>
      </c>
      <c r="AO154" s="56">
        <v>22</v>
      </c>
      <c r="AP154" s="20" t="s">
        <v>487</v>
      </c>
    </row>
    <row r="155" spans="2:42" s="20" customFormat="1" ht="11.25" customHeight="1" thickBot="1">
      <c r="B155" s="20">
        <v>155</v>
      </c>
      <c r="D155" s="57" t="s">
        <v>297</v>
      </c>
      <c r="E155" s="57"/>
      <c r="F155" s="58" t="s">
        <v>298</v>
      </c>
      <c r="G155" s="59">
        <v>810</v>
      </c>
      <c r="H155" s="60">
        <f>G155*Valores!$B$2</f>
        <v>1880.0100000000002</v>
      </c>
      <c r="I155" s="63">
        <v>0</v>
      </c>
      <c r="J155" s="60">
        <f>I155*Valores!$B$2</f>
        <v>0</v>
      </c>
      <c r="K155" s="70">
        <v>0</v>
      </c>
      <c r="L155" s="60">
        <f>K155*Valores!$B$2</f>
        <v>0</v>
      </c>
      <c r="M155" s="70">
        <v>0</v>
      </c>
      <c r="N155" s="60">
        <f>M155*Valores!$B$2</f>
        <v>0</v>
      </c>
      <c r="O155" s="60">
        <f t="shared" si="23"/>
        <v>390.7515</v>
      </c>
      <c r="P155" s="60">
        <f t="shared" si="17"/>
        <v>0</v>
      </c>
      <c r="Q155" s="62">
        <f>Valores!$B$18</f>
        <v>1015</v>
      </c>
      <c r="R155" s="62">
        <f>Valores!$C$6</f>
        <v>1038.184</v>
      </c>
      <c r="S155" s="62">
        <f>Valores!$B$23</f>
        <v>870</v>
      </c>
      <c r="T155" s="71">
        <f>Valores!$B$21</f>
        <v>725</v>
      </c>
      <c r="U155" s="60">
        <f t="shared" si="18"/>
        <v>725</v>
      </c>
      <c r="V155" s="60">
        <v>0</v>
      </c>
      <c r="W155" s="60">
        <v>0</v>
      </c>
      <c r="X155" s="63">
        <v>0</v>
      </c>
      <c r="Y155" s="60">
        <f>X155*Valores!$B$2</f>
        <v>0</v>
      </c>
      <c r="Z155" s="60">
        <v>0</v>
      </c>
      <c r="AA155" s="64">
        <v>129.04</v>
      </c>
      <c r="AB155" s="60">
        <f t="shared" si="19"/>
        <v>0</v>
      </c>
      <c r="AC155" s="60">
        <v>129.04</v>
      </c>
      <c r="AD155" s="65">
        <v>0</v>
      </c>
      <c r="AE155" s="60">
        <f>AD155*Valores!$B$2</f>
        <v>0</v>
      </c>
      <c r="AF155" s="66">
        <f t="shared" si="20"/>
        <v>6177.0255</v>
      </c>
      <c r="AG155" s="60">
        <v>0</v>
      </c>
      <c r="AH155" s="64">
        <v>0</v>
      </c>
      <c r="AI155" s="64">
        <f>Valores!$B$25</f>
        <v>0</v>
      </c>
      <c r="AJ155" s="60">
        <v>0</v>
      </c>
      <c r="AK155" s="67">
        <f t="shared" si="21"/>
        <v>0</v>
      </c>
      <c r="AL155" s="62">
        <f t="shared" si="22"/>
        <v>4787.1947625</v>
      </c>
      <c r="AM155" s="68"/>
      <c r="AN155" s="69"/>
      <c r="AO155" s="69"/>
      <c r="AP155" s="20" t="s">
        <v>487</v>
      </c>
    </row>
    <row r="156" spans="2:42" s="20" customFormat="1" ht="11.25" customHeight="1" thickTop="1">
      <c r="B156" s="20">
        <v>156</v>
      </c>
      <c r="C156" s="20" t="s">
        <v>478</v>
      </c>
      <c r="D156" s="20" t="s">
        <v>299</v>
      </c>
      <c r="F156" s="21" t="s">
        <v>300</v>
      </c>
      <c r="G156" s="28">
        <v>1065</v>
      </c>
      <c r="H156" s="15">
        <f>G156*Valores!$B$2</f>
        <v>2471.8650000000002</v>
      </c>
      <c r="I156" s="24">
        <v>0</v>
      </c>
      <c r="J156" s="15">
        <f>I156*Valores!$B$2</f>
        <v>0</v>
      </c>
      <c r="K156" s="27">
        <v>0</v>
      </c>
      <c r="L156" s="15">
        <f>K156*Valores!$B$2</f>
        <v>0</v>
      </c>
      <c r="M156" s="27">
        <v>0</v>
      </c>
      <c r="N156" s="15">
        <f>M156*Valores!$B$2</f>
        <v>0</v>
      </c>
      <c r="O156" s="15">
        <f t="shared" si="23"/>
        <v>479.52975000000004</v>
      </c>
      <c r="P156" s="15">
        <f t="shared" si="17"/>
        <v>0</v>
      </c>
      <c r="Q156" s="17">
        <f>Valores!$B$18</f>
        <v>1015</v>
      </c>
      <c r="R156" s="17">
        <f>Valores!$C$6</f>
        <v>1038.184</v>
      </c>
      <c r="S156" s="15">
        <v>0</v>
      </c>
      <c r="T156" s="26">
        <f>Valores!$B$21</f>
        <v>725</v>
      </c>
      <c r="U156" s="15">
        <f t="shared" si="18"/>
        <v>725</v>
      </c>
      <c r="V156" s="15">
        <v>0</v>
      </c>
      <c r="W156" s="15">
        <v>0</v>
      </c>
      <c r="X156" s="24">
        <v>0</v>
      </c>
      <c r="Y156" s="15">
        <f>X156*Valores!$B$2</f>
        <v>0</v>
      </c>
      <c r="Z156" s="15">
        <v>0</v>
      </c>
      <c r="AA156" s="39">
        <v>129.04</v>
      </c>
      <c r="AB156" s="15">
        <f t="shared" si="19"/>
        <v>0</v>
      </c>
      <c r="AC156" s="15">
        <v>129.04</v>
      </c>
      <c r="AD156" s="16">
        <v>0</v>
      </c>
      <c r="AE156" s="15">
        <f>AD156*Valores!$B$2</f>
        <v>0</v>
      </c>
      <c r="AF156" s="31">
        <f t="shared" si="20"/>
        <v>5987.6587500000005</v>
      </c>
      <c r="AG156" s="15">
        <v>0</v>
      </c>
      <c r="AH156" s="39">
        <f>Valores!$B$4</f>
        <v>340</v>
      </c>
      <c r="AI156" s="15">
        <f>Valores!$B$25</f>
        <v>0</v>
      </c>
      <c r="AJ156" s="15">
        <v>0</v>
      </c>
      <c r="AK156" s="25">
        <f t="shared" si="21"/>
        <v>340</v>
      </c>
      <c r="AL156" s="17">
        <f t="shared" si="22"/>
        <v>4980.43553125</v>
      </c>
      <c r="AM156" s="43">
        <v>110</v>
      </c>
      <c r="AN156" s="56"/>
      <c r="AO156" s="56"/>
      <c r="AP156" s="20" t="s">
        <v>487</v>
      </c>
    </row>
    <row r="157" spans="2:42" s="20" customFormat="1" ht="11.25" customHeight="1">
      <c r="B157" s="20">
        <v>157</v>
      </c>
      <c r="D157" s="20" t="s">
        <v>299</v>
      </c>
      <c r="F157" s="21" t="s">
        <v>454</v>
      </c>
      <c r="G157" s="28">
        <v>1065</v>
      </c>
      <c r="H157" s="15">
        <f>G157*Valores!$B$2</f>
        <v>2471.8650000000002</v>
      </c>
      <c r="I157" s="24">
        <v>0</v>
      </c>
      <c r="J157" s="15">
        <f>I157*Valores!$B$2</f>
        <v>0</v>
      </c>
      <c r="K157" s="27">
        <v>0</v>
      </c>
      <c r="L157" s="15">
        <f>K157*Valores!$B$2</f>
        <v>0</v>
      </c>
      <c r="M157" s="27">
        <v>0</v>
      </c>
      <c r="N157" s="15">
        <f>M157*Valores!$B$2</f>
        <v>0</v>
      </c>
      <c r="O157" s="15">
        <f t="shared" si="23"/>
        <v>484.02975000000004</v>
      </c>
      <c r="P157" s="15">
        <f t="shared" si="17"/>
        <v>0</v>
      </c>
      <c r="Q157" s="17">
        <f>Valores!$B$18</f>
        <v>1015</v>
      </c>
      <c r="R157" s="17">
        <f>Valores!$C$6</f>
        <v>1038.184</v>
      </c>
      <c r="S157" s="17">
        <f>Valores!$B$23</f>
        <v>870</v>
      </c>
      <c r="T157" s="15">
        <f>Valores!$B$20</f>
        <v>755</v>
      </c>
      <c r="U157" s="15">
        <f t="shared" si="18"/>
        <v>755</v>
      </c>
      <c r="V157" s="15">
        <v>0</v>
      </c>
      <c r="W157" s="15">
        <v>0</v>
      </c>
      <c r="X157" s="24">
        <v>0</v>
      </c>
      <c r="Y157" s="15">
        <f>X157*Valores!$B$2</f>
        <v>0</v>
      </c>
      <c r="Z157" s="15">
        <v>0</v>
      </c>
      <c r="AA157" s="39">
        <v>129.04</v>
      </c>
      <c r="AB157" s="15">
        <f t="shared" si="19"/>
        <v>0</v>
      </c>
      <c r="AC157" s="15">
        <v>129.04</v>
      </c>
      <c r="AD157" s="24">
        <v>94</v>
      </c>
      <c r="AE157" s="15">
        <f>AD157*Valores!$B$2</f>
        <v>218.174</v>
      </c>
      <c r="AF157" s="31">
        <f t="shared" si="20"/>
        <v>7110.3327500000005</v>
      </c>
      <c r="AG157" s="15">
        <v>0</v>
      </c>
      <c r="AH157" s="39">
        <f>Valores!$B$4</f>
        <v>340</v>
      </c>
      <c r="AI157" s="15">
        <f>Valores!$B$25</f>
        <v>0</v>
      </c>
      <c r="AJ157" s="15">
        <v>0</v>
      </c>
      <c r="AK157" s="25">
        <f t="shared" si="21"/>
        <v>340</v>
      </c>
      <c r="AL157" s="17">
        <f t="shared" si="22"/>
        <v>5850.5078812500005</v>
      </c>
      <c r="AM157" s="43">
        <v>110</v>
      </c>
      <c r="AN157" s="56"/>
      <c r="AO157" s="56"/>
      <c r="AP157" s="20" t="s">
        <v>487</v>
      </c>
    </row>
    <row r="158" spans="2:42" s="20" customFormat="1" ht="11.25" customHeight="1">
      <c r="B158" s="20">
        <v>158</v>
      </c>
      <c r="D158" s="20" t="s">
        <v>301</v>
      </c>
      <c r="F158" s="21" t="s">
        <v>302</v>
      </c>
      <c r="G158" s="28">
        <v>98</v>
      </c>
      <c r="H158" s="15">
        <f>G158*Valores!$B$2</f>
        <v>227.45800000000003</v>
      </c>
      <c r="I158" s="24">
        <v>2686</v>
      </c>
      <c r="J158" s="15">
        <f>I158*Valores!$B$2</f>
        <v>6234.206</v>
      </c>
      <c r="K158" s="27">
        <v>0</v>
      </c>
      <c r="L158" s="15">
        <f>K158*Valores!$B$2</f>
        <v>0</v>
      </c>
      <c r="M158" s="27">
        <v>0</v>
      </c>
      <c r="N158" s="15">
        <f>M158*Valores!$B$2</f>
        <v>0</v>
      </c>
      <c r="O158" s="15">
        <f t="shared" si="23"/>
        <v>1287.55995</v>
      </c>
      <c r="P158" s="15">
        <f t="shared" si="17"/>
        <v>0</v>
      </c>
      <c r="Q158" s="83">
        <f>Valores!$B$12</f>
        <v>1165</v>
      </c>
      <c r="R158" s="17">
        <f>Valores!$C$6</f>
        <v>1038.184</v>
      </c>
      <c r="S158" s="17">
        <f>Valores!$B$23</f>
        <v>870</v>
      </c>
      <c r="T158" s="15">
        <f>Valores!$B$20</f>
        <v>755</v>
      </c>
      <c r="U158" s="15">
        <f t="shared" si="18"/>
        <v>755</v>
      </c>
      <c r="V158" s="15">
        <v>0</v>
      </c>
      <c r="W158" s="15">
        <v>0</v>
      </c>
      <c r="X158" s="28">
        <v>589</v>
      </c>
      <c r="Y158" s="15">
        <f>X158*Valores!$B$2</f>
        <v>1367.0690000000002</v>
      </c>
      <c r="Z158" s="17">
        <f>SUM(L158,J158,H158)*Valores!$B$3</f>
        <v>969.2495999999999</v>
      </c>
      <c r="AA158" s="39">
        <v>129.04</v>
      </c>
      <c r="AB158" s="15">
        <f t="shared" si="19"/>
        <v>0</v>
      </c>
      <c r="AC158" s="15">
        <v>129.04</v>
      </c>
      <c r="AD158" s="24">
        <v>94</v>
      </c>
      <c r="AE158" s="15">
        <f>AD158*Valores!$B$2</f>
        <v>218.174</v>
      </c>
      <c r="AF158" s="31">
        <f t="shared" si="20"/>
        <v>14389.98055</v>
      </c>
      <c r="AG158" s="15">
        <v>0</v>
      </c>
      <c r="AH158" s="39">
        <f>Valores!$B$4</f>
        <v>340</v>
      </c>
      <c r="AI158" s="15">
        <f>Valores!$B$25</f>
        <v>0</v>
      </c>
      <c r="AJ158" s="15">
        <v>0</v>
      </c>
      <c r="AK158" s="25">
        <f t="shared" si="21"/>
        <v>340</v>
      </c>
      <c r="AL158" s="17">
        <f t="shared" si="22"/>
        <v>11492.234926250001</v>
      </c>
      <c r="AM158" s="43"/>
      <c r="AN158" s="56"/>
      <c r="AO158" s="56"/>
      <c r="AP158" s="20" t="s">
        <v>487</v>
      </c>
    </row>
    <row r="159" spans="2:42" s="20" customFormat="1" ht="11.25" customHeight="1">
      <c r="B159" s="20">
        <v>159</v>
      </c>
      <c r="D159" s="20" t="s">
        <v>303</v>
      </c>
      <c r="F159" s="21" t="s">
        <v>304</v>
      </c>
      <c r="G159" s="28">
        <v>93</v>
      </c>
      <c r="H159" s="15">
        <f>G159*Valores!$B$2</f>
        <v>215.853</v>
      </c>
      <c r="I159" s="28">
        <v>2547</v>
      </c>
      <c r="J159" s="15">
        <f>I159*Valores!$B$2</f>
        <v>5911.587</v>
      </c>
      <c r="K159" s="27">
        <v>0</v>
      </c>
      <c r="L159" s="15">
        <f>K159*Valores!$B$2</f>
        <v>0</v>
      </c>
      <c r="M159" s="27">
        <v>0</v>
      </c>
      <c r="N159" s="15">
        <f>M159*Valores!$B$2</f>
        <v>0</v>
      </c>
      <c r="O159" s="15">
        <f t="shared" si="23"/>
        <v>1237.4263500000002</v>
      </c>
      <c r="P159" s="15">
        <f t="shared" si="17"/>
        <v>0</v>
      </c>
      <c r="Q159" s="83">
        <f>Valores!$B$18</f>
        <v>1015</v>
      </c>
      <c r="R159" s="17">
        <f>Valores!$C$6</f>
        <v>1038.184</v>
      </c>
      <c r="S159" s="17">
        <f>Valores!$B$23</f>
        <v>870</v>
      </c>
      <c r="T159" s="15">
        <f>Valores!$B$20</f>
        <v>755</v>
      </c>
      <c r="U159" s="15">
        <f t="shared" si="18"/>
        <v>755</v>
      </c>
      <c r="V159" s="15">
        <v>0</v>
      </c>
      <c r="W159" s="15">
        <v>0</v>
      </c>
      <c r="X159" s="28">
        <v>589</v>
      </c>
      <c r="Y159" s="15">
        <f>X159*Valores!$B$2</f>
        <v>1367.0690000000002</v>
      </c>
      <c r="Z159" s="17">
        <f>SUM(L159,J159,H159)*Valores!$B$3</f>
        <v>919.1160000000001</v>
      </c>
      <c r="AA159" s="39">
        <v>129.04</v>
      </c>
      <c r="AB159" s="15">
        <f t="shared" si="19"/>
        <v>0</v>
      </c>
      <c r="AC159" s="15">
        <v>129.04</v>
      </c>
      <c r="AD159" s="24">
        <v>94</v>
      </c>
      <c r="AE159" s="15">
        <f>AD159*Valores!$B$2</f>
        <v>218.174</v>
      </c>
      <c r="AF159" s="31">
        <f t="shared" si="20"/>
        <v>13805.489350000002</v>
      </c>
      <c r="AG159" s="15">
        <v>0</v>
      </c>
      <c r="AH159" s="39">
        <f>Valores!$B$4</f>
        <v>340</v>
      </c>
      <c r="AI159" s="15">
        <f>Valores!$B$25</f>
        <v>0</v>
      </c>
      <c r="AJ159" s="15">
        <v>0</v>
      </c>
      <c r="AK159" s="25">
        <f t="shared" si="21"/>
        <v>340</v>
      </c>
      <c r="AL159" s="17">
        <f t="shared" si="22"/>
        <v>11039.254246250002</v>
      </c>
      <c r="AM159" s="43"/>
      <c r="AN159" s="56"/>
      <c r="AO159" s="56"/>
      <c r="AP159" s="20" t="s">
        <v>487</v>
      </c>
    </row>
    <row r="160" spans="2:42" s="20" customFormat="1" ht="11.25" customHeight="1" thickBot="1">
      <c r="B160" s="20">
        <v>160</v>
      </c>
      <c r="D160" s="57" t="s">
        <v>305</v>
      </c>
      <c r="E160" s="57"/>
      <c r="F160" s="58" t="s">
        <v>306</v>
      </c>
      <c r="G160" s="59">
        <v>89</v>
      </c>
      <c r="H160" s="60">
        <f>G160*Valores!$B$2</f>
        <v>206.56900000000002</v>
      </c>
      <c r="I160" s="63">
        <v>2251</v>
      </c>
      <c r="J160" s="60">
        <f>I160*Valores!$B$2</f>
        <v>5224.571000000001</v>
      </c>
      <c r="K160" s="70">
        <v>0</v>
      </c>
      <c r="L160" s="60">
        <f>K160*Valores!$B$2</f>
        <v>0</v>
      </c>
      <c r="M160" s="70">
        <v>0</v>
      </c>
      <c r="N160" s="60">
        <f>M160*Valores!$B$2</f>
        <v>0</v>
      </c>
      <c r="O160" s="60">
        <f t="shared" si="23"/>
        <v>1132.9813500000002</v>
      </c>
      <c r="P160" s="60">
        <f t="shared" si="17"/>
        <v>0</v>
      </c>
      <c r="Q160" s="84">
        <f>Valores!$B$18</f>
        <v>1015</v>
      </c>
      <c r="R160" s="62">
        <f>Valores!$C$6</f>
        <v>1038.184</v>
      </c>
      <c r="S160" s="62">
        <f>Valores!$B$23</f>
        <v>870</v>
      </c>
      <c r="T160" s="60">
        <f>Valores!$B$20</f>
        <v>755</v>
      </c>
      <c r="U160" s="60">
        <f t="shared" si="18"/>
        <v>755</v>
      </c>
      <c r="V160" s="60">
        <v>0</v>
      </c>
      <c r="W160" s="60">
        <v>0</v>
      </c>
      <c r="X160" s="59">
        <v>589</v>
      </c>
      <c r="Y160" s="60">
        <f>X160*Valores!$B$2</f>
        <v>1367.0690000000002</v>
      </c>
      <c r="Z160" s="62">
        <f>SUM(L160,J160,H160)*Valores!$B$3</f>
        <v>814.6710000000002</v>
      </c>
      <c r="AA160" s="64">
        <v>129.04</v>
      </c>
      <c r="AB160" s="60">
        <f t="shared" si="19"/>
        <v>0</v>
      </c>
      <c r="AC160" s="60">
        <v>129.04</v>
      </c>
      <c r="AD160" s="63">
        <v>94</v>
      </c>
      <c r="AE160" s="60">
        <f>AD160*Valores!$B$2</f>
        <v>218.174</v>
      </c>
      <c r="AF160" s="66">
        <f t="shared" si="20"/>
        <v>12900.299350000003</v>
      </c>
      <c r="AG160" s="60">
        <v>0</v>
      </c>
      <c r="AH160" s="64">
        <f>Valores!$B$4</f>
        <v>340</v>
      </c>
      <c r="AI160" s="64">
        <f>Valores!$B$25</f>
        <v>0</v>
      </c>
      <c r="AJ160" s="60">
        <v>0</v>
      </c>
      <c r="AK160" s="67">
        <f t="shared" si="21"/>
        <v>340</v>
      </c>
      <c r="AL160" s="62">
        <f t="shared" si="22"/>
        <v>10337.731996250002</v>
      </c>
      <c r="AM160" s="68"/>
      <c r="AN160" s="69"/>
      <c r="AO160" s="69"/>
      <c r="AP160" s="20" t="s">
        <v>487</v>
      </c>
    </row>
    <row r="161" spans="2:42" s="20" customFormat="1" ht="11.25" customHeight="1" thickTop="1">
      <c r="B161" s="20">
        <v>161</v>
      </c>
      <c r="C161" s="20" t="s">
        <v>478</v>
      </c>
      <c r="D161" s="20" t="s">
        <v>307</v>
      </c>
      <c r="F161" s="21" t="s">
        <v>308</v>
      </c>
      <c r="G161" s="28">
        <v>83</v>
      </c>
      <c r="H161" s="15">
        <f>G161*Valores!$B$2</f>
        <v>192.643</v>
      </c>
      <c r="I161" s="24">
        <v>2352</v>
      </c>
      <c r="J161" s="15">
        <f>I161*Valores!$B$2</f>
        <v>5458.992</v>
      </c>
      <c r="K161" s="27">
        <v>0</v>
      </c>
      <c r="L161" s="15">
        <f>K161*Valores!$B$2</f>
        <v>0</v>
      </c>
      <c r="M161" s="27">
        <v>0</v>
      </c>
      <c r="N161" s="15">
        <f>M161*Valores!$B$2</f>
        <v>0</v>
      </c>
      <c r="O161" s="15">
        <f t="shared" si="23"/>
        <v>1166.0556000000001</v>
      </c>
      <c r="P161" s="15">
        <f t="shared" si="17"/>
        <v>0</v>
      </c>
      <c r="Q161" s="17">
        <f>Valores!$B$19</f>
        <v>1035</v>
      </c>
      <c r="R161" s="17">
        <f>Valores!$C$6</f>
        <v>1038.184</v>
      </c>
      <c r="S161" s="15">
        <v>0</v>
      </c>
      <c r="T161" s="15">
        <f>Valores!$B$20</f>
        <v>755</v>
      </c>
      <c r="U161" s="15">
        <f t="shared" si="18"/>
        <v>755</v>
      </c>
      <c r="V161" s="15">
        <v>0</v>
      </c>
      <c r="W161" s="15">
        <v>0</v>
      </c>
      <c r="X161" s="28">
        <v>589</v>
      </c>
      <c r="Y161" s="15">
        <f>X161*Valores!$B$2</f>
        <v>1367.0690000000002</v>
      </c>
      <c r="Z161" s="17">
        <f>SUM(L161,J161,H161)*Valores!$B$3</f>
        <v>847.74525</v>
      </c>
      <c r="AA161" s="39">
        <v>129.04</v>
      </c>
      <c r="AB161" s="15">
        <f t="shared" si="19"/>
        <v>0</v>
      </c>
      <c r="AC161" s="15">
        <v>129.04</v>
      </c>
      <c r="AD161" s="24">
        <v>94</v>
      </c>
      <c r="AE161" s="15">
        <f>AD161*Valores!$B$2</f>
        <v>218.174</v>
      </c>
      <c r="AF161" s="31">
        <f t="shared" si="20"/>
        <v>12336.942850000001</v>
      </c>
      <c r="AG161" s="15">
        <v>0</v>
      </c>
      <c r="AH161" s="15">
        <v>340</v>
      </c>
      <c r="AI161" s="15">
        <f>Valores!$B$25</f>
        <v>0</v>
      </c>
      <c r="AJ161" s="15">
        <v>0</v>
      </c>
      <c r="AK161" s="25">
        <f t="shared" si="21"/>
        <v>340</v>
      </c>
      <c r="AL161" s="17">
        <f t="shared" si="22"/>
        <v>9901.13070875</v>
      </c>
      <c r="AM161" s="43"/>
      <c r="AN161" s="56"/>
      <c r="AO161" s="56"/>
      <c r="AP161" s="20" t="s">
        <v>486</v>
      </c>
    </row>
    <row r="162" spans="2:42" s="20" customFormat="1" ht="11.25" customHeight="1">
      <c r="B162" s="20">
        <v>162</v>
      </c>
      <c r="D162" s="20" t="s">
        <v>309</v>
      </c>
      <c r="F162" s="21" t="s">
        <v>310</v>
      </c>
      <c r="G162" s="28">
        <v>83</v>
      </c>
      <c r="H162" s="15">
        <f>G162*Valores!$B$2</f>
        <v>192.643</v>
      </c>
      <c r="I162" s="24">
        <v>2092</v>
      </c>
      <c r="J162" s="15">
        <f>I162*Valores!$B$2</f>
        <v>4855.532</v>
      </c>
      <c r="K162" s="27">
        <v>0</v>
      </c>
      <c r="L162" s="15">
        <f>K162*Valores!$B$2</f>
        <v>0</v>
      </c>
      <c r="M162" s="27">
        <v>0</v>
      </c>
      <c r="N162" s="15">
        <f>M162*Valores!$B$2</f>
        <v>0</v>
      </c>
      <c r="O162" s="15">
        <f t="shared" si="23"/>
        <v>1075.5366000000001</v>
      </c>
      <c r="P162" s="15">
        <f t="shared" si="17"/>
        <v>0</v>
      </c>
      <c r="Q162" s="17">
        <f>Valores!$B$19</f>
        <v>1035</v>
      </c>
      <c r="R162" s="17">
        <f>Valores!$C$6</f>
        <v>1038.184</v>
      </c>
      <c r="S162" s="15">
        <v>0</v>
      </c>
      <c r="T162" s="15">
        <f>Valores!$B$20</f>
        <v>755</v>
      </c>
      <c r="U162" s="15">
        <f t="shared" si="18"/>
        <v>755</v>
      </c>
      <c r="V162" s="15">
        <v>0</v>
      </c>
      <c r="W162" s="15">
        <v>0</v>
      </c>
      <c r="X162" s="28">
        <v>589</v>
      </c>
      <c r="Y162" s="15">
        <f>X162*Valores!$B$2</f>
        <v>1367.0690000000002</v>
      </c>
      <c r="Z162" s="17">
        <f>SUM(L162,J162,H162)*Valores!$B$3</f>
        <v>757.22625</v>
      </c>
      <c r="AA162" s="39">
        <v>129.04</v>
      </c>
      <c r="AB162" s="15">
        <f t="shared" si="19"/>
        <v>0</v>
      </c>
      <c r="AC162" s="15">
        <v>129.04</v>
      </c>
      <c r="AD162" s="24">
        <v>94</v>
      </c>
      <c r="AE162" s="15">
        <f>AD162*Valores!$B$2</f>
        <v>218.174</v>
      </c>
      <c r="AF162" s="31">
        <f t="shared" si="20"/>
        <v>11552.444850000002</v>
      </c>
      <c r="AG162" s="15">
        <v>0</v>
      </c>
      <c r="AH162" s="15">
        <v>340</v>
      </c>
      <c r="AI162" s="15">
        <f>Valores!$B$25</f>
        <v>0</v>
      </c>
      <c r="AJ162" s="15">
        <v>0</v>
      </c>
      <c r="AK162" s="25">
        <f t="shared" si="21"/>
        <v>340</v>
      </c>
      <c r="AL162" s="17">
        <f t="shared" si="22"/>
        <v>9293.144758750002</v>
      </c>
      <c r="AM162" s="43"/>
      <c r="AN162" s="56"/>
      <c r="AO162" s="56"/>
      <c r="AP162" s="20" t="s">
        <v>486</v>
      </c>
    </row>
    <row r="163" spans="2:42" s="20" customFormat="1" ht="11.25" customHeight="1">
      <c r="B163" s="20">
        <v>163</v>
      </c>
      <c r="D163" s="20" t="s">
        <v>311</v>
      </c>
      <c r="F163" s="21" t="s">
        <v>312</v>
      </c>
      <c r="G163" s="28">
        <v>82</v>
      </c>
      <c r="H163" s="15">
        <f>G163*Valores!$B$2</f>
        <v>190.322</v>
      </c>
      <c r="I163" s="24">
        <v>1941</v>
      </c>
      <c r="J163" s="15">
        <f>I163*Valores!$B$2</f>
        <v>4505.061000000001</v>
      </c>
      <c r="K163" s="27">
        <v>0</v>
      </c>
      <c r="L163" s="15">
        <f>K163*Valores!$B$2</f>
        <v>0</v>
      </c>
      <c r="M163" s="27">
        <v>0</v>
      </c>
      <c r="N163" s="15">
        <f>M163*Valores!$B$2</f>
        <v>0</v>
      </c>
      <c r="O163" s="15">
        <f t="shared" si="23"/>
        <v>1022.6178000000001</v>
      </c>
      <c r="P163" s="15">
        <f t="shared" si="17"/>
        <v>0</v>
      </c>
      <c r="Q163" s="17">
        <f>Valores!$B$19</f>
        <v>1035</v>
      </c>
      <c r="R163" s="17">
        <f>Valores!$C$6</f>
        <v>1038.184</v>
      </c>
      <c r="S163" s="15">
        <v>0</v>
      </c>
      <c r="T163" s="15">
        <f>Valores!$B$20</f>
        <v>755</v>
      </c>
      <c r="U163" s="15">
        <f t="shared" si="18"/>
        <v>755</v>
      </c>
      <c r="V163" s="15">
        <v>0</v>
      </c>
      <c r="W163" s="15">
        <v>0</v>
      </c>
      <c r="X163" s="28">
        <v>589</v>
      </c>
      <c r="Y163" s="15">
        <f>X163*Valores!$B$2</f>
        <v>1367.0690000000002</v>
      </c>
      <c r="Z163" s="17">
        <f>SUM(L163,J163,H163)*Valores!$B$3</f>
        <v>704.3074500000001</v>
      </c>
      <c r="AA163" s="39">
        <v>129.04</v>
      </c>
      <c r="AB163" s="15">
        <f t="shared" si="19"/>
        <v>0</v>
      </c>
      <c r="AC163" s="15">
        <v>129.04</v>
      </c>
      <c r="AD163" s="24">
        <v>94</v>
      </c>
      <c r="AE163" s="15">
        <f>AD163*Valores!$B$2</f>
        <v>218.174</v>
      </c>
      <c r="AF163" s="31">
        <f t="shared" si="20"/>
        <v>11093.815250000003</v>
      </c>
      <c r="AG163" s="15">
        <v>0</v>
      </c>
      <c r="AH163" s="15">
        <v>340</v>
      </c>
      <c r="AI163" s="15">
        <f>Valores!$B$25</f>
        <v>0</v>
      </c>
      <c r="AJ163" s="15">
        <v>0</v>
      </c>
      <c r="AK163" s="25">
        <f t="shared" si="21"/>
        <v>340</v>
      </c>
      <c r="AL163" s="17">
        <f t="shared" si="22"/>
        <v>8937.706818750003</v>
      </c>
      <c r="AM163" s="43"/>
      <c r="AN163" s="56"/>
      <c r="AO163" s="56"/>
      <c r="AP163" s="20" t="s">
        <v>486</v>
      </c>
    </row>
    <row r="164" spans="2:42" s="20" customFormat="1" ht="11.25" customHeight="1">
      <c r="B164" s="20">
        <v>164</v>
      </c>
      <c r="D164" s="20" t="s">
        <v>313</v>
      </c>
      <c r="F164" s="21" t="s">
        <v>314</v>
      </c>
      <c r="G164" s="28">
        <v>79</v>
      </c>
      <c r="H164" s="15">
        <f>G164*Valores!$B$2</f>
        <v>183.359</v>
      </c>
      <c r="I164" s="24">
        <v>2161</v>
      </c>
      <c r="J164" s="15">
        <f>I164*Valores!$B$2</f>
        <v>5015.6810000000005</v>
      </c>
      <c r="K164" s="27">
        <v>0</v>
      </c>
      <c r="L164" s="15">
        <f>K164*Valores!$B$2</f>
        <v>0</v>
      </c>
      <c r="M164" s="27">
        <v>0</v>
      </c>
      <c r="N164" s="15">
        <f>M164*Valores!$B$2</f>
        <v>0</v>
      </c>
      <c r="O164" s="15">
        <f t="shared" si="23"/>
        <v>1098.1663500000002</v>
      </c>
      <c r="P164" s="15">
        <f t="shared" si="17"/>
        <v>0</v>
      </c>
      <c r="Q164" s="17">
        <f>Valores!$B$19</f>
        <v>1035</v>
      </c>
      <c r="R164" s="17">
        <f>Valores!$C$6</f>
        <v>1038.184</v>
      </c>
      <c r="S164" s="15">
        <v>0</v>
      </c>
      <c r="T164" s="15">
        <f>Valores!$B$20</f>
        <v>755</v>
      </c>
      <c r="U164" s="15">
        <f t="shared" si="18"/>
        <v>755</v>
      </c>
      <c r="V164" s="15">
        <v>0</v>
      </c>
      <c r="W164" s="15">
        <v>0</v>
      </c>
      <c r="X164" s="28">
        <v>589</v>
      </c>
      <c r="Y164" s="15">
        <f>X164*Valores!$B$2</f>
        <v>1367.0690000000002</v>
      </c>
      <c r="Z164" s="17">
        <f>SUM(L164,J164,H164)*Valores!$B$3</f>
        <v>779.8560000000001</v>
      </c>
      <c r="AA164" s="39">
        <v>129.04</v>
      </c>
      <c r="AB164" s="15">
        <f t="shared" si="19"/>
        <v>0</v>
      </c>
      <c r="AC164" s="15">
        <v>129.04</v>
      </c>
      <c r="AD164" s="24">
        <v>94</v>
      </c>
      <c r="AE164" s="15">
        <f>AD164*Valores!$B$2</f>
        <v>218.174</v>
      </c>
      <c r="AF164" s="31">
        <f t="shared" si="20"/>
        <v>11748.569350000003</v>
      </c>
      <c r="AG164" s="15">
        <v>0</v>
      </c>
      <c r="AH164" s="15">
        <v>340</v>
      </c>
      <c r="AI164" s="15">
        <f>Valores!$B$25</f>
        <v>0</v>
      </c>
      <c r="AJ164" s="15">
        <v>0</v>
      </c>
      <c r="AK164" s="25">
        <f t="shared" si="21"/>
        <v>340</v>
      </c>
      <c r="AL164" s="17">
        <f t="shared" si="22"/>
        <v>9445.141246250003</v>
      </c>
      <c r="AM164" s="43"/>
      <c r="AN164" s="56"/>
      <c r="AO164" s="56"/>
      <c r="AP164" s="20" t="s">
        <v>486</v>
      </c>
    </row>
    <row r="165" spans="2:42" s="20" customFormat="1" ht="11.25" customHeight="1" thickBot="1">
      <c r="B165" s="20">
        <v>165</v>
      </c>
      <c r="D165" s="57" t="s">
        <v>315</v>
      </c>
      <c r="E165" s="57"/>
      <c r="F165" s="58" t="s">
        <v>316</v>
      </c>
      <c r="G165" s="59">
        <v>98</v>
      </c>
      <c r="H165" s="60">
        <f>G165*Valores!$B$2</f>
        <v>227.45800000000003</v>
      </c>
      <c r="I165" s="63">
        <v>2686</v>
      </c>
      <c r="J165" s="60">
        <f>I165*Valores!$B$2</f>
        <v>6234.206</v>
      </c>
      <c r="K165" s="70">
        <v>0</v>
      </c>
      <c r="L165" s="60">
        <f>K165*Valores!$B$2</f>
        <v>0</v>
      </c>
      <c r="M165" s="70">
        <v>0</v>
      </c>
      <c r="N165" s="60">
        <f>M165*Valores!$B$2</f>
        <v>0</v>
      </c>
      <c r="O165" s="60">
        <f t="shared" si="23"/>
        <v>1287.55995</v>
      </c>
      <c r="P165" s="60">
        <f t="shared" si="17"/>
        <v>0</v>
      </c>
      <c r="Q165" s="60">
        <f>Valores!$B$19</f>
        <v>1035</v>
      </c>
      <c r="R165" s="62">
        <f>Valores!$C$6</f>
        <v>1038.184</v>
      </c>
      <c r="S165" s="60">
        <v>0</v>
      </c>
      <c r="T165" s="60">
        <f>Valores!$B$20</f>
        <v>755</v>
      </c>
      <c r="U165" s="60">
        <f t="shared" si="18"/>
        <v>755</v>
      </c>
      <c r="V165" s="60">
        <v>0</v>
      </c>
      <c r="W165" s="60">
        <v>0</v>
      </c>
      <c r="X165" s="59">
        <v>589</v>
      </c>
      <c r="Y165" s="60">
        <f>X165*Valores!$B$2</f>
        <v>1367.0690000000002</v>
      </c>
      <c r="Z165" s="62">
        <f>SUM(L165,J165,H165)*Valores!$B$3</f>
        <v>969.2495999999999</v>
      </c>
      <c r="AA165" s="64">
        <v>129.04</v>
      </c>
      <c r="AB165" s="60">
        <f t="shared" si="19"/>
        <v>0</v>
      </c>
      <c r="AC165" s="60">
        <v>129.04</v>
      </c>
      <c r="AD165" s="65">
        <v>0</v>
      </c>
      <c r="AE165" s="60">
        <f>AD165*Valores!$B$2</f>
        <v>0</v>
      </c>
      <c r="AF165" s="66">
        <f t="shared" si="20"/>
        <v>13171.80655</v>
      </c>
      <c r="AG165" s="60">
        <v>0</v>
      </c>
      <c r="AH165" s="60">
        <v>340</v>
      </c>
      <c r="AI165" s="60">
        <f>Valores!$B$25</f>
        <v>0</v>
      </c>
      <c r="AJ165" s="60">
        <v>0</v>
      </c>
      <c r="AK165" s="67">
        <f t="shared" si="21"/>
        <v>340</v>
      </c>
      <c r="AL165" s="62">
        <f t="shared" si="22"/>
        <v>10548.15007625</v>
      </c>
      <c r="AM165" s="68"/>
      <c r="AN165" s="69"/>
      <c r="AO165" s="69">
        <v>22</v>
      </c>
      <c r="AP165" s="20" t="s">
        <v>486</v>
      </c>
    </row>
    <row r="166" spans="2:42" s="20" customFormat="1" ht="11.25" customHeight="1" thickTop="1">
      <c r="B166" s="20">
        <v>166</v>
      </c>
      <c r="C166" s="20" t="s">
        <v>478</v>
      </c>
      <c r="D166" s="20" t="s">
        <v>317</v>
      </c>
      <c r="F166" s="21" t="s">
        <v>318</v>
      </c>
      <c r="G166" s="28">
        <v>93</v>
      </c>
      <c r="H166" s="15">
        <f>G166*Valores!$B$2</f>
        <v>215.853</v>
      </c>
      <c r="I166" s="24">
        <v>2547</v>
      </c>
      <c r="J166" s="15">
        <f>I166*Valores!$B$2</f>
        <v>5911.587</v>
      </c>
      <c r="K166" s="27">
        <v>0</v>
      </c>
      <c r="L166" s="15">
        <f>K166*Valores!$B$2</f>
        <v>0</v>
      </c>
      <c r="M166" s="27">
        <v>0</v>
      </c>
      <c r="N166" s="15">
        <f>M166*Valores!$B$2</f>
        <v>0</v>
      </c>
      <c r="O166" s="15">
        <f t="shared" si="23"/>
        <v>1237.4263500000002</v>
      </c>
      <c r="P166" s="15">
        <f t="shared" si="17"/>
        <v>0</v>
      </c>
      <c r="Q166" s="83">
        <f>Valores!$B$18</f>
        <v>1015</v>
      </c>
      <c r="R166" s="17">
        <f>Valores!$C$6</f>
        <v>1038.184</v>
      </c>
      <c r="S166" s="15">
        <v>0</v>
      </c>
      <c r="T166" s="15">
        <f>Valores!$B$20</f>
        <v>755</v>
      </c>
      <c r="U166" s="15">
        <f t="shared" si="18"/>
        <v>755</v>
      </c>
      <c r="V166" s="15">
        <v>0</v>
      </c>
      <c r="W166" s="15">
        <v>0</v>
      </c>
      <c r="X166" s="28">
        <v>589</v>
      </c>
      <c r="Y166" s="15">
        <f>X166*Valores!$B$2</f>
        <v>1367.0690000000002</v>
      </c>
      <c r="Z166" s="17">
        <f>SUM(L166,J166,H166)*Valores!$B$3</f>
        <v>919.1160000000001</v>
      </c>
      <c r="AA166" s="39">
        <v>129.04</v>
      </c>
      <c r="AB166" s="15">
        <f t="shared" si="19"/>
        <v>0</v>
      </c>
      <c r="AC166" s="15">
        <v>129.04</v>
      </c>
      <c r="AD166" s="16">
        <v>0</v>
      </c>
      <c r="AE166" s="15">
        <f>AD166*Valores!$B$2</f>
        <v>0</v>
      </c>
      <c r="AF166" s="31">
        <f t="shared" si="20"/>
        <v>12717.31535</v>
      </c>
      <c r="AG166" s="15">
        <v>0</v>
      </c>
      <c r="AH166" s="15">
        <v>0</v>
      </c>
      <c r="AI166" s="15">
        <f>Valores!$B$25</f>
        <v>0</v>
      </c>
      <c r="AJ166" s="15">
        <v>0</v>
      </c>
      <c r="AK166" s="25">
        <f t="shared" si="21"/>
        <v>0</v>
      </c>
      <c r="AL166" s="17">
        <f t="shared" si="22"/>
        <v>9855.919396250001</v>
      </c>
      <c r="AM166" s="43"/>
      <c r="AN166" s="56"/>
      <c r="AO166" s="56">
        <v>22</v>
      </c>
      <c r="AP166" s="20" t="s">
        <v>487</v>
      </c>
    </row>
    <row r="167" spans="2:42" s="20" customFormat="1" ht="11.25" customHeight="1">
      <c r="B167" s="20">
        <v>167</v>
      </c>
      <c r="D167" s="20" t="s">
        <v>319</v>
      </c>
      <c r="F167" s="21" t="s">
        <v>320</v>
      </c>
      <c r="G167" s="28">
        <v>1278</v>
      </c>
      <c r="H167" s="15">
        <f>G167*Valores!$B$2</f>
        <v>2966.2380000000003</v>
      </c>
      <c r="I167" s="24">
        <v>0</v>
      </c>
      <c r="J167" s="15">
        <f>I167*Valores!$B$2</f>
        <v>0</v>
      </c>
      <c r="K167" s="27">
        <v>0</v>
      </c>
      <c r="L167" s="15">
        <f>K167*Valores!$B$2</f>
        <v>0</v>
      </c>
      <c r="M167" s="27">
        <v>0</v>
      </c>
      <c r="N167" s="15">
        <f>M167*Valores!$B$2</f>
        <v>0</v>
      </c>
      <c r="O167" s="15">
        <f t="shared" si="23"/>
        <v>817.2093</v>
      </c>
      <c r="P167" s="15">
        <f t="shared" si="17"/>
        <v>0</v>
      </c>
      <c r="Q167" s="17">
        <f>Valores!$B$18</f>
        <v>1015</v>
      </c>
      <c r="R167" s="17">
        <f>Valores!$C$6</f>
        <v>1038.184</v>
      </c>
      <c r="S167" s="15">
        <v>0</v>
      </c>
      <c r="T167" s="15">
        <f>Valores!$B$20</f>
        <v>755</v>
      </c>
      <c r="U167" s="15">
        <f t="shared" si="18"/>
        <v>755</v>
      </c>
      <c r="V167" s="15">
        <v>0</v>
      </c>
      <c r="W167" s="15">
        <v>0</v>
      </c>
      <c r="X167" s="28">
        <v>744</v>
      </c>
      <c r="Y167" s="15">
        <f>X167*Valores!$B$2</f>
        <v>1726.824</v>
      </c>
      <c r="Z167" s="17">
        <f>SUM(L167,J167,H167)*Valores!$B$3</f>
        <v>444.93570000000005</v>
      </c>
      <c r="AA167" s="39">
        <v>129.04</v>
      </c>
      <c r="AB167" s="15">
        <f t="shared" si="19"/>
        <v>0</v>
      </c>
      <c r="AC167" s="15">
        <v>129.04</v>
      </c>
      <c r="AD167" s="24">
        <v>94</v>
      </c>
      <c r="AE167" s="15">
        <f>AD167*Valores!$B$2</f>
        <v>218.174</v>
      </c>
      <c r="AF167" s="31">
        <f t="shared" si="20"/>
        <v>9239.645000000002</v>
      </c>
      <c r="AG167" s="15">
        <v>0</v>
      </c>
      <c r="AH167" s="39">
        <f>Valores!$B$4</f>
        <v>340</v>
      </c>
      <c r="AI167" s="15">
        <f>Valores!$B$25</f>
        <v>0</v>
      </c>
      <c r="AJ167" s="15">
        <v>0</v>
      </c>
      <c r="AK167" s="25">
        <f t="shared" si="21"/>
        <v>340</v>
      </c>
      <c r="AL167" s="17">
        <f t="shared" si="22"/>
        <v>7500.724875000002</v>
      </c>
      <c r="AM167" s="43">
        <v>220</v>
      </c>
      <c r="AN167" s="56"/>
      <c r="AO167" s="56"/>
      <c r="AP167" s="20" t="s">
        <v>487</v>
      </c>
    </row>
    <row r="168" spans="2:42" s="20" customFormat="1" ht="11.25" customHeight="1">
      <c r="B168" s="20">
        <v>168</v>
      </c>
      <c r="D168" s="20" t="s">
        <v>321</v>
      </c>
      <c r="F168" s="21" t="s">
        <v>322</v>
      </c>
      <c r="G168" s="28">
        <v>217</v>
      </c>
      <c r="H168" s="15">
        <f>G168*Valores!$B$2</f>
        <v>503.65700000000004</v>
      </c>
      <c r="I168" s="24">
        <f>2245</f>
        <v>2245</v>
      </c>
      <c r="J168" s="15">
        <f>I168*Valores!$B$2</f>
        <v>5210.645</v>
      </c>
      <c r="K168" s="27">
        <v>0</v>
      </c>
      <c r="L168" s="15">
        <f>K168*Valores!$B$2</f>
        <v>0</v>
      </c>
      <c r="M168" s="27">
        <v>1129</v>
      </c>
      <c r="N168" s="15">
        <f>M168*Valores!$B$2</f>
        <v>2620.409</v>
      </c>
      <c r="O168" s="15">
        <f t="shared" si="23"/>
        <v>1363.45665</v>
      </c>
      <c r="P168" s="15">
        <f t="shared" si="17"/>
        <v>0</v>
      </c>
      <c r="Q168" s="17">
        <f>Valores!$B$13</f>
        <v>1185</v>
      </c>
      <c r="R168" s="17">
        <f>Valores!$C$6</f>
        <v>1038.184</v>
      </c>
      <c r="S168" s="17">
        <f>Valores!$B$23</f>
        <v>870</v>
      </c>
      <c r="T168" s="15">
        <f>Valores!$B$20</f>
        <v>755</v>
      </c>
      <c r="U168" s="15">
        <f t="shared" si="18"/>
        <v>755</v>
      </c>
      <c r="V168" s="15">
        <v>0</v>
      </c>
      <c r="W168" s="15">
        <v>0</v>
      </c>
      <c r="X168" s="24">
        <v>0</v>
      </c>
      <c r="Y168" s="15">
        <f>X168*Valores!$B$2</f>
        <v>0</v>
      </c>
      <c r="Z168" s="15">
        <v>0</v>
      </c>
      <c r="AA168" s="39">
        <v>129.04</v>
      </c>
      <c r="AB168" s="15">
        <f t="shared" si="19"/>
        <v>0</v>
      </c>
      <c r="AC168" s="15">
        <v>129.04</v>
      </c>
      <c r="AD168" s="16">
        <v>0</v>
      </c>
      <c r="AE168" s="15">
        <f>AD168*Valores!$B$2</f>
        <v>0</v>
      </c>
      <c r="AF168" s="31">
        <f t="shared" si="20"/>
        <v>13804.431650000002</v>
      </c>
      <c r="AG168" s="15">
        <v>0</v>
      </c>
      <c r="AH168" s="39">
        <f>Valores!$B$5</f>
        <v>373.03438500000004</v>
      </c>
      <c r="AI168" s="15">
        <f>Valores!$B$25</f>
        <v>0</v>
      </c>
      <c r="AJ168" s="15">
        <v>0</v>
      </c>
      <c r="AK168" s="25">
        <f t="shared" si="21"/>
        <v>373.03438500000004</v>
      </c>
      <c r="AL168" s="17">
        <f t="shared" si="22"/>
        <v>11071.468913750003</v>
      </c>
      <c r="AM168" s="43"/>
      <c r="AN168" s="56"/>
      <c r="AO168" s="56"/>
      <c r="AP168" s="20" t="s">
        <v>487</v>
      </c>
    </row>
    <row r="169" spans="2:42" s="20" customFormat="1" ht="11.25" customHeight="1">
      <c r="B169" s="20">
        <v>169</v>
      </c>
      <c r="D169" s="20" t="s">
        <v>323</v>
      </c>
      <c r="F169" s="21" t="s">
        <v>324</v>
      </c>
      <c r="G169" s="28">
        <v>185</v>
      </c>
      <c r="H169" s="15">
        <f>G169*Valores!$B$2</f>
        <v>429.38500000000005</v>
      </c>
      <c r="I169" s="24">
        <f>1835</f>
        <v>1835</v>
      </c>
      <c r="J169" s="15">
        <f>I169*Valores!$B$2</f>
        <v>4259.035000000001</v>
      </c>
      <c r="K169" s="27">
        <v>0</v>
      </c>
      <c r="L169" s="15">
        <f>K169*Valores!$B$2</f>
        <v>0</v>
      </c>
      <c r="M169" s="27">
        <v>1129</v>
      </c>
      <c r="N169" s="15">
        <f>M169*Valores!$B$2</f>
        <v>2620.409</v>
      </c>
      <c r="O169" s="15">
        <f t="shared" si="23"/>
        <v>1209.57435</v>
      </c>
      <c r="P169" s="15">
        <f t="shared" si="17"/>
        <v>0</v>
      </c>
      <c r="Q169" s="17">
        <f>Valores!$B$13</f>
        <v>1185</v>
      </c>
      <c r="R169" s="17">
        <f>Valores!$C$6</f>
        <v>1038.184</v>
      </c>
      <c r="S169" s="17">
        <f>Valores!$B$23</f>
        <v>870</v>
      </c>
      <c r="T169" s="15">
        <f>Valores!$B$20</f>
        <v>755</v>
      </c>
      <c r="U169" s="15">
        <f t="shared" si="18"/>
        <v>755</v>
      </c>
      <c r="V169" s="15">
        <v>0</v>
      </c>
      <c r="W169" s="15">
        <v>0</v>
      </c>
      <c r="X169" s="24">
        <v>0</v>
      </c>
      <c r="Y169" s="15">
        <f>X169*Valores!$B$2</f>
        <v>0</v>
      </c>
      <c r="Z169" s="15">
        <v>0</v>
      </c>
      <c r="AA169" s="39">
        <v>129.04</v>
      </c>
      <c r="AB169" s="15">
        <f t="shared" si="19"/>
        <v>0</v>
      </c>
      <c r="AC169" s="15">
        <v>129.04</v>
      </c>
      <c r="AD169" s="16">
        <v>0</v>
      </c>
      <c r="AE169" s="15">
        <f>AD169*Valores!$B$2</f>
        <v>0</v>
      </c>
      <c r="AF169" s="31">
        <f t="shared" si="20"/>
        <v>12624.667350000003</v>
      </c>
      <c r="AG169" s="15">
        <v>0</v>
      </c>
      <c r="AH169" s="39">
        <f>Valores!$B$5</f>
        <v>373.03438500000004</v>
      </c>
      <c r="AI169" s="15">
        <f>Valores!$B$25</f>
        <v>0</v>
      </c>
      <c r="AJ169" s="15">
        <v>0</v>
      </c>
      <c r="AK169" s="25">
        <f t="shared" si="21"/>
        <v>373.03438500000004</v>
      </c>
      <c r="AL169" s="17">
        <f t="shared" si="22"/>
        <v>10157.151581250004</v>
      </c>
      <c r="AM169" s="43"/>
      <c r="AN169" s="56"/>
      <c r="AO169" s="56"/>
      <c r="AP169" s="20" t="s">
        <v>487</v>
      </c>
    </row>
    <row r="170" spans="2:42" s="20" customFormat="1" ht="11.25" customHeight="1" thickBot="1">
      <c r="B170" s="20">
        <v>170</v>
      </c>
      <c r="D170" s="57" t="s">
        <v>325</v>
      </c>
      <c r="E170" s="57"/>
      <c r="F170" s="58" t="s">
        <v>326</v>
      </c>
      <c r="G170" s="59">
        <v>160</v>
      </c>
      <c r="H170" s="60">
        <f>G170*Valores!$B$2</f>
        <v>371.36</v>
      </c>
      <c r="I170" s="63">
        <f>1484</f>
        <v>1484</v>
      </c>
      <c r="J170" s="60">
        <f>I170*Valores!$B$2</f>
        <v>3444.364</v>
      </c>
      <c r="K170" s="70">
        <v>0</v>
      </c>
      <c r="L170" s="60">
        <f>K170*Valores!$B$2</f>
        <v>0</v>
      </c>
      <c r="M170" s="70">
        <v>1129</v>
      </c>
      <c r="N170" s="60">
        <f>M170*Valores!$B$2</f>
        <v>2620.409</v>
      </c>
      <c r="O170" s="60">
        <f t="shared" si="23"/>
        <v>1078.66995</v>
      </c>
      <c r="P170" s="60">
        <f t="shared" si="17"/>
        <v>0</v>
      </c>
      <c r="Q170" s="62">
        <f>Valores!$B$13</f>
        <v>1185</v>
      </c>
      <c r="R170" s="62">
        <f>Valores!$C$6</f>
        <v>1038.184</v>
      </c>
      <c r="S170" s="62">
        <f>Valores!$B$23</f>
        <v>870</v>
      </c>
      <c r="T170" s="60">
        <f>Valores!$B$20</f>
        <v>755</v>
      </c>
      <c r="U170" s="60">
        <f t="shared" si="18"/>
        <v>755</v>
      </c>
      <c r="V170" s="60">
        <v>0</v>
      </c>
      <c r="W170" s="60">
        <v>0</v>
      </c>
      <c r="X170" s="63">
        <v>0</v>
      </c>
      <c r="Y170" s="60">
        <f>X170*Valores!$B$2</f>
        <v>0</v>
      </c>
      <c r="Z170" s="60">
        <v>0</v>
      </c>
      <c r="AA170" s="64">
        <v>129.04</v>
      </c>
      <c r="AB170" s="60">
        <f t="shared" si="19"/>
        <v>0</v>
      </c>
      <c r="AC170" s="60">
        <v>129.04</v>
      </c>
      <c r="AD170" s="65">
        <v>0</v>
      </c>
      <c r="AE170" s="60">
        <f>AD170*Valores!$B$2</f>
        <v>0</v>
      </c>
      <c r="AF170" s="66">
        <f t="shared" si="20"/>
        <v>11621.06695</v>
      </c>
      <c r="AG170" s="60">
        <v>0</v>
      </c>
      <c r="AH170" s="64">
        <f>Valores!$B$5</f>
        <v>373.03438500000004</v>
      </c>
      <c r="AI170" s="64">
        <f>Valores!$B$25</f>
        <v>0</v>
      </c>
      <c r="AJ170" s="60">
        <v>0</v>
      </c>
      <c r="AK170" s="67">
        <f t="shared" si="21"/>
        <v>373.03438500000004</v>
      </c>
      <c r="AL170" s="62">
        <f t="shared" si="22"/>
        <v>9379.361271250002</v>
      </c>
      <c r="AM170" s="68">
        <v>220</v>
      </c>
      <c r="AN170" s="69"/>
      <c r="AO170" s="69"/>
      <c r="AP170" s="20" t="s">
        <v>487</v>
      </c>
    </row>
    <row r="171" spans="2:42" s="20" customFormat="1" ht="11.25" customHeight="1" thickTop="1">
      <c r="B171" s="20">
        <v>171</v>
      </c>
      <c r="C171" s="20" t="s">
        <v>478</v>
      </c>
      <c r="D171" s="20" t="s">
        <v>327</v>
      </c>
      <c r="F171" s="21" t="s">
        <v>328</v>
      </c>
      <c r="G171" s="28">
        <v>178</v>
      </c>
      <c r="H171" s="15">
        <f>G171*Valores!$B$2</f>
        <v>413.13800000000003</v>
      </c>
      <c r="I171" s="24">
        <f>1842</f>
        <v>1842</v>
      </c>
      <c r="J171" s="15">
        <f>I171*Valores!$B$2</f>
        <v>4275.282</v>
      </c>
      <c r="K171" s="27">
        <v>0</v>
      </c>
      <c r="L171" s="15">
        <f>K171*Valores!$B$2</f>
        <v>0</v>
      </c>
      <c r="M171" s="27">
        <v>1129</v>
      </c>
      <c r="N171" s="15">
        <f>M171*Valores!$B$2</f>
        <v>2620.409</v>
      </c>
      <c r="O171" s="15">
        <f t="shared" si="23"/>
        <v>1209.5743499999999</v>
      </c>
      <c r="P171" s="15">
        <f t="shared" si="17"/>
        <v>0</v>
      </c>
      <c r="Q171" s="17">
        <f>Valores!$B$13</f>
        <v>1185</v>
      </c>
      <c r="R171" s="17">
        <f>Valores!$C$6</f>
        <v>1038.184</v>
      </c>
      <c r="S171" s="15">
        <f>Valores!$B$23</f>
        <v>870</v>
      </c>
      <c r="T171" s="15">
        <f>Valores!$B$20</f>
        <v>755</v>
      </c>
      <c r="U171" s="15">
        <f t="shared" si="18"/>
        <v>755</v>
      </c>
      <c r="V171" s="15">
        <v>0</v>
      </c>
      <c r="W171" s="15">
        <v>0</v>
      </c>
      <c r="X171" s="24">
        <v>0</v>
      </c>
      <c r="Y171" s="15">
        <f>X171*Valores!$B$2</f>
        <v>0</v>
      </c>
      <c r="Z171" s="15">
        <v>0</v>
      </c>
      <c r="AA171" s="39">
        <v>129.04</v>
      </c>
      <c r="AB171" s="15">
        <f t="shared" si="19"/>
        <v>0</v>
      </c>
      <c r="AC171" s="15">
        <v>129.04</v>
      </c>
      <c r="AD171" s="16">
        <v>0</v>
      </c>
      <c r="AE171" s="15">
        <f>AD171*Valores!$B$2</f>
        <v>0</v>
      </c>
      <c r="AF171" s="31">
        <f t="shared" si="20"/>
        <v>12624.667350000002</v>
      </c>
      <c r="AG171" s="15">
        <v>0</v>
      </c>
      <c r="AH171" s="39">
        <f>Valores!$B$5</f>
        <v>373.03438500000004</v>
      </c>
      <c r="AI171" s="15">
        <f>Valores!$B$25</f>
        <v>0</v>
      </c>
      <c r="AJ171" s="15">
        <v>0</v>
      </c>
      <c r="AK171" s="25">
        <f t="shared" si="21"/>
        <v>373.03438500000004</v>
      </c>
      <c r="AL171" s="17">
        <f t="shared" si="22"/>
        <v>10157.151581250002</v>
      </c>
      <c r="AM171" s="43"/>
      <c r="AN171" s="56"/>
      <c r="AO171" s="56"/>
      <c r="AP171" s="20" t="s">
        <v>487</v>
      </c>
    </row>
    <row r="172" spans="2:42" s="20" customFormat="1" ht="11.25" customHeight="1">
      <c r="B172" s="20">
        <v>172</v>
      </c>
      <c r="D172" s="20" t="s">
        <v>329</v>
      </c>
      <c r="F172" s="21" t="s">
        <v>330</v>
      </c>
      <c r="G172" s="28">
        <v>1278</v>
      </c>
      <c r="H172" s="15">
        <f>G172*Valores!$B$2</f>
        <v>2966.2380000000003</v>
      </c>
      <c r="I172" s="24">
        <v>0</v>
      </c>
      <c r="J172" s="15">
        <f>I172*Valores!$B$2</f>
        <v>0</v>
      </c>
      <c r="K172" s="27">
        <v>0</v>
      </c>
      <c r="L172" s="15">
        <f>K172*Valores!$B$2</f>
        <v>0</v>
      </c>
      <c r="M172" s="27">
        <v>1048</v>
      </c>
      <c r="N172" s="15">
        <f>M172*Valores!$B$2</f>
        <v>2432.4080000000004</v>
      </c>
      <c r="O172" s="15">
        <f t="shared" si="23"/>
        <v>923.0469</v>
      </c>
      <c r="P172" s="15">
        <f t="shared" si="17"/>
        <v>0</v>
      </c>
      <c r="Q172" s="17">
        <f>Valores!$B$18</f>
        <v>1015</v>
      </c>
      <c r="R172" s="17">
        <f>Valores!$C$6</f>
        <v>1038.184</v>
      </c>
      <c r="S172" s="17">
        <f>Valores!$B$23</f>
        <v>870</v>
      </c>
      <c r="T172" s="15">
        <f>Valores!$B$20</f>
        <v>755</v>
      </c>
      <c r="U172" s="15">
        <f t="shared" si="18"/>
        <v>755</v>
      </c>
      <c r="V172" s="15">
        <v>0</v>
      </c>
      <c r="W172" s="15">
        <v>0</v>
      </c>
      <c r="X172" s="24">
        <v>0</v>
      </c>
      <c r="Y172" s="15">
        <f>X172*Valores!$B$2</f>
        <v>0</v>
      </c>
      <c r="Z172" s="15">
        <v>0</v>
      </c>
      <c r="AA172" s="39">
        <v>129.04</v>
      </c>
      <c r="AB172" s="15">
        <f t="shared" si="19"/>
        <v>0</v>
      </c>
      <c r="AC172" s="15">
        <v>129.04</v>
      </c>
      <c r="AD172" s="16">
        <v>0</v>
      </c>
      <c r="AE172" s="15">
        <f>AD172*Valores!$B$2</f>
        <v>0</v>
      </c>
      <c r="AF172" s="31">
        <f t="shared" si="20"/>
        <v>10257.956900000003</v>
      </c>
      <c r="AG172" s="17">
        <f>$AG$135</f>
        <v>3730.3538500000004</v>
      </c>
      <c r="AH172" s="39">
        <v>0</v>
      </c>
      <c r="AI172" s="15">
        <f>Valores!$B$25</f>
        <v>0</v>
      </c>
      <c r="AJ172" s="15">
        <v>0</v>
      </c>
      <c r="AK172" s="25">
        <f t="shared" si="21"/>
        <v>0</v>
      </c>
      <c r="AL172" s="17">
        <f t="shared" si="22"/>
        <v>7949.916597500002</v>
      </c>
      <c r="AM172" s="43">
        <v>220</v>
      </c>
      <c r="AN172" s="56"/>
      <c r="AO172" s="56">
        <v>22</v>
      </c>
      <c r="AP172" s="20" t="s">
        <v>487</v>
      </c>
    </row>
    <row r="173" spans="2:42" s="20" customFormat="1" ht="11.25" customHeight="1">
      <c r="B173" s="20">
        <v>173</v>
      </c>
      <c r="D173" s="20" t="s">
        <v>331</v>
      </c>
      <c r="F173" s="21" t="s">
        <v>332</v>
      </c>
      <c r="G173" s="28">
        <v>971</v>
      </c>
      <c r="H173" s="15">
        <f>G173*Valores!$B$2</f>
        <v>2253.6910000000003</v>
      </c>
      <c r="I173" s="24">
        <v>0</v>
      </c>
      <c r="J173" s="15">
        <f>I173*Valores!$B$2</f>
        <v>0</v>
      </c>
      <c r="K173" s="27">
        <v>0</v>
      </c>
      <c r="L173" s="15">
        <f>K173*Valores!$B$2</f>
        <v>0</v>
      </c>
      <c r="M173" s="27">
        <v>578</v>
      </c>
      <c r="N173" s="15">
        <f>M173*Valores!$B$2</f>
        <v>1341.538</v>
      </c>
      <c r="O173" s="15">
        <f t="shared" si="23"/>
        <v>652.53435</v>
      </c>
      <c r="P173" s="15">
        <f t="shared" si="17"/>
        <v>0</v>
      </c>
      <c r="Q173" s="17">
        <f>Valores!$B$18</f>
        <v>1015</v>
      </c>
      <c r="R173" s="17">
        <f>Valores!$C$6</f>
        <v>1038.184</v>
      </c>
      <c r="S173" s="17">
        <f>Valores!$B$23</f>
        <v>870</v>
      </c>
      <c r="T173" s="15">
        <f>Valores!$B$20</f>
        <v>755</v>
      </c>
      <c r="U173" s="15">
        <f t="shared" si="18"/>
        <v>755</v>
      </c>
      <c r="V173" s="15">
        <v>0</v>
      </c>
      <c r="W173" s="15">
        <v>0</v>
      </c>
      <c r="X173" s="24">
        <v>0</v>
      </c>
      <c r="Y173" s="15">
        <f>X173*Valores!$B$2</f>
        <v>0</v>
      </c>
      <c r="Z173" s="15">
        <v>0</v>
      </c>
      <c r="AA173" s="39">
        <v>129.04</v>
      </c>
      <c r="AB173" s="15">
        <f t="shared" si="19"/>
        <v>0</v>
      </c>
      <c r="AC173" s="15">
        <v>129.04</v>
      </c>
      <c r="AD173" s="16">
        <v>0</v>
      </c>
      <c r="AE173" s="15">
        <f>AD173*Valores!$B$2</f>
        <v>0</v>
      </c>
      <c r="AF173" s="31">
        <f t="shared" si="20"/>
        <v>8184.02735</v>
      </c>
      <c r="AG173" s="17">
        <f>$AG$135</f>
        <v>3730.3538500000004</v>
      </c>
      <c r="AH173" s="39">
        <v>0</v>
      </c>
      <c r="AI173" s="15">
        <f>Valores!$B$25</f>
        <v>0</v>
      </c>
      <c r="AJ173" s="15">
        <v>0</v>
      </c>
      <c r="AK173" s="25">
        <f t="shared" si="21"/>
        <v>0</v>
      </c>
      <c r="AL173" s="17">
        <f t="shared" si="22"/>
        <v>6342.62119625</v>
      </c>
      <c r="AM173" s="43"/>
      <c r="AN173" s="56"/>
      <c r="AO173" s="56">
        <v>22</v>
      </c>
      <c r="AP173" s="20" t="s">
        <v>486</v>
      </c>
    </row>
    <row r="174" spans="2:42" s="20" customFormat="1" ht="11.25" customHeight="1">
      <c r="B174" s="20">
        <v>174</v>
      </c>
      <c r="D174" s="20" t="s">
        <v>333</v>
      </c>
      <c r="F174" s="21" t="s">
        <v>334</v>
      </c>
      <c r="G174" s="28">
        <v>213</v>
      </c>
      <c r="H174" s="15">
        <f>G174*Valores!$B$2</f>
        <v>494.37300000000005</v>
      </c>
      <c r="I174" s="24">
        <f>1835</f>
        <v>1835</v>
      </c>
      <c r="J174" s="15">
        <f>I174*Valores!$B$2</f>
        <v>4259.035000000001</v>
      </c>
      <c r="K174" s="27">
        <v>0</v>
      </c>
      <c r="L174" s="15">
        <f>K174*Valores!$B$2</f>
        <v>0</v>
      </c>
      <c r="M174" s="27">
        <v>1129</v>
      </c>
      <c r="N174" s="15">
        <f>M174*Valores!$B$2</f>
        <v>2620.409</v>
      </c>
      <c r="O174" s="15">
        <f t="shared" si="23"/>
        <v>1219.32255</v>
      </c>
      <c r="P174" s="15">
        <f t="shared" si="17"/>
        <v>0</v>
      </c>
      <c r="Q174" s="17">
        <f>Valores!$B$13</f>
        <v>1185</v>
      </c>
      <c r="R174" s="17">
        <f>Valores!$C$6</f>
        <v>1038.184</v>
      </c>
      <c r="S174" s="17">
        <f>Valores!$B$23</f>
        <v>870</v>
      </c>
      <c r="T174" s="15">
        <f>Valores!$B$20</f>
        <v>755</v>
      </c>
      <c r="U174" s="15">
        <f t="shared" si="18"/>
        <v>755</v>
      </c>
      <c r="V174" s="15">
        <v>0</v>
      </c>
      <c r="W174" s="15">
        <v>0</v>
      </c>
      <c r="X174" s="24">
        <v>0</v>
      </c>
      <c r="Y174" s="15">
        <f>X174*Valores!$B$2</f>
        <v>0</v>
      </c>
      <c r="Z174" s="15">
        <v>0</v>
      </c>
      <c r="AA174" s="39">
        <v>129.04</v>
      </c>
      <c r="AB174" s="15">
        <f t="shared" si="19"/>
        <v>0</v>
      </c>
      <c r="AC174" s="15">
        <v>129.04</v>
      </c>
      <c r="AD174" s="16">
        <v>0</v>
      </c>
      <c r="AE174" s="15">
        <f>AD174*Valores!$B$2</f>
        <v>0</v>
      </c>
      <c r="AF174" s="31">
        <f t="shared" si="20"/>
        <v>12699.403550000003</v>
      </c>
      <c r="AG174" s="15">
        <v>0</v>
      </c>
      <c r="AH174" s="39">
        <f>Valores!$B$5</f>
        <v>373.03438500000004</v>
      </c>
      <c r="AI174" s="15">
        <f>Valores!$B$25</f>
        <v>0</v>
      </c>
      <c r="AJ174" s="15">
        <v>0</v>
      </c>
      <c r="AK174" s="25">
        <f t="shared" si="21"/>
        <v>373.03438500000004</v>
      </c>
      <c r="AL174" s="17">
        <f t="shared" si="22"/>
        <v>10215.072136250003</v>
      </c>
      <c r="AM174" s="43"/>
      <c r="AN174" s="56"/>
      <c r="AO174" s="56"/>
      <c r="AP174" s="20" t="s">
        <v>487</v>
      </c>
    </row>
    <row r="175" spans="2:42" s="20" customFormat="1" ht="11.25" customHeight="1" thickBot="1">
      <c r="B175" s="20">
        <v>175</v>
      </c>
      <c r="D175" s="57" t="s">
        <v>335</v>
      </c>
      <c r="E175" s="57"/>
      <c r="F175" s="58" t="s">
        <v>336</v>
      </c>
      <c r="G175" s="59">
        <v>185</v>
      </c>
      <c r="H175" s="60">
        <f>G175*Valores!$B$2</f>
        <v>429.38500000000005</v>
      </c>
      <c r="I175" s="63">
        <f>1835</f>
        <v>1835</v>
      </c>
      <c r="J175" s="60">
        <f>I175*Valores!$B$2</f>
        <v>4259.035000000001</v>
      </c>
      <c r="K175" s="70">
        <v>0</v>
      </c>
      <c r="L175" s="60">
        <f>K175*Valores!$B$2</f>
        <v>0</v>
      </c>
      <c r="M175" s="70">
        <v>1129</v>
      </c>
      <c r="N175" s="60">
        <f>M175*Valores!$B$2</f>
        <v>2620.409</v>
      </c>
      <c r="O175" s="60">
        <f t="shared" si="23"/>
        <v>1209.57435</v>
      </c>
      <c r="P175" s="60">
        <f t="shared" si="17"/>
        <v>0</v>
      </c>
      <c r="Q175" s="62">
        <f>Valores!$B$13</f>
        <v>1185</v>
      </c>
      <c r="R175" s="62">
        <f>Valores!$C$6</f>
        <v>1038.184</v>
      </c>
      <c r="S175" s="62">
        <f>Valores!$B$23</f>
        <v>870</v>
      </c>
      <c r="T175" s="60">
        <f>Valores!$B$20</f>
        <v>755</v>
      </c>
      <c r="U175" s="60">
        <f t="shared" si="18"/>
        <v>755</v>
      </c>
      <c r="V175" s="60">
        <v>0</v>
      </c>
      <c r="W175" s="60">
        <v>0</v>
      </c>
      <c r="X175" s="63">
        <v>0</v>
      </c>
      <c r="Y175" s="60">
        <f>X175*Valores!$B$2</f>
        <v>0</v>
      </c>
      <c r="Z175" s="60">
        <v>0</v>
      </c>
      <c r="AA175" s="64">
        <v>129.04</v>
      </c>
      <c r="AB175" s="60">
        <f t="shared" si="19"/>
        <v>0</v>
      </c>
      <c r="AC175" s="60">
        <v>129.04</v>
      </c>
      <c r="AD175" s="65">
        <v>0</v>
      </c>
      <c r="AE175" s="60">
        <f>AD175*Valores!$B$2</f>
        <v>0</v>
      </c>
      <c r="AF175" s="66">
        <f t="shared" si="20"/>
        <v>12624.667350000003</v>
      </c>
      <c r="AG175" s="60">
        <v>0</v>
      </c>
      <c r="AH175" s="64">
        <f>Valores!$B$5</f>
        <v>373.03438500000004</v>
      </c>
      <c r="AI175" s="64">
        <f>Valores!$B$25</f>
        <v>0</v>
      </c>
      <c r="AJ175" s="60">
        <v>0</v>
      </c>
      <c r="AK175" s="67">
        <f t="shared" si="21"/>
        <v>373.03438500000004</v>
      </c>
      <c r="AL175" s="62">
        <f t="shared" si="22"/>
        <v>10157.151581250004</v>
      </c>
      <c r="AM175" s="68"/>
      <c r="AN175" s="69"/>
      <c r="AO175" s="69"/>
      <c r="AP175" s="20" t="s">
        <v>487</v>
      </c>
    </row>
    <row r="176" spans="2:42" s="20" customFormat="1" ht="11.25" customHeight="1" thickTop="1">
      <c r="B176" s="20">
        <v>176</v>
      </c>
      <c r="C176" s="20" t="s">
        <v>478</v>
      </c>
      <c r="D176" s="20" t="s">
        <v>337</v>
      </c>
      <c r="F176" s="21" t="s">
        <v>338</v>
      </c>
      <c r="G176" s="28">
        <v>160</v>
      </c>
      <c r="H176" s="15">
        <f>G176*Valores!$B$2</f>
        <v>371.36</v>
      </c>
      <c r="I176" s="24">
        <f>1484</f>
        <v>1484</v>
      </c>
      <c r="J176" s="15">
        <f>I176*Valores!$B$2</f>
        <v>3444.364</v>
      </c>
      <c r="K176" s="27">
        <v>0</v>
      </c>
      <c r="L176" s="15">
        <f>K176*Valores!$B$2</f>
        <v>0</v>
      </c>
      <c r="M176" s="27">
        <v>1129</v>
      </c>
      <c r="N176" s="15">
        <f>M176*Valores!$B$2</f>
        <v>2620.409</v>
      </c>
      <c r="O176" s="15">
        <f t="shared" si="23"/>
        <v>1078.66995</v>
      </c>
      <c r="P176" s="15">
        <f t="shared" si="17"/>
        <v>0</v>
      </c>
      <c r="Q176" s="17">
        <f>Valores!$B$13</f>
        <v>1185</v>
      </c>
      <c r="R176" s="17">
        <f>Valores!$C$6</f>
        <v>1038.184</v>
      </c>
      <c r="S176" s="15">
        <f>Valores!$B$23</f>
        <v>870</v>
      </c>
      <c r="T176" s="15">
        <f>Valores!$B$20</f>
        <v>755</v>
      </c>
      <c r="U176" s="15">
        <f t="shared" si="18"/>
        <v>755</v>
      </c>
      <c r="V176" s="15">
        <v>0</v>
      </c>
      <c r="W176" s="15">
        <v>0</v>
      </c>
      <c r="X176" s="24">
        <v>0</v>
      </c>
      <c r="Y176" s="15">
        <f>X176*Valores!$B$2</f>
        <v>0</v>
      </c>
      <c r="Z176" s="15">
        <v>0</v>
      </c>
      <c r="AA176" s="39">
        <v>129.04</v>
      </c>
      <c r="AB176" s="15">
        <f t="shared" si="19"/>
        <v>0</v>
      </c>
      <c r="AC176" s="15">
        <v>129.04</v>
      </c>
      <c r="AD176" s="16">
        <v>0</v>
      </c>
      <c r="AE176" s="15">
        <f>AD176*Valores!$B$2</f>
        <v>0</v>
      </c>
      <c r="AF176" s="31">
        <f t="shared" si="20"/>
        <v>11621.06695</v>
      </c>
      <c r="AG176" s="15">
        <v>0</v>
      </c>
      <c r="AH176" s="39">
        <f>Valores!$B$5</f>
        <v>373.03438500000004</v>
      </c>
      <c r="AI176" s="15">
        <f>Valores!$B$25</f>
        <v>0</v>
      </c>
      <c r="AJ176" s="15">
        <v>0</v>
      </c>
      <c r="AK176" s="25">
        <f t="shared" si="21"/>
        <v>373.03438500000004</v>
      </c>
      <c r="AL176" s="17">
        <f t="shared" si="22"/>
        <v>9379.361271250002</v>
      </c>
      <c r="AM176" s="43">
        <v>220</v>
      </c>
      <c r="AN176" s="56"/>
      <c r="AO176" s="56"/>
      <c r="AP176" s="20" t="s">
        <v>487</v>
      </c>
    </row>
    <row r="177" spans="2:42" s="20" customFormat="1" ht="11.25" customHeight="1">
      <c r="B177" s="20">
        <v>177</v>
      </c>
      <c r="D177" s="20" t="s">
        <v>339</v>
      </c>
      <c r="F177" s="21" t="s">
        <v>340</v>
      </c>
      <c r="G177" s="28">
        <v>1278</v>
      </c>
      <c r="H177" s="15">
        <f>G177*Valores!$B$2</f>
        <v>2966.2380000000003</v>
      </c>
      <c r="I177" s="24">
        <v>0</v>
      </c>
      <c r="J177" s="15">
        <f>I177*Valores!$B$2</f>
        <v>0</v>
      </c>
      <c r="K177" s="27">
        <v>0</v>
      </c>
      <c r="L177" s="15">
        <f>K177*Valores!$B$2</f>
        <v>0</v>
      </c>
      <c r="M177" s="27">
        <v>1048</v>
      </c>
      <c r="N177" s="15">
        <f>M177*Valores!$B$2</f>
        <v>2432.4080000000004</v>
      </c>
      <c r="O177" s="15">
        <f t="shared" si="23"/>
        <v>923.0469</v>
      </c>
      <c r="P177" s="15">
        <f t="shared" si="17"/>
        <v>0</v>
      </c>
      <c r="Q177" s="17">
        <f>Valores!$B$18</f>
        <v>1015</v>
      </c>
      <c r="R177" s="17">
        <f>Valores!$C$6</f>
        <v>1038.184</v>
      </c>
      <c r="S177" s="17">
        <f>Valores!$B$23</f>
        <v>870</v>
      </c>
      <c r="T177" s="15">
        <f>Valores!$B$20</f>
        <v>755</v>
      </c>
      <c r="U177" s="15">
        <f t="shared" si="18"/>
        <v>755</v>
      </c>
      <c r="V177" s="15">
        <v>0</v>
      </c>
      <c r="W177" s="15">
        <v>0</v>
      </c>
      <c r="X177" s="24">
        <v>0</v>
      </c>
      <c r="Y177" s="15">
        <f>X177*Valores!$B$2</f>
        <v>0</v>
      </c>
      <c r="Z177" s="15">
        <v>0</v>
      </c>
      <c r="AA177" s="39">
        <v>129.04</v>
      </c>
      <c r="AB177" s="15">
        <f t="shared" si="19"/>
        <v>0</v>
      </c>
      <c r="AC177" s="15">
        <v>129.04</v>
      </c>
      <c r="AD177" s="16">
        <v>0</v>
      </c>
      <c r="AE177" s="15">
        <f>AD177*Valores!$B$2</f>
        <v>0</v>
      </c>
      <c r="AF177" s="31">
        <f t="shared" si="20"/>
        <v>10257.956900000003</v>
      </c>
      <c r="AG177" s="17">
        <f>$AG$135</f>
        <v>3730.3538500000004</v>
      </c>
      <c r="AH177" s="39">
        <v>0</v>
      </c>
      <c r="AI177" s="15">
        <f>Valores!$B$25</f>
        <v>0</v>
      </c>
      <c r="AJ177" s="15">
        <v>0</v>
      </c>
      <c r="AK177" s="25">
        <f t="shared" si="21"/>
        <v>0</v>
      </c>
      <c r="AL177" s="17">
        <f t="shared" si="22"/>
        <v>7949.916597500002</v>
      </c>
      <c r="AM177" s="43">
        <v>220</v>
      </c>
      <c r="AN177" s="56"/>
      <c r="AO177" s="56">
        <v>22</v>
      </c>
      <c r="AP177" s="20" t="s">
        <v>487</v>
      </c>
    </row>
    <row r="178" spans="2:42" s="20" customFormat="1" ht="11.25" customHeight="1">
      <c r="B178" s="20">
        <v>178</v>
      </c>
      <c r="D178" s="20" t="s">
        <v>341</v>
      </c>
      <c r="F178" s="21" t="s">
        <v>342</v>
      </c>
      <c r="G178" s="28">
        <v>971</v>
      </c>
      <c r="H178" s="15">
        <f>G178*Valores!$B$2</f>
        <v>2253.6910000000003</v>
      </c>
      <c r="I178" s="24">
        <v>0</v>
      </c>
      <c r="J178" s="15">
        <f>I178*Valores!$B$2</f>
        <v>0</v>
      </c>
      <c r="K178" s="27">
        <v>0</v>
      </c>
      <c r="L178" s="15">
        <f>K178*Valores!$B$2</f>
        <v>0</v>
      </c>
      <c r="M178" s="27">
        <v>578</v>
      </c>
      <c r="N178" s="15">
        <f>M178*Valores!$B$2</f>
        <v>1341.538</v>
      </c>
      <c r="O178" s="15">
        <f t="shared" si="23"/>
        <v>652.53435</v>
      </c>
      <c r="P178" s="15">
        <f t="shared" si="17"/>
        <v>0</v>
      </c>
      <c r="Q178" s="17">
        <f>Valores!$B$18</f>
        <v>1015</v>
      </c>
      <c r="R178" s="17">
        <f>Valores!$C$6</f>
        <v>1038.184</v>
      </c>
      <c r="S178" s="17">
        <f>Valores!$B$23</f>
        <v>870</v>
      </c>
      <c r="T178" s="15">
        <f>Valores!$B$20</f>
        <v>755</v>
      </c>
      <c r="U178" s="15">
        <f t="shared" si="18"/>
        <v>755</v>
      </c>
      <c r="V178" s="15">
        <v>0</v>
      </c>
      <c r="W178" s="15">
        <v>0</v>
      </c>
      <c r="X178" s="24">
        <v>0</v>
      </c>
      <c r="Y178" s="15">
        <f>X178*Valores!$B$2</f>
        <v>0</v>
      </c>
      <c r="Z178" s="15">
        <v>0</v>
      </c>
      <c r="AA178" s="39">
        <v>129.04</v>
      </c>
      <c r="AB178" s="15">
        <f t="shared" si="19"/>
        <v>0</v>
      </c>
      <c r="AC178" s="15">
        <v>129.04</v>
      </c>
      <c r="AD178" s="16">
        <v>0</v>
      </c>
      <c r="AE178" s="15">
        <f>AD178*Valores!$B$2</f>
        <v>0</v>
      </c>
      <c r="AF178" s="31">
        <f t="shared" si="20"/>
        <v>8184.02735</v>
      </c>
      <c r="AG178" s="17">
        <f>$AG$135</f>
        <v>3730.3538500000004</v>
      </c>
      <c r="AH178" s="39">
        <v>0</v>
      </c>
      <c r="AI178" s="15">
        <f>Valores!$B$25</f>
        <v>0</v>
      </c>
      <c r="AJ178" s="15">
        <v>0</v>
      </c>
      <c r="AK178" s="25">
        <f t="shared" si="21"/>
        <v>0</v>
      </c>
      <c r="AL178" s="17">
        <f t="shared" si="22"/>
        <v>6342.62119625</v>
      </c>
      <c r="AM178" s="43"/>
      <c r="AN178" s="56"/>
      <c r="AO178" s="56">
        <v>22</v>
      </c>
      <c r="AP178" s="20" t="s">
        <v>487</v>
      </c>
    </row>
    <row r="179" spans="2:42" s="20" customFormat="1" ht="11.25" customHeight="1">
      <c r="B179" s="20">
        <v>179</v>
      </c>
      <c r="D179" s="20" t="s">
        <v>343</v>
      </c>
      <c r="F179" s="21" t="s">
        <v>344</v>
      </c>
      <c r="G179" s="28">
        <v>179</v>
      </c>
      <c r="H179" s="15">
        <f>G179*Valores!$B$2</f>
        <v>415.459</v>
      </c>
      <c r="I179" s="24">
        <f>1323</f>
        <v>1323</v>
      </c>
      <c r="J179" s="15">
        <f>I179*Valores!$B$2</f>
        <v>3070.6830000000004</v>
      </c>
      <c r="K179" s="27">
        <v>0</v>
      </c>
      <c r="L179" s="15">
        <f>K179*Valores!$B$2</f>
        <v>0</v>
      </c>
      <c r="M179" s="27">
        <v>1129</v>
      </c>
      <c r="N179" s="15">
        <f>M179*Valores!$B$2</f>
        <v>2620.409</v>
      </c>
      <c r="O179" s="15">
        <f t="shared" si="23"/>
        <v>1029.23265</v>
      </c>
      <c r="P179" s="15">
        <f t="shared" si="17"/>
        <v>0</v>
      </c>
      <c r="Q179" s="17">
        <f>Valores!$B$13</f>
        <v>1185</v>
      </c>
      <c r="R179" s="17">
        <f>Valores!$C$6</f>
        <v>1038.184</v>
      </c>
      <c r="S179" s="17">
        <f>Valores!$B$23</f>
        <v>870</v>
      </c>
      <c r="T179" s="15">
        <f>Valores!$B$20</f>
        <v>755</v>
      </c>
      <c r="U179" s="15">
        <f t="shared" si="18"/>
        <v>755</v>
      </c>
      <c r="V179" s="15">
        <v>0</v>
      </c>
      <c r="W179" s="15">
        <v>0</v>
      </c>
      <c r="X179" s="24">
        <v>0</v>
      </c>
      <c r="Y179" s="15">
        <f>X179*Valores!$B$2</f>
        <v>0</v>
      </c>
      <c r="Z179" s="15">
        <v>0</v>
      </c>
      <c r="AA179" s="39">
        <v>129.04</v>
      </c>
      <c r="AB179" s="15">
        <f t="shared" si="19"/>
        <v>0</v>
      </c>
      <c r="AC179" s="15">
        <v>129.04</v>
      </c>
      <c r="AD179" s="16">
        <v>0</v>
      </c>
      <c r="AE179" s="15">
        <f>AD179*Valores!$B$2</f>
        <v>0</v>
      </c>
      <c r="AF179" s="31">
        <f t="shared" si="20"/>
        <v>11242.047650000002</v>
      </c>
      <c r="AG179" s="15">
        <v>0</v>
      </c>
      <c r="AH179" s="39">
        <f>Valores!$B$5</f>
        <v>373.03438500000004</v>
      </c>
      <c r="AI179" s="15">
        <f>Valores!$B$25</f>
        <v>0</v>
      </c>
      <c r="AJ179" s="15">
        <v>0</v>
      </c>
      <c r="AK179" s="25">
        <f t="shared" si="21"/>
        <v>373.03438500000004</v>
      </c>
      <c r="AL179" s="17">
        <f t="shared" si="22"/>
        <v>9085.621313750004</v>
      </c>
      <c r="AM179" s="43"/>
      <c r="AN179" s="56"/>
      <c r="AO179" s="56"/>
      <c r="AP179" s="20" t="s">
        <v>487</v>
      </c>
    </row>
    <row r="180" spans="2:42" s="20" customFormat="1" ht="11.25" customHeight="1" thickBot="1">
      <c r="B180" s="20">
        <v>180</v>
      </c>
      <c r="D180" s="57" t="s">
        <v>345</v>
      </c>
      <c r="E180" s="57"/>
      <c r="F180" s="58" t="s">
        <v>346</v>
      </c>
      <c r="G180" s="59">
        <v>64</v>
      </c>
      <c r="H180" s="60">
        <f>G180*Valores!$B$2</f>
        <v>148.544</v>
      </c>
      <c r="I180" s="63">
        <v>1354</v>
      </c>
      <c r="J180" s="60">
        <f>I180*Valores!$B$2</f>
        <v>3142.634</v>
      </c>
      <c r="K180" s="70">
        <v>0</v>
      </c>
      <c r="L180" s="60">
        <f>K180*Valores!$B$2</f>
        <v>0</v>
      </c>
      <c r="M180" s="70">
        <v>1036</v>
      </c>
      <c r="N180" s="60">
        <f>M180*Valores!$B$2</f>
        <v>2404.556</v>
      </c>
      <c r="O180" s="60">
        <f t="shared" si="23"/>
        <v>963.1101</v>
      </c>
      <c r="P180" s="60">
        <f t="shared" si="17"/>
        <v>0</v>
      </c>
      <c r="Q180" s="62">
        <f>Valores!$B$18</f>
        <v>1015</v>
      </c>
      <c r="R180" s="62">
        <f>Valores!$C$6</f>
        <v>1038.184</v>
      </c>
      <c r="S180" s="60">
        <v>0</v>
      </c>
      <c r="T180" s="71">
        <f>Valores!$B$21</f>
        <v>725</v>
      </c>
      <c r="U180" s="60">
        <f t="shared" si="18"/>
        <v>725</v>
      </c>
      <c r="V180" s="60">
        <v>0</v>
      </c>
      <c r="W180" s="60">
        <v>0</v>
      </c>
      <c r="X180" s="63">
        <v>0</v>
      </c>
      <c r="Y180" s="60">
        <f>X180*Valores!$B$2</f>
        <v>0</v>
      </c>
      <c r="Z180" s="60">
        <v>0</v>
      </c>
      <c r="AA180" s="64">
        <v>129.04</v>
      </c>
      <c r="AB180" s="60">
        <f t="shared" si="19"/>
        <v>0</v>
      </c>
      <c r="AC180" s="60">
        <v>129.04</v>
      </c>
      <c r="AD180" s="65">
        <v>0</v>
      </c>
      <c r="AE180" s="60">
        <f>AD180*Valores!$B$2</f>
        <v>0</v>
      </c>
      <c r="AF180" s="66">
        <f t="shared" si="20"/>
        <v>9695.108100000001</v>
      </c>
      <c r="AG180" s="60">
        <v>0</v>
      </c>
      <c r="AH180" s="60">
        <v>0</v>
      </c>
      <c r="AI180" s="60">
        <f>Valores!$B$25</f>
        <v>0</v>
      </c>
      <c r="AJ180" s="60">
        <v>0</v>
      </c>
      <c r="AK180" s="67">
        <f t="shared" si="21"/>
        <v>0</v>
      </c>
      <c r="AL180" s="62">
        <f t="shared" si="22"/>
        <v>7513.708777500001</v>
      </c>
      <c r="AM180" s="68"/>
      <c r="AN180" s="69"/>
      <c r="AO180" s="69"/>
      <c r="AP180" s="20" t="s">
        <v>486</v>
      </c>
    </row>
    <row r="181" spans="2:42" s="20" customFormat="1" ht="11.25" customHeight="1" thickTop="1">
      <c r="B181" s="20">
        <v>181</v>
      </c>
      <c r="C181" s="20" t="s">
        <v>478</v>
      </c>
      <c r="D181" s="20" t="s">
        <v>347</v>
      </c>
      <c r="F181" s="21" t="s">
        <v>348</v>
      </c>
      <c r="G181" s="28">
        <v>55</v>
      </c>
      <c r="H181" s="15">
        <f>G181*Valores!$B$2</f>
        <v>127.65500000000002</v>
      </c>
      <c r="I181" s="24">
        <v>1279</v>
      </c>
      <c r="J181" s="15">
        <f>I181*Valores!$B$2</f>
        <v>2968.559</v>
      </c>
      <c r="K181" s="27">
        <v>0</v>
      </c>
      <c r="L181" s="15">
        <f>K181*Valores!$B$2</f>
        <v>0</v>
      </c>
      <c r="M181" s="27">
        <v>1029</v>
      </c>
      <c r="N181" s="15">
        <f>M181*Valores!$B$2</f>
        <v>2388.309</v>
      </c>
      <c r="O181" s="15">
        <f t="shared" si="23"/>
        <v>935.9284500000001</v>
      </c>
      <c r="P181" s="15">
        <f t="shared" si="17"/>
        <v>0</v>
      </c>
      <c r="Q181" s="17">
        <f>Valores!$B$18</f>
        <v>1015</v>
      </c>
      <c r="R181" s="17">
        <f>Valores!$C$6</f>
        <v>1038.184</v>
      </c>
      <c r="S181" s="15">
        <v>0</v>
      </c>
      <c r="T181" s="15">
        <f>Valores!$B$20</f>
        <v>755</v>
      </c>
      <c r="U181" s="15">
        <f t="shared" si="18"/>
        <v>755</v>
      </c>
      <c r="V181" s="15">
        <v>0</v>
      </c>
      <c r="W181" s="15">
        <v>0</v>
      </c>
      <c r="X181" s="24">
        <v>0</v>
      </c>
      <c r="Y181" s="15">
        <f>X181*Valores!$B$2</f>
        <v>0</v>
      </c>
      <c r="Z181" s="15">
        <v>0</v>
      </c>
      <c r="AA181" s="39">
        <v>129.04</v>
      </c>
      <c r="AB181" s="15">
        <f t="shared" si="19"/>
        <v>0</v>
      </c>
      <c r="AC181" s="15">
        <v>129.04</v>
      </c>
      <c r="AD181" s="16">
        <v>0</v>
      </c>
      <c r="AE181" s="15">
        <f>AD181*Valores!$B$2</f>
        <v>0</v>
      </c>
      <c r="AF181" s="31">
        <f t="shared" si="20"/>
        <v>9486.715450000003</v>
      </c>
      <c r="AG181" s="15">
        <v>0</v>
      </c>
      <c r="AH181" s="15">
        <v>0</v>
      </c>
      <c r="AI181" s="15">
        <f>Valores!$B$25</f>
        <v>0</v>
      </c>
      <c r="AJ181" s="15">
        <v>0</v>
      </c>
      <c r="AK181" s="25">
        <f t="shared" si="21"/>
        <v>0</v>
      </c>
      <c r="AL181" s="17">
        <f t="shared" si="22"/>
        <v>7352.204473750003</v>
      </c>
      <c r="AM181" s="43"/>
      <c r="AN181" s="56"/>
      <c r="AO181" s="56"/>
      <c r="AP181" s="20" t="s">
        <v>486</v>
      </c>
    </row>
    <row r="182" spans="2:42" s="20" customFormat="1" ht="11.25" customHeight="1">
      <c r="B182" s="20">
        <v>182</v>
      </c>
      <c r="D182" s="20" t="s">
        <v>349</v>
      </c>
      <c r="F182" s="21" t="s">
        <v>350</v>
      </c>
      <c r="G182" s="28">
        <v>1027</v>
      </c>
      <c r="H182" s="15">
        <f>G182*Valores!$B$2</f>
        <v>2383.6670000000004</v>
      </c>
      <c r="I182" s="24">
        <v>0</v>
      </c>
      <c r="J182" s="15">
        <f>I182*Valores!$B$2</f>
        <v>0</v>
      </c>
      <c r="K182" s="27">
        <v>0</v>
      </c>
      <c r="L182" s="15">
        <f>K182*Valores!$B$2</f>
        <v>0</v>
      </c>
      <c r="M182" s="27">
        <v>1013</v>
      </c>
      <c r="N182" s="15">
        <f>M182*Valores!$B$2</f>
        <v>2351.1730000000002</v>
      </c>
      <c r="O182" s="15">
        <f t="shared" si="23"/>
        <v>818.976</v>
      </c>
      <c r="P182" s="15">
        <f t="shared" si="17"/>
        <v>0</v>
      </c>
      <c r="Q182" s="17">
        <f>Valores!$B$18</f>
        <v>1015</v>
      </c>
      <c r="R182" s="17">
        <f>Valores!$C$6</f>
        <v>1038.184</v>
      </c>
      <c r="S182" s="15">
        <v>0</v>
      </c>
      <c r="T182" s="26">
        <f>Valores!$B$21</f>
        <v>725</v>
      </c>
      <c r="U182" s="15">
        <f t="shared" si="18"/>
        <v>725</v>
      </c>
      <c r="V182" s="15">
        <v>0</v>
      </c>
      <c r="W182" s="15">
        <v>0</v>
      </c>
      <c r="X182" s="24">
        <v>0</v>
      </c>
      <c r="Y182" s="15">
        <f>X182*Valores!$B$2</f>
        <v>0</v>
      </c>
      <c r="Z182" s="15">
        <v>0</v>
      </c>
      <c r="AA182" s="39">
        <v>129.04</v>
      </c>
      <c r="AB182" s="15">
        <f t="shared" si="19"/>
        <v>0</v>
      </c>
      <c r="AC182" s="15">
        <v>129.04</v>
      </c>
      <c r="AD182" s="16">
        <v>0</v>
      </c>
      <c r="AE182" s="15">
        <f>AD182*Valores!$B$2</f>
        <v>0</v>
      </c>
      <c r="AF182" s="31">
        <f t="shared" si="20"/>
        <v>8590.080000000002</v>
      </c>
      <c r="AG182" s="15">
        <v>0</v>
      </c>
      <c r="AH182" s="15">
        <v>340</v>
      </c>
      <c r="AI182" s="15">
        <f>Valores!$B$25</f>
        <v>0</v>
      </c>
      <c r="AJ182" s="15">
        <v>0</v>
      </c>
      <c r="AK182" s="25">
        <f t="shared" si="21"/>
        <v>340</v>
      </c>
      <c r="AL182" s="17">
        <f t="shared" si="22"/>
        <v>6997.312000000002</v>
      </c>
      <c r="AM182" s="43"/>
      <c r="AN182" s="56"/>
      <c r="AO182" s="56"/>
      <c r="AP182" s="20" t="s">
        <v>486</v>
      </c>
    </row>
    <row r="183" spans="2:42" s="20" customFormat="1" ht="11.25" customHeight="1">
      <c r="B183" s="20">
        <v>183</v>
      </c>
      <c r="D183" s="20" t="s">
        <v>351</v>
      </c>
      <c r="F183" s="21" t="s">
        <v>352</v>
      </c>
      <c r="G183" s="28">
        <v>1278</v>
      </c>
      <c r="H183" s="15">
        <f>G183*Valores!$B$2</f>
        <v>2966.2380000000003</v>
      </c>
      <c r="I183" s="24">
        <v>0</v>
      </c>
      <c r="J183" s="15">
        <f>I183*Valores!$B$2</f>
        <v>0</v>
      </c>
      <c r="K183" s="27">
        <v>0</v>
      </c>
      <c r="L183" s="15">
        <f>K183*Valores!$B$2</f>
        <v>0</v>
      </c>
      <c r="M183" s="27">
        <v>1940</v>
      </c>
      <c r="N183" s="15">
        <f>M183*Valores!$B$2</f>
        <v>4502.740000000001</v>
      </c>
      <c r="O183" s="15">
        <f t="shared" si="23"/>
        <v>1233.5967</v>
      </c>
      <c r="P183" s="15">
        <f t="shared" si="17"/>
        <v>0</v>
      </c>
      <c r="Q183" s="17">
        <f>Valores!$B$18</f>
        <v>1015</v>
      </c>
      <c r="R183" s="17">
        <f>Valores!$C$6</f>
        <v>1038.184</v>
      </c>
      <c r="S183" s="17">
        <f>Valores!$B$23</f>
        <v>870</v>
      </c>
      <c r="T183" s="15">
        <f>Valores!$B$20</f>
        <v>755</v>
      </c>
      <c r="U183" s="15">
        <f t="shared" si="18"/>
        <v>755</v>
      </c>
      <c r="V183" s="15">
        <v>0</v>
      </c>
      <c r="W183" s="15">
        <v>0</v>
      </c>
      <c r="X183" s="24">
        <v>0</v>
      </c>
      <c r="Y183" s="15">
        <f>X183*Valores!$B$2</f>
        <v>0</v>
      </c>
      <c r="Z183" s="15">
        <v>0</v>
      </c>
      <c r="AA183" s="39">
        <v>129.04</v>
      </c>
      <c r="AB183" s="15">
        <f t="shared" si="19"/>
        <v>0</v>
      </c>
      <c r="AC183" s="15">
        <v>129.04</v>
      </c>
      <c r="AD183" s="16">
        <v>0</v>
      </c>
      <c r="AE183" s="15">
        <f>AD183*Valores!$B$2</f>
        <v>0</v>
      </c>
      <c r="AF183" s="31">
        <f t="shared" si="20"/>
        <v>12638.838700000002</v>
      </c>
      <c r="AG183" s="17">
        <f>$AG$135</f>
        <v>3730.3538500000004</v>
      </c>
      <c r="AH183" s="39">
        <v>0</v>
      </c>
      <c r="AI183" s="15">
        <f>Valores!$B$25</f>
        <v>0</v>
      </c>
      <c r="AJ183" s="15">
        <v>0</v>
      </c>
      <c r="AK183" s="25">
        <f t="shared" si="21"/>
        <v>0</v>
      </c>
      <c r="AL183" s="17">
        <f t="shared" si="22"/>
        <v>9795.099992500001</v>
      </c>
      <c r="AM183" s="43"/>
      <c r="AN183" s="56"/>
      <c r="AO183" s="56"/>
      <c r="AP183" s="20" t="s">
        <v>486</v>
      </c>
    </row>
    <row r="184" spans="2:42" s="20" customFormat="1" ht="11.25" customHeight="1">
      <c r="B184" s="20">
        <v>184</v>
      </c>
      <c r="D184" s="20" t="s">
        <v>455</v>
      </c>
      <c r="F184" s="21" t="s">
        <v>456</v>
      </c>
      <c r="G184" s="28">
        <v>1065</v>
      </c>
      <c r="H184" s="15">
        <f>G184*Valores!$B$2</f>
        <v>2471.8650000000002</v>
      </c>
      <c r="I184" s="24">
        <v>0</v>
      </c>
      <c r="J184" s="15">
        <f>I184*Valores!$B$2</f>
        <v>0</v>
      </c>
      <c r="K184" s="27">
        <v>0</v>
      </c>
      <c r="L184" s="15">
        <f>K184*Valores!$B$2</f>
        <v>0</v>
      </c>
      <c r="M184" s="27">
        <v>512</v>
      </c>
      <c r="N184" s="15">
        <f>M184*Valores!$B$2</f>
        <v>1188.352</v>
      </c>
      <c r="O184" s="15">
        <f t="shared" si="23"/>
        <v>662.28255</v>
      </c>
      <c r="P184" s="15">
        <f t="shared" si="17"/>
        <v>0</v>
      </c>
      <c r="Q184" s="17">
        <f>Valores!$B$18</f>
        <v>1015</v>
      </c>
      <c r="R184" s="17">
        <f>Valores!$C$6</f>
        <v>1038.184</v>
      </c>
      <c r="S184" s="15">
        <v>0</v>
      </c>
      <c r="T184" s="15">
        <f>Valores!$B$20</f>
        <v>755</v>
      </c>
      <c r="U184" s="15">
        <f t="shared" si="18"/>
        <v>755</v>
      </c>
      <c r="V184" s="15">
        <v>0</v>
      </c>
      <c r="W184" s="15">
        <v>0</v>
      </c>
      <c r="X184" s="24">
        <v>0</v>
      </c>
      <c r="Y184" s="15">
        <f>X184*Valores!$B$2</f>
        <v>0</v>
      </c>
      <c r="Z184" s="15">
        <v>0</v>
      </c>
      <c r="AA184" s="39">
        <v>129.04</v>
      </c>
      <c r="AB184" s="15">
        <f t="shared" si="19"/>
        <v>0</v>
      </c>
      <c r="AC184" s="15">
        <v>129.04</v>
      </c>
      <c r="AD184" s="16">
        <v>0</v>
      </c>
      <c r="AE184" s="15">
        <f>AD184*Valores!$B$2</f>
        <v>0</v>
      </c>
      <c r="AF184" s="31">
        <f t="shared" si="20"/>
        <v>7388.763550000001</v>
      </c>
      <c r="AG184" s="15">
        <v>0</v>
      </c>
      <c r="AH184" s="39">
        <f>Valores!$B$4</f>
        <v>340</v>
      </c>
      <c r="AI184" s="15">
        <f>Valores!$B$25</f>
        <v>0</v>
      </c>
      <c r="AJ184" s="15">
        <v>0</v>
      </c>
      <c r="AK184" s="25">
        <f t="shared" si="21"/>
        <v>340</v>
      </c>
      <c r="AL184" s="17">
        <f t="shared" si="22"/>
        <v>6066.291751250001</v>
      </c>
      <c r="AM184" s="43">
        <v>220</v>
      </c>
      <c r="AN184" s="56"/>
      <c r="AO184" s="56"/>
      <c r="AP184" s="20" t="s">
        <v>487</v>
      </c>
    </row>
    <row r="185" spans="2:42" s="20" customFormat="1" ht="11.25" customHeight="1" thickBot="1">
      <c r="B185" s="20">
        <v>185</v>
      </c>
      <c r="D185" s="57" t="s">
        <v>353</v>
      </c>
      <c r="E185" s="57"/>
      <c r="F185" s="58" t="s">
        <v>354</v>
      </c>
      <c r="G185" s="59">
        <v>971</v>
      </c>
      <c r="H185" s="60">
        <f>G185*Valores!$B$2</f>
        <v>2253.6910000000003</v>
      </c>
      <c r="I185" s="63">
        <v>0</v>
      </c>
      <c r="J185" s="60">
        <f>I185*Valores!$B$2</f>
        <v>0</v>
      </c>
      <c r="K185" s="70">
        <v>0</v>
      </c>
      <c r="L185" s="60">
        <f>K185*Valores!$B$2</f>
        <v>0</v>
      </c>
      <c r="M185" s="70">
        <v>578</v>
      </c>
      <c r="N185" s="60">
        <f>M185*Valores!$B$2</f>
        <v>1341.538</v>
      </c>
      <c r="O185" s="60">
        <f t="shared" si="23"/>
        <v>652.53435</v>
      </c>
      <c r="P185" s="60">
        <f t="shared" si="17"/>
        <v>0</v>
      </c>
      <c r="Q185" s="62">
        <f>Valores!$B$18</f>
        <v>1015</v>
      </c>
      <c r="R185" s="62">
        <f>Valores!$C$6</f>
        <v>1038.184</v>
      </c>
      <c r="S185" s="62">
        <f>Valores!$B$23</f>
        <v>870</v>
      </c>
      <c r="T185" s="60">
        <f>Valores!$B$20</f>
        <v>755</v>
      </c>
      <c r="U185" s="60">
        <f t="shared" si="18"/>
        <v>755</v>
      </c>
      <c r="V185" s="60">
        <v>0</v>
      </c>
      <c r="W185" s="60">
        <v>0</v>
      </c>
      <c r="X185" s="63">
        <v>0</v>
      </c>
      <c r="Y185" s="60">
        <f>X185*Valores!$B$2</f>
        <v>0</v>
      </c>
      <c r="Z185" s="60">
        <v>0</v>
      </c>
      <c r="AA185" s="64">
        <v>129.04</v>
      </c>
      <c r="AB185" s="60">
        <f t="shared" si="19"/>
        <v>0</v>
      </c>
      <c r="AC185" s="60">
        <v>129.04</v>
      </c>
      <c r="AD185" s="65">
        <v>0</v>
      </c>
      <c r="AE185" s="60">
        <f>AD185*Valores!$B$2</f>
        <v>0</v>
      </c>
      <c r="AF185" s="66">
        <f t="shared" si="20"/>
        <v>8184.02735</v>
      </c>
      <c r="AG185" s="62">
        <f>$AG$135</f>
        <v>3730.3538500000004</v>
      </c>
      <c r="AH185" s="64">
        <v>0</v>
      </c>
      <c r="AI185" s="64">
        <f>Valores!$B$25</f>
        <v>0</v>
      </c>
      <c r="AJ185" s="60">
        <v>0</v>
      </c>
      <c r="AK185" s="67">
        <f t="shared" si="21"/>
        <v>0</v>
      </c>
      <c r="AL185" s="62">
        <f t="shared" si="22"/>
        <v>6342.62119625</v>
      </c>
      <c r="AM185" s="68"/>
      <c r="AN185" s="69"/>
      <c r="AO185" s="69">
        <v>22</v>
      </c>
      <c r="AP185" s="20" t="s">
        <v>487</v>
      </c>
    </row>
    <row r="186" spans="2:42" s="20" customFormat="1" ht="11.25" customHeight="1" thickTop="1">
      <c r="B186" s="20">
        <v>186</v>
      </c>
      <c r="C186" s="20" t="s">
        <v>478</v>
      </c>
      <c r="D186" s="20" t="s">
        <v>355</v>
      </c>
      <c r="E186" s="20">
        <v>1</v>
      </c>
      <c r="F186" s="21" t="str">
        <f aca="true" t="shared" si="24" ref="F186:F216">CONCATENATE("Hora Cátedra Enseñanza Superior ",E186," hs")</f>
        <v>Hora Cátedra Enseñanza Superior 1 hs</v>
      </c>
      <c r="G186" s="28">
        <f aca="true" t="shared" si="25" ref="G186:G216">99*E186</f>
        <v>99</v>
      </c>
      <c r="H186" s="15">
        <f>G186*Valores!$B$2</f>
        <v>229.77900000000002</v>
      </c>
      <c r="I186" s="24">
        <v>0</v>
      </c>
      <c r="J186" s="15">
        <f>I186*Valores!$B$2</f>
        <v>0</v>
      </c>
      <c r="K186" s="27">
        <v>0</v>
      </c>
      <c r="L186" s="15">
        <f>K186*Valores!$B$2</f>
        <v>0</v>
      </c>
      <c r="M186" s="27">
        <v>0</v>
      </c>
      <c r="N186" s="15">
        <f>M186*Valores!$B$2</f>
        <v>0</v>
      </c>
      <c r="O186" s="15">
        <f t="shared" si="23"/>
        <v>37.016850000000005</v>
      </c>
      <c r="P186" s="15">
        <f t="shared" si="17"/>
        <v>0</v>
      </c>
      <c r="Q186" s="17">
        <f>Valores!$B$7*E186</f>
        <v>42.5</v>
      </c>
      <c r="R186" s="17">
        <f>IF(E186&lt;15,(Valores!$C$6/15*E186),Valores!$C$6)</f>
        <v>69.21226666666666</v>
      </c>
      <c r="S186" s="15">
        <v>0</v>
      </c>
      <c r="T186" s="17">
        <f>Valores!$B$8*E186</f>
        <v>17</v>
      </c>
      <c r="U186" s="15">
        <f t="shared" si="18"/>
        <v>17</v>
      </c>
      <c r="V186" s="15">
        <v>0</v>
      </c>
      <c r="W186" s="15">
        <v>0</v>
      </c>
      <c r="X186" s="24">
        <v>0</v>
      </c>
      <c r="Y186" s="15">
        <f>X186*Valores!$B$2</f>
        <v>0</v>
      </c>
      <c r="Z186" s="15">
        <v>0</v>
      </c>
      <c r="AA186" s="39">
        <f aca="true" t="shared" si="26" ref="AA186:AA217">(5.17)*E186</f>
        <v>5.17</v>
      </c>
      <c r="AB186" s="15">
        <f t="shared" si="19"/>
        <v>0</v>
      </c>
      <c r="AC186" s="15">
        <f aca="true" t="shared" si="27" ref="AC186:AC215">129.04/30*E186</f>
        <v>4.301333333333333</v>
      </c>
      <c r="AD186" s="16">
        <v>0</v>
      </c>
      <c r="AE186" s="15">
        <f>AD186*Valores!$B$2</f>
        <v>0</v>
      </c>
      <c r="AF186" s="31">
        <f t="shared" si="20"/>
        <v>404.97945000000004</v>
      </c>
      <c r="AG186" s="15">
        <v>0</v>
      </c>
      <c r="AH186" s="17">
        <f>Valores!$B$10*E186/30</f>
        <v>24.5</v>
      </c>
      <c r="AI186" s="17">
        <f>Valores!$C$25*'Escala Docente'!E186</f>
        <v>0</v>
      </c>
      <c r="AJ186" s="15">
        <v>0</v>
      </c>
      <c r="AK186" s="25">
        <f t="shared" si="21"/>
        <v>24.5</v>
      </c>
      <c r="AL186" s="17">
        <f t="shared" si="22"/>
        <v>338.35907375000005</v>
      </c>
      <c r="AM186" s="43">
        <f>9.17*E186</f>
        <v>9.17</v>
      </c>
      <c r="AN186" s="56"/>
      <c r="AO186" s="56">
        <v>4</v>
      </c>
      <c r="AP186" s="20" t="s">
        <v>487</v>
      </c>
    </row>
    <row r="187" spans="2:42" s="20" customFormat="1" ht="11.25" customHeight="1">
      <c r="B187" s="20">
        <v>187</v>
      </c>
      <c r="D187" s="20" t="s">
        <v>355</v>
      </c>
      <c r="E187" s="20">
        <v>2</v>
      </c>
      <c r="F187" s="21" t="str">
        <f t="shared" si="24"/>
        <v>Hora Cátedra Enseñanza Superior 2 hs</v>
      </c>
      <c r="G187" s="28">
        <f t="shared" si="25"/>
        <v>198</v>
      </c>
      <c r="H187" s="15">
        <f>G187*Valores!$B$2</f>
        <v>459.55800000000005</v>
      </c>
      <c r="I187" s="24">
        <v>0</v>
      </c>
      <c r="J187" s="15">
        <f>I187*Valores!$B$2</f>
        <v>0</v>
      </c>
      <c r="K187" s="27">
        <v>0</v>
      </c>
      <c r="L187" s="15">
        <f>K187*Valores!$B$2</f>
        <v>0</v>
      </c>
      <c r="M187" s="27">
        <v>0</v>
      </c>
      <c r="N187" s="15">
        <f>M187*Valores!$B$2</f>
        <v>0</v>
      </c>
      <c r="O187" s="15">
        <f t="shared" si="23"/>
        <v>74.03370000000001</v>
      </c>
      <c r="P187" s="15">
        <f t="shared" si="17"/>
        <v>0</v>
      </c>
      <c r="Q187" s="17">
        <f>Valores!$B$7*E187</f>
        <v>85</v>
      </c>
      <c r="R187" s="17">
        <f>IF(E187&lt;15,(Valores!$C$6/15*E187),Valores!$C$6)</f>
        <v>138.42453333333333</v>
      </c>
      <c r="S187" s="15">
        <v>0</v>
      </c>
      <c r="T187" s="17">
        <f>Valores!$B$8*E187</f>
        <v>34</v>
      </c>
      <c r="U187" s="15">
        <f t="shared" si="18"/>
        <v>34</v>
      </c>
      <c r="V187" s="15">
        <v>0</v>
      </c>
      <c r="W187" s="15">
        <v>0</v>
      </c>
      <c r="X187" s="24">
        <v>0</v>
      </c>
      <c r="Y187" s="15">
        <f>X187*Valores!$B$2</f>
        <v>0</v>
      </c>
      <c r="Z187" s="15">
        <v>0</v>
      </c>
      <c r="AA187" s="39">
        <f t="shared" si="26"/>
        <v>10.34</v>
      </c>
      <c r="AB187" s="15">
        <f t="shared" si="19"/>
        <v>0</v>
      </c>
      <c r="AC187" s="15">
        <f t="shared" si="27"/>
        <v>8.602666666666666</v>
      </c>
      <c r="AD187" s="16">
        <v>0</v>
      </c>
      <c r="AE187" s="15">
        <f>AD187*Valores!$B$2</f>
        <v>0</v>
      </c>
      <c r="AF187" s="31">
        <f t="shared" si="20"/>
        <v>809.9589000000001</v>
      </c>
      <c r="AG187" s="15">
        <v>0</v>
      </c>
      <c r="AH187" s="17">
        <f>Valores!$B$10*E187/30</f>
        <v>49</v>
      </c>
      <c r="AI187" s="17">
        <f>Valores!$C$25*'Escala Docente'!E187</f>
        <v>0</v>
      </c>
      <c r="AJ187" s="15">
        <v>0</v>
      </c>
      <c r="AK187" s="25">
        <f t="shared" si="21"/>
        <v>49</v>
      </c>
      <c r="AL187" s="17">
        <f t="shared" si="22"/>
        <v>676.7181475000001</v>
      </c>
      <c r="AM187" s="43">
        <f>(9.17*E187)-0.01</f>
        <v>18.33</v>
      </c>
      <c r="AN187" s="56"/>
      <c r="AO187" s="56"/>
      <c r="AP187" s="20" t="s">
        <v>487</v>
      </c>
    </row>
    <row r="188" spans="2:42" s="20" customFormat="1" ht="11.25" customHeight="1">
      <c r="B188" s="20">
        <v>188</v>
      </c>
      <c r="D188" s="20" t="s">
        <v>355</v>
      </c>
      <c r="E188" s="20">
        <v>3</v>
      </c>
      <c r="F188" s="21" t="str">
        <f t="shared" si="24"/>
        <v>Hora Cátedra Enseñanza Superior 3 hs</v>
      </c>
      <c r="G188" s="28">
        <f t="shared" si="25"/>
        <v>297</v>
      </c>
      <c r="H188" s="15">
        <f>G188*Valores!$B$2</f>
        <v>689.3370000000001</v>
      </c>
      <c r="I188" s="24">
        <v>0</v>
      </c>
      <c r="J188" s="15">
        <f>I188*Valores!$B$2</f>
        <v>0</v>
      </c>
      <c r="K188" s="27">
        <v>0</v>
      </c>
      <c r="L188" s="15">
        <f>K188*Valores!$B$2</f>
        <v>0</v>
      </c>
      <c r="M188" s="27">
        <v>0</v>
      </c>
      <c r="N188" s="15">
        <f>M188*Valores!$B$2</f>
        <v>0</v>
      </c>
      <c r="O188" s="15">
        <f t="shared" si="23"/>
        <v>111.05055000000002</v>
      </c>
      <c r="P188" s="15">
        <f t="shared" si="17"/>
        <v>0</v>
      </c>
      <c r="Q188" s="17">
        <f>Valores!$B$7*E188</f>
        <v>127.5</v>
      </c>
      <c r="R188" s="17">
        <f>IF(E188&lt;15,(Valores!$C$6/15*E188),Valores!$C$6)</f>
        <v>207.6368</v>
      </c>
      <c r="S188" s="15">
        <v>0</v>
      </c>
      <c r="T188" s="17">
        <f>Valores!$B$8*E188</f>
        <v>51</v>
      </c>
      <c r="U188" s="15">
        <f t="shared" si="18"/>
        <v>51</v>
      </c>
      <c r="V188" s="15">
        <v>0</v>
      </c>
      <c r="W188" s="15">
        <v>0</v>
      </c>
      <c r="X188" s="24">
        <v>0</v>
      </c>
      <c r="Y188" s="15">
        <f>X188*Valores!$B$2</f>
        <v>0</v>
      </c>
      <c r="Z188" s="15">
        <v>0</v>
      </c>
      <c r="AA188" s="39">
        <f t="shared" si="26"/>
        <v>15.51</v>
      </c>
      <c r="AB188" s="15">
        <f t="shared" si="19"/>
        <v>0</v>
      </c>
      <c r="AC188" s="15">
        <f t="shared" si="27"/>
        <v>12.904</v>
      </c>
      <c r="AD188" s="16">
        <v>0</v>
      </c>
      <c r="AE188" s="15">
        <f>AD188*Valores!$B$2</f>
        <v>0</v>
      </c>
      <c r="AF188" s="31">
        <f t="shared" si="20"/>
        <v>1214.9383500000001</v>
      </c>
      <c r="AG188" s="15">
        <v>0</v>
      </c>
      <c r="AH188" s="17">
        <f>Valores!$B$10*E188/30</f>
        <v>73.5</v>
      </c>
      <c r="AI188" s="17">
        <f>Valores!$C$25*'Escala Docente'!E188</f>
        <v>0</v>
      </c>
      <c r="AJ188" s="15">
        <v>0</v>
      </c>
      <c r="AK188" s="25">
        <f t="shared" si="21"/>
        <v>73.5</v>
      </c>
      <c r="AL188" s="17">
        <f t="shared" si="22"/>
        <v>1015.0772212500001</v>
      </c>
      <c r="AM188" s="43">
        <f>(9.17*E188)-0.01</f>
        <v>27.499999999999996</v>
      </c>
      <c r="AN188" s="56"/>
      <c r="AO188" s="56"/>
      <c r="AP188" s="20" t="s">
        <v>487</v>
      </c>
    </row>
    <row r="189" spans="2:42" s="20" customFormat="1" ht="11.25" customHeight="1">
      <c r="B189" s="20">
        <v>189</v>
      </c>
      <c r="D189" s="20" t="s">
        <v>355</v>
      </c>
      <c r="E189" s="20">
        <v>4</v>
      </c>
      <c r="F189" s="21" t="str">
        <f t="shared" si="24"/>
        <v>Hora Cátedra Enseñanza Superior 4 hs</v>
      </c>
      <c r="G189" s="28">
        <f t="shared" si="25"/>
        <v>396</v>
      </c>
      <c r="H189" s="15">
        <f>G189*Valores!$B$2</f>
        <v>919.1160000000001</v>
      </c>
      <c r="I189" s="24">
        <v>0</v>
      </c>
      <c r="J189" s="15">
        <f>I189*Valores!$B$2</f>
        <v>0</v>
      </c>
      <c r="K189" s="27">
        <v>0</v>
      </c>
      <c r="L189" s="15">
        <f>K189*Valores!$B$2</f>
        <v>0</v>
      </c>
      <c r="M189" s="27">
        <v>0</v>
      </c>
      <c r="N189" s="15">
        <f>M189*Valores!$B$2</f>
        <v>0</v>
      </c>
      <c r="O189" s="15">
        <f t="shared" si="23"/>
        <v>148.06740000000002</v>
      </c>
      <c r="P189" s="15">
        <f t="shared" si="17"/>
        <v>0</v>
      </c>
      <c r="Q189" s="17">
        <f>Valores!$B$7*E189</f>
        <v>170</v>
      </c>
      <c r="R189" s="17">
        <f>IF(E189&lt;15,(Valores!$C$6/15*E189),Valores!$C$6)</f>
        <v>276.84906666666666</v>
      </c>
      <c r="S189" s="15">
        <v>0</v>
      </c>
      <c r="T189" s="17">
        <f>Valores!$B$8*E189</f>
        <v>68</v>
      </c>
      <c r="U189" s="15">
        <f t="shared" si="18"/>
        <v>68</v>
      </c>
      <c r="V189" s="15">
        <v>0</v>
      </c>
      <c r="W189" s="15">
        <v>0</v>
      </c>
      <c r="X189" s="24">
        <v>0</v>
      </c>
      <c r="Y189" s="15">
        <f>X189*Valores!$B$2</f>
        <v>0</v>
      </c>
      <c r="Z189" s="15">
        <v>0</v>
      </c>
      <c r="AA189" s="39">
        <f t="shared" si="26"/>
        <v>20.68</v>
      </c>
      <c r="AB189" s="15">
        <f t="shared" si="19"/>
        <v>0</v>
      </c>
      <c r="AC189" s="15">
        <f t="shared" si="27"/>
        <v>17.205333333333332</v>
      </c>
      <c r="AD189" s="16">
        <v>0</v>
      </c>
      <c r="AE189" s="15">
        <f>AD189*Valores!$B$2</f>
        <v>0</v>
      </c>
      <c r="AF189" s="31">
        <f t="shared" si="20"/>
        <v>1619.9178000000002</v>
      </c>
      <c r="AG189" s="15">
        <v>0</v>
      </c>
      <c r="AH189" s="17">
        <f>Valores!$B$10*E189/30</f>
        <v>98</v>
      </c>
      <c r="AI189" s="17">
        <f>Valores!$C$25*'Escala Docente'!E189</f>
        <v>0</v>
      </c>
      <c r="AJ189" s="15">
        <v>0</v>
      </c>
      <c r="AK189" s="25">
        <f t="shared" si="21"/>
        <v>98</v>
      </c>
      <c r="AL189" s="17">
        <f t="shared" si="22"/>
        <v>1353.4362950000002</v>
      </c>
      <c r="AM189" s="43">
        <f>(9.17*E189)-0.01</f>
        <v>36.67</v>
      </c>
      <c r="AN189" s="56"/>
      <c r="AO189" s="56"/>
      <c r="AP189" s="20" t="s">
        <v>487</v>
      </c>
    </row>
    <row r="190" spans="2:42" s="20" customFormat="1" ht="11.25" customHeight="1" thickBot="1">
      <c r="B190" s="20">
        <v>190</v>
      </c>
      <c r="D190" s="57" t="s">
        <v>355</v>
      </c>
      <c r="E190" s="57">
        <v>5</v>
      </c>
      <c r="F190" s="58" t="str">
        <f t="shared" si="24"/>
        <v>Hora Cátedra Enseñanza Superior 5 hs</v>
      </c>
      <c r="G190" s="59">
        <f t="shared" si="25"/>
        <v>495</v>
      </c>
      <c r="H190" s="60">
        <f>G190*Valores!$B$2</f>
        <v>1148.895</v>
      </c>
      <c r="I190" s="63">
        <v>0</v>
      </c>
      <c r="J190" s="60">
        <f>I190*Valores!$B$2</f>
        <v>0</v>
      </c>
      <c r="K190" s="70">
        <v>0</v>
      </c>
      <c r="L190" s="60">
        <f>K190*Valores!$B$2</f>
        <v>0</v>
      </c>
      <c r="M190" s="70">
        <v>0</v>
      </c>
      <c r="N190" s="60">
        <f>M190*Valores!$B$2</f>
        <v>0</v>
      </c>
      <c r="O190" s="60">
        <f t="shared" si="23"/>
        <v>185.08425</v>
      </c>
      <c r="P190" s="60">
        <f t="shared" si="17"/>
        <v>0</v>
      </c>
      <c r="Q190" s="62">
        <f>Valores!$B$7*E190</f>
        <v>212.5</v>
      </c>
      <c r="R190" s="62">
        <f>IF(E190&lt;15,(Valores!$C$6/15*E190),Valores!$C$6)</f>
        <v>346.0613333333333</v>
      </c>
      <c r="S190" s="60">
        <v>0</v>
      </c>
      <c r="T190" s="62">
        <f>Valores!$B$8*E190</f>
        <v>85</v>
      </c>
      <c r="U190" s="60">
        <f t="shared" si="18"/>
        <v>85</v>
      </c>
      <c r="V190" s="60">
        <v>0</v>
      </c>
      <c r="W190" s="60">
        <v>0</v>
      </c>
      <c r="X190" s="63">
        <v>0</v>
      </c>
      <c r="Y190" s="60">
        <f>X190*Valores!$B$2</f>
        <v>0</v>
      </c>
      <c r="Z190" s="60">
        <v>0</v>
      </c>
      <c r="AA190" s="64">
        <f t="shared" si="26"/>
        <v>25.85</v>
      </c>
      <c r="AB190" s="60">
        <f t="shared" si="19"/>
        <v>0</v>
      </c>
      <c r="AC190" s="60">
        <f t="shared" si="27"/>
        <v>21.506666666666664</v>
      </c>
      <c r="AD190" s="65">
        <v>0</v>
      </c>
      <c r="AE190" s="60">
        <f>AD190*Valores!$B$2</f>
        <v>0</v>
      </c>
      <c r="AF190" s="66">
        <f t="shared" si="20"/>
        <v>2024.8972499999998</v>
      </c>
      <c r="AG190" s="60">
        <v>0</v>
      </c>
      <c r="AH190" s="62">
        <f>Valores!$B$10*E190/30</f>
        <v>122.5</v>
      </c>
      <c r="AI190" s="64">
        <f>Valores!$C$25*'Escala Docente'!E190</f>
        <v>0</v>
      </c>
      <c r="AJ190" s="60">
        <v>0</v>
      </c>
      <c r="AK190" s="67">
        <f t="shared" si="21"/>
        <v>122.5</v>
      </c>
      <c r="AL190" s="62">
        <f t="shared" si="22"/>
        <v>1691.7953687499999</v>
      </c>
      <c r="AM190" s="68">
        <f>(9.17*E190)-0.02</f>
        <v>45.83</v>
      </c>
      <c r="AN190" s="69"/>
      <c r="AO190" s="69"/>
      <c r="AP190" s="20" t="s">
        <v>487</v>
      </c>
    </row>
    <row r="191" spans="2:42" s="20" customFormat="1" ht="11.25" customHeight="1" thickTop="1">
      <c r="B191" s="20">
        <v>191</v>
      </c>
      <c r="C191" s="20" t="s">
        <v>478</v>
      </c>
      <c r="D191" s="20" t="s">
        <v>355</v>
      </c>
      <c r="E191" s="20">
        <v>6</v>
      </c>
      <c r="F191" s="21" t="str">
        <f t="shared" si="24"/>
        <v>Hora Cátedra Enseñanza Superior 6 hs</v>
      </c>
      <c r="G191" s="28">
        <f t="shared" si="25"/>
        <v>594</v>
      </c>
      <c r="H191" s="15">
        <f>G191*Valores!$B$2</f>
        <v>1378.6740000000002</v>
      </c>
      <c r="I191" s="24">
        <v>0</v>
      </c>
      <c r="J191" s="15">
        <f>I191*Valores!$B$2</f>
        <v>0</v>
      </c>
      <c r="K191" s="27">
        <v>0</v>
      </c>
      <c r="L191" s="15">
        <f>K191*Valores!$B$2</f>
        <v>0</v>
      </c>
      <c r="M191" s="27">
        <v>0</v>
      </c>
      <c r="N191" s="15">
        <f>M191*Valores!$B$2</f>
        <v>0</v>
      </c>
      <c r="O191" s="15">
        <f t="shared" si="23"/>
        <v>222.10110000000003</v>
      </c>
      <c r="P191" s="15">
        <f t="shared" si="17"/>
        <v>0</v>
      </c>
      <c r="Q191" s="17">
        <f>Valores!$B$7*E191</f>
        <v>255</v>
      </c>
      <c r="R191" s="17">
        <f>IF(E191&lt;15,(Valores!$C$6/15*E191),Valores!$C$6)</f>
        <v>415.2736</v>
      </c>
      <c r="S191" s="15">
        <v>0</v>
      </c>
      <c r="T191" s="17">
        <f>Valores!$B$8*E191</f>
        <v>102</v>
      </c>
      <c r="U191" s="15">
        <f t="shared" si="18"/>
        <v>102</v>
      </c>
      <c r="V191" s="15">
        <v>0</v>
      </c>
      <c r="W191" s="15">
        <v>0</v>
      </c>
      <c r="X191" s="24">
        <v>0</v>
      </c>
      <c r="Y191" s="15">
        <f>X191*Valores!$B$2</f>
        <v>0</v>
      </c>
      <c r="Z191" s="15">
        <v>0</v>
      </c>
      <c r="AA191" s="39">
        <f t="shared" si="26"/>
        <v>31.02</v>
      </c>
      <c r="AB191" s="15">
        <f t="shared" si="19"/>
        <v>0</v>
      </c>
      <c r="AC191" s="15">
        <f t="shared" si="27"/>
        <v>25.808</v>
      </c>
      <c r="AD191" s="16">
        <v>0</v>
      </c>
      <c r="AE191" s="15">
        <f>AD191*Valores!$B$2</f>
        <v>0</v>
      </c>
      <c r="AF191" s="31">
        <f t="shared" si="20"/>
        <v>2429.8767000000003</v>
      </c>
      <c r="AG191" s="15">
        <v>0</v>
      </c>
      <c r="AH191" s="17">
        <f>Valores!$B$10*E191/30</f>
        <v>147</v>
      </c>
      <c r="AI191" s="17">
        <f>Valores!$C$25*'Escala Docente'!E191</f>
        <v>0</v>
      </c>
      <c r="AJ191" s="15">
        <v>0</v>
      </c>
      <c r="AK191" s="25">
        <f t="shared" si="21"/>
        <v>147</v>
      </c>
      <c r="AL191" s="17">
        <f t="shared" si="22"/>
        <v>2030.1544425000002</v>
      </c>
      <c r="AM191" s="43">
        <f>(9.17*E191)-0.02</f>
        <v>54.99999999999999</v>
      </c>
      <c r="AN191" s="56"/>
      <c r="AO191" s="56"/>
      <c r="AP191" s="20" t="s">
        <v>487</v>
      </c>
    </row>
    <row r="192" spans="2:42" s="20" customFormat="1" ht="11.25" customHeight="1">
      <c r="B192" s="20">
        <v>192</v>
      </c>
      <c r="D192" s="20" t="s">
        <v>355</v>
      </c>
      <c r="E192" s="20">
        <v>7</v>
      </c>
      <c r="F192" s="21" t="str">
        <f t="shared" si="24"/>
        <v>Hora Cátedra Enseñanza Superior 7 hs</v>
      </c>
      <c r="G192" s="28">
        <f t="shared" si="25"/>
        <v>693</v>
      </c>
      <c r="H192" s="15">
        <f>G192*Valores!$B$2</f>
        <v>1608.4530000000002</v>
      </c>
      <c r="I192" s="24">
        <v>0</v>
      </c>
      <c r="J192" s="15">
        <f>I192*Valores!$B$2</f>
        <v>0</v>
      </c>
      <c r="K192" s="27">
        <v>0</v>
      </c>
      <c r="L192" s="15">
        <f>K192*Valores!$B$2</f>
        <v>0</v>
      </c>
      <c r="M192" s="27">
        <v>0</v>
      </c>
      <c r="N192" s="15">
        <f>M192*Valores!$B$2</f>
        <v>0</v>
      </c>
      <c r="O192" s="15">
        <f t="shared" si="23"/>
        <v>259.11795</v>
      </c>
      <c r="P192" s="15">
        <f t="shared" si="17"/>
        <v>0</v>
      </c>
      <c r="Q192" s="17">
        <f>Valores!$B$7*E192</f>
        <v>297.5</v>
      </c>
      <c r="R192" s="17">
        <f>IF(E192&lt;15,(Valores!$C$6/15*E192),Valores!$C$6)</f>
        <v>484.48586666666665</v>
      </c>
      <c r="S192" s="15">
        <v>0</v>
      </c>
      <c r="T192" s="17">
        <f>Valores!$B$8*E192</f>
        <v>119</v>
      </c>
      <c r="U192" s="15">
        <f t="shared" si="18"/>
        <v>119</v>
      </c>
      <c r="V192" s="15">
        <v>0</v>
      </c>
      <c r="W192" s="15">
        <v>0</v>
      </c>
      <c r="X192" s="24">
        <v>0</v>
      </c>
      <c r="Y192" s="15">
        <f>X192*Valores!$B$2</f>
        <v>0</v>
      </c>
      <c r="Z192" s="15">
        <v>0</v>
      </c>
      <c r="AA192" s="39">
        <f t="shared" si="26"/>
        <v>36.19</v>
      </c>
      <c r="AB192" s="15">
        <f t="shared" si="19"/>
        <v>0</v>
      </c>
      <c r="AC192" s="15">
        <f t="shared" si="27"/>
        <v>30.109333333333332</v>
      </c>
      <c r="AD192" s="16">
        <v>0</v>
      </c>
      <c r="AE192" s="15">
        <f>AD192*Valores!$B$2</f>
        <v>0</v>
      </c>
      <c r="AF192" s="31">
        <f t="shared" si="20"/>
        <v>2834.8561500000005</v>
      </c>
      <c r="AG192" s="15">
        <v>0</v>
      </c>
      <c r="AH192" s="17">
        <f>Valores!$B$10*E192/30</f>
        <v>171.5</v>
      </c>
      <c r="AI192" s="17">
        <f>Valores!$C$25*'Escala Docente'!E192</f>
        <v>0</v>
      </c>
      <c r="AJ192" s="15">
        <v>0</v>
      </c>
      <c r="AK192" s="25">
        <f t="shared" si="21"/>
        <v>171.5</v>
      </c>
      <c r="AL192" s="17">
        <f t="shared" si="22"/>
        <v>2368.5135162500005</v>
      </c>
      <c r="AM192" s="43">
        <f>(9.17*E192)-0.02</f>
        <v>64.17</v>
      </c>
      <c r="AN192" s="56"/>
      <c r="AO192" s="56"/>
      <c r="AP192" s="20" t="s">
        <v>487</v>
      </c>
    </row>
    <row r="193" spans="2:42" s="20" customFormat="1" ht="11.25" customHeight="1">
      <c r="B193" s="20">
        <v>193</v>
      </c>
      <c r="D193" s="20" t="s">
        <v>355</v>
      </c>
      <c r="E193" s="20">
        <v>8</v>
      </c>
      <c r="F193" s="21" t="str">
        <f t="shared" si="24"/>
        <v>Hora Cátedra Enseñanza Superior 8 hs</v>
      </c>
      <c r="G193" s="28">
        <f t="shared" si="25"/>
        <v>792</v>
      </c>
      <c r="H193" s="15">
        <f>G193*Valores!$B$2</f>
        <v>1838.2320000000002</v>
      </c>
      <c r="I193" s="24">
        <v>0</v>
      </c>
      <c r="J193" s="15">
        <f>I193*Valores!$B$2</f>
        <v>0</v>
      </c>
      <c r="K193" s="27">
        <v>0</v>
      </c>
      <c r="L193" s="15">
        <f>K193*Valores!$B$2</f>
        <v>0</v>
      </c>
      <c r="M193" s="27">
        <v>0</v>
      </c>
      <c r="N193" s="15">
        <f>M193*Valores!$B$2</f>
        <v>0</v>
      </c>
      <c r="O193" s="15">
        <f t="shared" si="23"/>
        <v>296.13480000000004</v>
      </c>
      <c r="P193" s="15">
        <f t="shared" si="17"/>
        <v>0</v>
      </c>
      <c r="Q193" s="17">
        <f>Valores!$B$7*E193</f>
        <v>340</v>
      </c>
      <c r="R193" s="17">
        <f>IF(E193&lt;15,(Valores!$C$6/15*E193),Valores!$C$6)</f>
        <v>553.6981333333333</v>
      </c>
      <c r="S193" s="15">
        <v>0</v>
      </c>
      <c r="T193" s="17">
        <f>Valores!$B$8*E193</f>
        <v>136</v>
      </c>
      <c r="U193" s="15">
        <f t="shared" si="18"/>
        <v>136</v>
      </c>
      <c r="V193" s="15">
        <v>0</v>
      </c>
      <c r="W193" s="15">
        <v>0</v>
      </c>
      <c r="X193" s="24">
        <v>0</v>
      </c>
      <c r="Y193" s="15">
        <f>X193*Valores!$B$2</f>
        <v>0</v>
      </c>
      <c r="Z193" s="15">
        <v>0</v>
      </c>
      <c r="AA193" s="39">
        <f t="shared" si="26"/>
        <v>41.36</v>
      </c>
      <c r="AB193" s="15">
        <f t="shared" si="19"/>
        <v>0</v>
      </c>
      <c r="AC193" s="15">
        <f t="shared" si="27"/>
        <v>34.410666666666664</v>
      </c>
      <c r="AD193" s="16">
        <v>0</v>
      </c>
      <c r="AE193" s="15">
        <f>AD193*Valores!$B$2</f>
        <v>0</v>
      </c>
      <c r="AF193" s="31">
        <f t="shared" si="20"/>
        <v>3239.8356000000003</v>
      </c>
      <c r="AG193" s="15">
        <v>0</v>
      </c>
      <c r="AH193" s="17">
        <f>Valores!$B$10*E193/30</f>
        <v>196</v>
      </c>
      <c r="AI193" s="17">
        <f>Valores!$C$25*'Escala Docente'!E193</f>
        <v>0</v>
      </c>
      <c r="AJ193" s="15">
        <v>0</v>
      </c>
      <c r="AK193" s="25">
        <f t="shared" si="21"/>
        <v>196</v>
      </c>
      <c r="AL193" s="17">
        <f t="shared" si="22"/>
        <v>2706.8725900000004</v>
      </c>
      <c r="AM193" s="43">
        <f>(9.17*E193)-0.03</f>
        <v>73.33</v>
      </c>
      <c r="AN193" s="56"/>
      <c r="AO193" s="56"/>
      <c r="AP193" s="20" t="s">
        <v>487</v>
      </c>
    </row>
    <row r="194" spans="2:42" s="20" customFormat="1" ht="11.25" customHeight="1">
      <c r="B194" s="20">
        <v>194</v>
      </c>
      <c r="D194" s="20" t="s">
        <v>355</v>
      </c>
      <c r="E194" s="20">
        <v>9</v>
      </c>
      <c r="F194" s="21" t="str">
        <f t="shared" si="24"/>
        <v>Hora Cátedra Enseñanza Superior 9 hs</v>
      </c>
      <c r="G194" s="28">
        <f t="shared" si="25"/>
        <v>891</v>
      </c>
      <c r="H194" s="15">
        <f>G194*Valores!$B$2</f>
        <v>2068.011</v>
      </c>
      <c r="I194" s="24">
        <v>0</v>
      </c>
      <c r="J194" s="15">
        <f>I194*Valores!$B$2</f>
        <v>0</v>
      </c>
      <c r="K194" s="27">
        <v>0</v>
      </c>
      <c r="L194" s="15">
        <f>K194*Valores!$B$2</f>
        <v>0</v>
      </c>
      <c r="M194" s="27">
        <v>0</v>
      </c>
      <c r="N194" s="15">
        <f>M194*Valores!$B$2</f>
        <v>0</v>
      </c>
      <c r="O194" s="15">
        <f t="shared" si="23"/>
        <v>333.15164999999996</v>
      </c>
      <c r="P194" s="15">
        <f t="shared" si="17"/>
        <v>0</v>
      </c>
      <c r="Q194" s="17">
        <f>Valores!$B$7*E194</f>
        <v>382.5</v>
      </c>
      <c r="R194" s="17">
        <f>IF(E194&lt;15,(Valores!$C$6/15*E194),Valores!$C$6)</f>
        <v>622.9104</v>
      </c>
      <c r="S194" s="15">
        <v>0</v>
      </c>
      <c r="T194" s="17">
        <f>Valores!$B$8*E194</f>
        <v>153</v>
      </c>
      <c r="U194" s="15">
        <f t="shared" si="18"/>
        <v>153</v>
      </c>
      <c r="V194" s="15">
        <v>0</v>
      </c>
      <c r="W194" s="15">
        <v>0</v>
      </c>
      <c r="X194" s="24">
        <v>0</v>
      </c>
      <c r="Y194" s="15">
        <f>X194*Valores!$B$2</f>
        <v>0</v>
      </c>
      <c r="Z194" s="15">
        <v>0</v>
      </c>
      <c r="AA194" s="39">
        <f t="shared" si="26"/>
        <v>46.53</v>
      </c>
      <c r="AB194" s="15">
        <f t="shared" si="19"/>
        <v>0</v>
      </c>
      <c r="AC194" s="15">
        <f t="shared" si="27"/>
        <v>38.711999999999996</v>
      </c>
      <c r="AD194" s="16">
        <v>0</v>
      </c>
      <c r="AE194" s="15">
        <f>AD194*Valores!$B$2</f>
        <v>0</v>
      </c>
      <c r="AF194" s="31">
        <f t="shared" si="20"/>
        <v>3644.81505</v>
      </c>
      <c r="AG194" s="15">
        <v>0</v>
      </c>
      <c r="AH194" s="17">
        <f>Valores!$B$10*E194/30</f>
        <v>220.5</v>
      </c>
      <c r="AI194" s="17">
        <f>Valores!$C$25*'Escala Docente'!E194</f>
        <v>0</v>
      </c>
      <c r="AJ194" s="15">
        <v>0</v>
      </c>
      <c r="AK194" s="25">
        <f t="shared" si="21"/>
        <v>220.5</v>
      </c>
      <c r="AL194" s="17">
        <f t="shared" si="22"/>
        <v>3045.2316637500003</v>
      </c>
      <c r="AM194" s="43">
        <f>(9.17*E194)-0.03</f>
        <v>82.5</v>
      </c>
      <c r="AN194" s="56"/>
      <c r="AO194" s="56"/>
      <c r="AP194" s="20" t="s">
        <v>487</v>
      </c>
    </row>
    <row r="195" spans="2:42" s="20" customFormat="1" ht="11.25" customHeight="1" thickBot="1">
      <c r="B195" s="20">
        <v>195</v>
      </c>
      <c r="D195" s="57" t="s">
        <v>355</v>
      </c>
      <c r="E195" s="57">
        <v>10</v>
      </c>
      <c r="F195" s="58" t="str">
        <f t="shared" si="24"/>
        <v>Hora Cátedra Enseñanza Superior 10 hs</v>
      </c>
      <c r="G195" s="59">
        <f t="shared" si="25"/>
        <v>990</v>
      </c>
      <c r="H195" s="60">
        <f>G195*Valores!$B$2</f>
        <v>2297.79</v>
      </c>
      <c r="I195" s="63">
        <v>0</v>
      </c>
      <c r="J195" s="60">
        <f>I195*Valores!$B$2</f>
        <v>0</v>
      </c>
      <c r="K195" s="70">
        <v>0</v>
      </c>
      <c r="L195" s="60">
        <f>K195*Valores!$B$2</f>
        <v>0</v>
      </c>
      <c r="M195" s="70">
        <v>0</v>
      </c>
      <c r="N195" s="60">
        <f>M195*Valores!$B$2</f>
        <v>0</v>
      </c>
      <c r="O195" s="60">
        <f t="shared" si="23"/>
        <v>370.1685</v>
      </c>
      <c r="P195" s="60">
        <f t="shared" si="17"/>
        <v>0</v>
      </c>
      <c r="Q195" s="62">
        <f>Valores!$B$7*E195</f>
        <v>425</v>
      </c>
      <c r="R195" s="62">
        <f>IF(E195&lt;15,(Valores!$C$6/15*E195),Valores!$C$6)</f>
        <v>692.1226666666666</v>
      </c>
      <c r="S195" s="60">
        <v>0</v>
      </c>
      <c r="T195" s="62">
        <f>Valores!$B$8*E195</f>
        <v>170</v>
      </c>
      <c r="U195" s="60">
        <f t="shared" si="18"/>
        <v>170</v>
      </c>
      <c r="V195" s="60">
        <v>0</v>
      </c>
      <c r="W195" s="60">
        <v>0</v>
      </c>
      <c r="X195" s="63">
        <v>0</v>
      </c>
      <c r="Y195" s="60">
        <f>X195*Valores!$B$2</f>
        <v>0</v>
      </c>
      <c r="Z195" s="60">
        <v>0</v>
      </c>
      <c r="AA195" s="64">
        <f t="shared" si="26"/>
        <v>51.7</v>
      </c>
      <c r="AB195" s="60">
        <f t="shared" si="19"/>
        <v>0</v>
      </c>
      <c r="AC195" s="60">
        <f t="shared" si="27"/>
        <v>43.01333333333333</v>
      </c>
      <c r="AD195" s="65">
        <v>0</v>
      </c>
      <c r="AE195" s="60">
        <f>AD195*Valores!$B$2</f>
        <v>0</v>
      </c>
      <c r="AF195" s="66">
        <f t="shared" si="20"/>
        <v>4049.7944999999995</v>
      </c>
      <c r="AG195" s="60">
        <v>0</v>
      </c>
      <c r="AH195" s="62">
        <f>Valores!$B$10*E195/30</f>
        <v>245</v>
      </c>
      <c r="AI195" s="64">
        <f>Valores!$C$25*'Escala Docente'!E195</f>
        <v>0</v>
      </c>
      <c r="AJ195" s="60">
        <v>0</v>
      </c>
      <c r="AK195" s="67">
        <f t="shared" si="21"/>
        <v>245</v>
      </c>
      <c r="AL195" s="62">
        <f t="shared" si="22"/>
        <v>3383.5907374999997</v>
      </c>
      <c r="AM195" s="68">
        <f>(9.17*E195)-0.03</f>
        <v>91.67</v>
      </c>
      <c r="AN195" s="69"/>
      <c r="AO195" s="69"/>
      <c r="AP195" s="20" t="s">
        <v>487</v>
      </c>
    </row>
    <row r="196" spans="2:42" s="20" customFormat="1" ht="11.25" customHeight="1" thickTop="1">
      <c r="B196" s="20">
        <v>196</v>
      </c>
      <c r="C196" s="20" t="s">
        <v>478</v>
      </c>
      <c r="D196" s="20" t="s">
        <v>355</v>
      </c>
      <c r="E196" s="20">
        <v>11</v>
      </c>
      <c r="F196" s="21" t="str">
        <f t="shared" si="24"/>
        <v>Hora Cátedra Enseñanza Superior 11 hs</v>
      </c>
      <c r="G196" s="28">
        <f t="shared" si="25"/>
        <v>1089</v>
      </c>
      <c r="H196" s="15">
        <f>G196*Valores!$B$2</f>
        <v>2527.5690000000004</v>
      </c>
      <c r="I196" s="24">
        <v>0</v>
      </c>
      <c r="J196" s="15">
        <f>I196*Valores!$B$2</f>
        <v>0</v>
      </c>
      <c r="K196" s="27">
        <v>0</v>
      </c>
      <c r="L196" s="15">
        <f>K196*Valores!$B$2</f>
        <v>0</v>
      </c>
      <c r="M196" s="27">
        <v>0</v>
      </c>
      <c r="N196" s="15">
        <f>M196*Valores!$B$2</f>
        <v>0</v>
      </c>
      <c r="O196" s="15">
        <f t="shared" si="23"/>
        <v>407.18535</v>
      </c>
      <c r="P196" s="15">
        <f t="shared" si="17"/>
        <v>0</v>
      </c>
      <c r="Q196" s="17">
        <f>Valores!$B$7*E196</f>
        <v>467.5</v>
      </c>
      <c r="R196" s="17">
        <f>IF(E196&lt;15,(Valores!$C$6/15*E196),Valores!$C$6)</f>
        <v>761.3349333333333</v>
      </c>
      <c r="S196" s="15">
        <v>0</v>
      </c>
      <c r="T196" s="17">
        <f>Valores!$B$8*E196</f>
        <v>187</v>
      </c>
      <c r="U196" s="15">
        <f t="shared" si="18"/>
        <v>187</v>
      </c>
      <c r="V196" s="15">
        <v>0</v>
      </c>
      <c r="W196" s="15">
        <v>0</v>
      </c>
      <c r="X196" s="24">
        <v>0</v>
      </c>
      <c r="Y196" s="15">
        <f>X196*Valores!$B$2</f>
        <v>0</v>
      </c>
      <c r="Z196" s="15">
        <v>0</v>
      </c>
      <c r="AA196" s="39">
        <f t="shared" si="26"/>
        <v>56.87</v>
      </c>
      <c r="AB196" s="15">
        <f t="shared" si="19"/>
        <v>0</v>
      </c>
      <c r="AC196" s="15">
        <f t="shared" si="27"/>
        <v>47.31466666666666</v>
      </c>
      <c r="AD196" s="16">
        <v>0</v>
      </c>
      <c r="AE196" s="15">
        <f>AD196*Valores!$B$2</f>
        <v>0</v>
      </c>
      <c r="AF196" s="31">
        <f t="shared" si="20"/>
        <v>4454.773950000001</v>
      </c>
      <c r="AG196" s="15">
        <v>0</v>
      </c>
      <c r="AH196" s="17">
        <f>Valores!$B$10*E196/30</f>
        <v>269.5</v>
      </c>
      <c r="AI196" s="17">
        <f>Valores!$C$25*'Escala Docente'!E196</f>
        <v>0</v>
      </c>
      <c r="AJ196" s="15">
        <v>0</v>
      </c>
      <c r="AK196" s="25">
        <f t="shared" si="21"/>
        <v>269.5</v>
      </c>
      <c r="AL196" s="17">
        <f t="shared" si="22"/>
        <v>3721.9498112500005</v>
      </c>
      <c r="AM196" s="43">
        <f>(9.17*E196)-0.04</f>
        <v>100.83</v>
      </c>
      <c r="AN196" s="56"/>
      <c r="AO196" s="56"/>
      <c r="AP196" s="20" t="s">
        <v>487</v>
      </c>
    </row>
    <row r="197" spans="2:42" s="20" customFormat="1" ht="11.25" customHeight="1">
      <c r="B197" s="20">
        <v>197</v>
      </c>
      <c r="D197" s="20" t="s">
        <v>355</v>
      </c>
      <c r="E197" s="20">
        <v>12</v>
      </c>
      <c r="F197" s="21" t="str">
        <f t="shared" si="24"/>
        <v>Hora Cátedra Enseñanza Superior 12 hs</v>
      </c>
      <c r="G197" s="28">
        <f t="shared" si="25"/>
        <v>1188</v>
      </c>
      <c r="H197" s="15">
        <f>G197*Valores!$B$2</f>
        <v>2757.3480000000004</v>
      </c>
      <c r="I197" s="24">
        <v>0</v>
      </c>
      <c r="J197" s="15">
        <f>I197*Valores!$B$2</f>
        <v>0</v>
      </c>
      <c r="K197" s="27">
        <v>0</v>
      </c>
      <c r="L197" s="15">
        <f>K197*Valores!$B$2</f>
        <v>0</v>
      </c>
      <c r="M197" s="27">
        <v>0</v>
      </c>
      <c r="N197" s="15">
        <f>M197*Valores!$B$2</f>
        <v>0</v>
      </c>
      <c r="O197" s="15">
        <f t="shared" si="23"/>
        <v>444.20220000000006</v>
      </c>
      <c r="P197" s="15">
        <f t="shared" si="17"/>
        <v>0</v>
      </c>
      <c r="Q197" s="17">
        <f>Valores!$B$7*E197</f>
        <v>510</v>
      </c>
      <c r="R197" s="17">
        <f>IF(E197&lt;15,(Valores!$C$6/15*E197),Valores!$C$6)</f>
        <v>830.5472</v>
      </c>
      <c r="S197" s="15">
        <v>0</v>
      </c>
      <c r="T197" s="17">
        <f>Valores!$B$8*E197</f>
        <v>204</v>
      </c>
      <c r="U197" s="15">
        <f t="shared" si="18"/>
        <v>204</v>
      </c>
      <c r="V197" s="15">
        <v>0</v>
      </c>
      <c r="W197" s="15">
        <v>0</v>
      </c>
      <c r="X197" s="24">
        <v>0</v>
      </c>
      <c r="Y197" s="15">
        <f>X197*Valores!$B$2</f>
        <v>0</v>
      </c>
      <c r="Z197" s="15">
        <v>0</v>
      </c>
      <c r="AA197" s="39">
        <f t="shared" si="26"/>
        <v>62.04</v>
      </c>
      <c r="AB197" s="15">
        <f t="shared" si="19"/>
        <v>0</v>
      </c>
      <c r="AC197" s="15">
        <f t="shared" si="27"/>
        <v>51.616</v>
      </c>
      <c r="AD197" s="16">
        <v>0</v>
      </c>
      <c r="AE197" s="15">
        <f>AD197*Valores!$B$2</f>
        <v>0</v>
      </c>
      <c r="AF197" s="31">
        <f t="shared" si="20"/>
        <v>4859.7534000000005</v>
      </c>
      <c r="AG197" s="15">
        <v>0</v>
      </c>
      <c r="AH197" s="17">
        <f>Valores!$B$10*E197/30</f>
        <v>294</v>
      </c>
      <c r="AI197" s="17">
        <f>Valores!$C$25*'Escala Docente'!E197</f>
        <v>0</v>
      </c>
      <c r="AJ197" s="15">
        <v>0</v>
      </c>
      <c r="AK197" s="25">
        <f t="shared" si="21"/>
        <v>294</v>
      </c>
      <c r="AL197" s="17">
        <f t="shared" si="22"/>
        <v>4060.3088850000004</v>
      </c>
      <c r="AM197" s="43">
        <f>(9.17*E197)-0.04</f>
        <v>109.99999999999999</v>
      </c>
      <c r="AN197" s="56"/>
      <c r="AO197" s="56"/>
      <c r="AP197" s="20" t="s">
        <v>487</v>
      </c>
    </row>
    <row r="198" spans="2:42" s="20" customFormat="1" ht="11.25" customHeight="1">
      <c r="B198" s="20">
        <v>198</v>
      </c>
      <c r="D198" s="20" t="s">
        <v>355</v>
      </c>
      <c r="E198" s="20">
        <v>13</v>
      </c>
      <c r="F198" s="21" t="str">
        <f t="shared" si="24"/>
        <v>Hora Cátedra Enseñanza Superior 13 hs</v>
      </c>
      <c r="G198" s="28">
        <f t="shared" si="25"/>
        <v>1287</v>
      </c>
      <c r="H198" s="15">
        <f>G198*Valores!$B$2</f>
        <v>2987.1270000000004</v>
      </c>
      <c r="I198" s="24">
        <v>0</v>
      </c>
      <c r="J198" s="15">
        <f>I198*Valores!$B$2</f>
        <v>0</v>
      </c>
      <c r="K198" s="27">
        <v>0</v>
      </c>
      <c r="L198" s="15">
        <f>K198*Valores!$B$2</f>
        <v>0</v>
      </c>
      <c r="M198" s="27">
        <v>0</v>
      </c>
      <c r="N198" s="15">
        <f>M198*Valores!$B$2</f>
        <v>0</v>
      </c>
      <c r="O198" s="15">
        <f t="shared" si="23"/>
        <v>481.21905000000004</v>
      </c>
      <c r="P198" s="15">
        <f aca="true" t="shared" si="28" ref="P198:P261">SUM(H198,J198,L198,N198,Y198)*$J$1</f>
        <v>0</v>
      </c>
      <c r="Q198" s="17">
        <f>Valores!$B$7*E198</f>
        <v>552.5</v>
      </c>
      <c r="R198" s="17">
        <f>IF(E198&lt;15,(Valores!$C$6/15*E198),Valores!$C$6)</f>
        <v>899.7594666666666</v>
      </c>
      <c r="S198" s="15">
        <v>0</v>
      </c>
      <c r="T198" s="17">
        <f>Valores!$B$8*E198</f>
        <v>221</v>
      </c>
      <c r="U198" s="15">
        <f t="shared" si="18"/>
        <v>221</v>
      </c>
      <c r="V198" s="15">
        <v>0</v>
      </c>
      <c r="W198" s="15">
        <v>0</v>
      </c>
      <c r="X198" s="24">
        <v>0</v>
      </c>
      <c r="Y198" s="15">
        <f>X198*Valores!$B$2</f>
        <v>0</v>
      </c>
      <c r="Z198" s="15">
        <v>0</v>
      </c>
      <c r="AA198" s="39">
        <f t="shared" si="26"/>
        <v>67.21</v>
      </c>
      <c r="AB198" s="15">
        <f aca="true" t="shared" si="29" ref="AB198:AB261">SUM(H198,J198,L198,Y198)*$H$2/100</f>
        <v>0</v>
      </c>
      <c r="AC198" s="15">
        <f t="shared" si="27"/>
        <v>55.91733333333333</v>
      </c>
      <c r="AD198" s="16">
        <v>0</v>
      </c>
      <c r="AE198" s="15">
        <f>AD198*Valores!$B$2</f>
        <v>0</v>
      </c>
      <c r="AF198" s="31">
        <f aca="true" t="shared" si="30" ref="AF198:AF261">SUM(H198,J198,L198,N198,O198,P198,Q198,R198,S198,U198,V198,W198,Y198,Z198,AA198,AB198,AC198,AE198)</f>
        <v>5264.732850000001</v>
      </c>
      <c r="AG198" s="15">
        <v>0</v>
      </c>
      <c r="AH198" s="17">
        <f>Valores!$B$10*E198/30</f>
        <v>318.5</v>
      </c>
      <c r="AI198" s="17">
        <f>Valores!$C$25*'Escala Docente'!E198</f>
        <v>0</v>
      </c>
      <c r="AJ198" s="15">
        <v>0</v>
      </c>
      <c r="AK198" s="25">
        <f t="shared" si="21"/>
        <v>318.5</v>
      </c>
      <c r="AL198" s="17">
        <f t="shared" si="22"/>
        <v>4398.667958750001</v>
      </c>
      <c r="AM198" s="43">
        <f>(9.17*E198)-0.04</f>
        <v>119.16999999999999</v>
      </c>
      <c r="AN198" s="56"/>
      <c r="AO198" s="56"/>
      <c r="AP198" s="20" t="s">
        <v>487</v>
      </c>
    </row>
    <row r="199" spans="2:42" s="20" customFormat="1" ht="11.25" customHeight="1">
      <c r="B199" s="20">
        <v>199</v>
      </c>
      <c r="D199" s="20" t="s">
        <v>355</v>
      </c>
      <c r="E199" s="20">
        <v>14</v>
      </c>
      <c r="F199" s="21" t="str">
        <f t="shared" si="24"/>
        <v>Hora Cátedra Enseñanza Superior 14 hs</v>
      </c>
      <c r="G199" s="28">
        <f t="shared" si="25"/>
        <v>1386</v>
      </c>
      <c r="H199" s="15">
        <f>G199*Valores!$B$2</f>
        <v>3216.9060000000004</v>
      </c>
      <c r="I199" s="24">
        <v>0</v>
      </c>
      <c r="J199" s="15">
        <f>I199*Valores!$B$2</f>
        <v>0</v>
      </c>
      <c r="K199" s="27">
        <v>0</v>
      </c>
      <c r="L199" s="15">
        <f>K199*Valores!$B$2</f>
        <v>0</v>
      </c>
      <c r="M199" s="27">
        <v>0</v>
      </c>
      <c r="N199" s="15">
        <f>M199*Valores!$B$2</f>
        <v>0</v>
      </c>
      <c r="O199" s="15">
        <f t="shared" si="23"/>
        <v>518.2359</v>
      </c>
      <c r="P199" s="15">
        <f t="shared" si="28"/>
        <v>0</v>
      </c>
      <c r="Q199" s="17">
        <f>Valores!$B$7*E199</f>
        <v>595</v>
      </c>
      <c r="R199" s="17">
        <f>IF(E199&lt;15,(Valores!$C$6/15*E199),Valores!$C$6)</f>
        <v>968.9717333333333</v>
      </c>
      <c r="S199" s="15">
        <v>0</v>
      </c>
      <c r="T199" s="17">
        <f>Valores!$B$8*E199</f>
        <v>238</v>
      </c>
      <c r="U199" s="15">
        <f aca="true" t="shared" si="31" ref="U199:U280">T199*(1+$J$1)</f>
        <v>238</v>
      </c>
      <c r="V199" s="15">
        <v>0</v>
      </c>
      <c r="W199" s="15">
        <v>0</v>
      </c>
      <c r="X199" s="24">
        <v>0</v>
      </c>
      <c r="Y199" s="15">
        <f>X199*Valores!$B$2</f>
        <v>0</v>
      </c>
      <c r="Z199" s="15">
        <v>0</v>
      </c>
      <c r="AA199" s="39">
        <f t="shared" si="26"/>
        <v>72.38</v>
      </c>
      <c r="AB199" s="15">
        <f t="shared" si="29"/>
        <v>0</v>
      </c>
      <c r="AC199" s="15">
        <f t="shared" si="27"/>
        <v>60.218666666666664</v>
      </c>
      <c r="AD199" s="16">
        <v>0</v>
      </c>
      <c r="AE199" s="15">
        <f>AD199*Valores!$B$2</f>
        <v>0</v>
      </c>
      <c r="AF199" s="31">
        <f t="shared" si="30"/>
        <v>5669.712300000001</v>
      </c>
      <c r="AG199" s="15">
        <v>0</v>
      </c>
      <c r="AH199" s="17">
        <f>Valores!$B$10*E199/30</f>
        <v>343</v>
      </c>
      <c r="AI199" s="17">
        <f>Valores!$C$25*'Escala Docente'!E199</f>
        <v>0</v>
      </c>
      <c r="AJ199" s="15">
        <v>0</v>
      </c>
      <c r="AK199" s="25">
        <f aca="true" t="shared" si="32" ref="AK199:AK293">SUM(AH199:AJ199)</f>
        <v>343</v>
      </c>
      <c r="AL199" s="17">
        <f t="shared" si="22"/>
        <v>4737.027032500001</v>
      </c>
      <c r="AM199" s="43">
        <f>(9.17*E199)-0.05</f>
        <v>128.32999999999998</v>
      </c>
      <c r="AN199" s="56"/>
      <c r="AO199" s="56"/>
      <c r="AP199" s="20" t="s">
        <v>487</v>
      </c>
    </row>
    <row r="200" spans="2:42" s="20" customFormat="1" ht="11.25" customHeight="1" thickBot="1">
      <c r="B200" s="20">
        <v>200</v>
      </c>
      <c r="D200" s="57" t="s">
        <v>355</v>
      </c>
      <c r="E200" s="57">
        <v>15</v>
      </c>
      <c r="F200" s="58" t="str">
        <f t="shared" si="24"/>
        <v>Hora Cátedra Enseñanza Superior 15 hs</v>
      </c>
      <c r="G200" s="59">
        <f t="shared" si="25"/>
        <v>1485</v>
      </c>
      <c r="H200" s="60">
        <f>G200*Valores!$B$2</f>
        <v>3446.6850000000004</v>
      </c>
      <c r="I200" s="63">
        <v>0</v>
      </c>
      <c r="J200" s="60">
        <f>I200*Valores!$B$2</f>
        <v>0</v>
      </c>
      <c r="K200" s="70">
        <v>0</v>
      </c>
      <c r="L200" s="60">
        <f>K200*Valores!$B$2</f>
        <v>0</v>
      </c>
      <c r="M200" s="70">
        <v>0</v>
      </c>
      <c r="N200" s="60">
        <f>M200*Valores!$B$2</f>
        <v>0</v>
      </c>
      <c r="O200" s="60">
        <f aca="true" t="shared" si="33" ref="O200:O263">IF($J$1=0,(SUM(H200,J200,L200,N200,Y200,T200)*0.15),0)</f>
        <v>555.25275</v>
      </c>
      <c r="P200" s="60">
        <f t="shared" si="28"/>
        <v>0</v>
      </c>
      <c r="Q200" s="62">
        <f>Valores!$B$7*E200</f>
        <v>637.5</v>
      </c>
      <c r="R200" s="62">
        <f>IF(E200&lt;15,(Valores!$C$6/15*E200),Valores!$C$6)</f>
        <v>1038.184</v>
      </c>
      <c r="S200" s="60">
        <v>0</v>
      </c>
      <c r="T200" s="62">
        <f>Valores!$B$8*E200</f>
        <v>255</v>
      </c>
      <c r="U200" s="60">
        <f t="shared" si="31"/>
        <v>255</v>
      </c>
      <c r="V200" s="60">
        <v>0</v>
      </c>
      <c r="W200" s="60">
        <v>0</v>
      </c>
      <c r="X200" s="63">
        <v>0</v>
      </c>
      <c r="Y200" s="60">
        <f>X200*Valores!$B$2</f>
        <v>0</v>
      </c>
      <c r="Z200" s="60">
        <v>0</v>
      </c>
      <c r="AA200" s="64">
        <f t="shared" si="26"/>
        <v>77.55</v>
      </c>
      <c r="AB200" s="60">
        <f t="shared" si="29"/>
        <v>0</v>
      </c>
      <c r="AC200" s="60">
        <f t="shared" si="27"/>
        <v>64.52</v>
      </c>
      <c r="AD200" s="65">
        <v>0</v>
      </c>
      <c r="AE200" s="60">
        <f>AD200*Valores!$B$2</f>
        <v>0</v>
      </c>
      <c r="AF200" s="66">
        <f t="shared" si="30"/>
        <v>6074.691750000002</v>
      </c>
      <c r="AG200" s="60">
        <v>0</v>
      </c>
      <c r="AH200" s="62">
        <f>Valores!$B$10*E200/30</f>
        <v>367.5</v>
      </c>
      <c r="AI200" s="64">
        <f>Valores!$C$25*'Escala Docente'!E200</f>
        <v>0</v>
      </c>
      <c r="AJ200" s="60">
        <v>0</v>
      </c>
      <c r="AK200" s="67">
        <f t="shared" si="32"/>
        <v>367.5</v>
      </c>
      <c r="AL200" s="62">
        <f aca="true" t="shared" si="34" ref="AL200:AL294">(AF200*0.775)+AK200</f>
        <v>5075.386106250002</v>
      </c>
      <c r="AM200" s="68">
        <f>(9.17*E200)-0.05</f>
        <v>137.5</v>
      </c>
      <c r="AN200" s="69"/>
      <c r="AO200" s="69"/>
      <c r="AP200" s="20" t="s">
        <v>487</v>
      </c>
    </row>
    <row r="201" spans="2:42" s="20" customFormat="1" ht="11.25" customHeight="1" thickTop="1">
      <c r="B201" s="20">
        <v>201</v>
      </c>
      <c r="C201" s="20" t="s">
        <v>478</v>
      </c>
      <c r="D201" s="20" t="s">
        <v>355</v>
      </c>
      <c r="E201" s="20">
        <v>16</v>
      </c>
      <c r="F201" s="21" t="str">
        <f t="shared" si="24"/>
        <v>Hora Cátedra Enseñanza Superior 16 hs</v>
      </c>
      <c r="G201" s="28">
        <f t="shared" si="25"/>
        <v>1584</v>
      </c>
      <c r="H201" s="15">
        <f>G201*Valores!$B$2</f>
        <v>3676.4640000000004</v>
      </c>
      <c r="I201" s="24">
        <v>0</v>
      </c>
      <c r="J201" s="15">
        <f>I201*Valores!$B$2</f>
        <v>0</v>
      </c>
      <c r="K201" s="27">
        <v>0</v>
      </c>
      <c r="L201" s="15">
        <f>K201*Valores!$B$2</f>
        <v>0</v>
      </c>
      <c r="M201" s="27">
        <v>0</v>
      </c>
      <c r="N201" s="15">
        <f>M201*Valores!$B$2</f>
        <v>0</v>
      </c>
      <c r="O201" s="15">
        <f t="shared" si="33"/>
        <v>592.2696000000001</v>
      </c>
      <c r="P201" s="15">
        <f t="shared" si="28"/>
        <v>0</v>
      </c>
      <c r="Q201" s="17">
        <f>Valores!$B$7*E201</f>
        <v>680</v>
      </c>
      <c r="R201" s="17">
        <f>IF(E201&lt;15,(Valores!$C$6/15*E201),Valores!$C$6)</f>
        <v>1038.184</v>
      </c>
      <c r="S201" s="15">
        <v>0</v>
      </c>
      <c r="T201" s="17">
        <f>Valores!$B$8*E201</f>
        <v>272</v>
      </c>
      <c r="U201" s="15">
        <f t="shared" si="31"/>
        <v>272</v>
      </c>
      <c r="V201" s="15">
        <v>0</v>
      </c>
      <c r="W201" s="15">
        <v>0</v>
      </c>
      <c r="X201" s="24">
        <v>0</v>
      </c>
      <c r="Y201" s="15">
        <f>X201*Valores!$B$2</f>
        <v>0</v>
      </c>
      <c r="Z201" s="15">
        <v>0</v>
      </c>
      <c r="AA201" s="39">
        <f t="shared" si="26"/>
        <v>82.72</v>
      </c>
      <c r="AB201" s="15">
        <f t="shared" si="29"/>
        <v>0</v>
      </c>
      <c r="AC201" s="15">
        <f t="shared" si="27"/>
        <v>68.82133333333333</v>
      </c>
      <c r="AD201" s="16">
        <v>0</v>
      </c>
      <c r="AE201" s="15">
        <f>AD201*Valores!$B$2</f>
        <v>0</v>
      </c>
      <c r="AF201" s="31">
        <f t="shared" si="30"/>
        <v>6410.458933333334</v>
      </c>
      <c r="AG201" s="15">
        <v>0</v>
      </c>
      <c r="AH201" s="17">
        <f>Valores!$B$10*E201/30</f>
        <v>392</v>
      </c>
      <c r="AI201" s="17">
        <f>Valores!$C$25*'Escala Docente'!E201</f>
        <v>0</v>
      </c>
      <c r="AJ201" s="15">
        <v>0</v>
      </c>
      <c r="AK201" s="25">
        <f t="shared" si="32"/>
        <v>392</v>
      </c>
      <c r="AL201" s="17">
        <f t="shared" si="34"/>
        <v>5360.105673333334</v>
      </c>
      <c r="AM201" s="43">
        <f>(9.17*E201)-0.04</f>
        <v>146.68</v>
      </c>
      <c r="AN201" s="56"/>
      <c r="AO201" s="56"/>
      <c r="AP201" s="20" t="s">
        <v>487</v>
      </c>
    </row>
    <row r="202" spans="2:42" s="20" customFormat="1" ht="11.25" customHeight="1">
      <c r="B202" s="20">
        <v>202</v>
      </c>
      <c r="D202" s="20" t="s">
        <v>355</v>
      </c>
      <c r="E202" s="20">
        <v>17</v>
      </c>
      <c r="F202" s="21" t="str">
        <f t="shared" si="24"/>
        <v>Hora Cátedra Enseñanza Superior 17 hs</v>
      </c>
      <c r="G202" s="28">
        <f t="shared" si="25"/>
        <v>1683</v>
      </c>
      <c r="H202" s="15">
        <f>G202*Valores!$B$2</f>
        <v>3906.2430000000004</v>
      </c>
      <c r="I202" s="24">
        <v>0</v>
      </c>
      <c r="J202" s="15">
        <f>I202*Valores!$B$2</f>
        <v>0</v>
      </c>
      <c r="K202" s="27">
        <v>0</v>
      </c>
      <c r="L202" s="15">
        <f>K202*Valores!$B$2</f>
        <v>0</v>
      </c>
      <c r="M202" s="27">
        <v>0</v>
      </c>
      <c r="N202" s="15">
        <f>M202*Valores!$B$2</f>
        <v>0</v>
      </c>
      <c r="O202" s="15">
        <f t="shared" si="33"/>
        <v>629.2864500000001</v>
      </c>
      <c r="P202" s="15">
        <f t="shared" si="28"/>
        <v>0</v>
      </c>
      <c r="Q202" s="17">
        <f>Valores!$B$7*E202</f>
        <v>722.5</v>
      </c>
      <c r="R202" s="17">
        <f>IF(E202&lt;15,(Valores!$C$6/15*E202),Valores!$C$6)</f>
        <v>1038.184</v>
      </c>
      <c r="S202" s="15">
        <v>0</v>
      </c>
      <c r="T202" s="17">
        <f>Valores!$B$8*E202</f>
        <v>289</v>
      </c>
      <c r="U202" s="15">
        <f t="shared" si="31"/>
        <v>289</v>
      </c>
      <c r="V202" s="15">
        <v>0</v>
      </c>
      <c r="W202" s="15">
        <v>0</v>
      </c>
      <c r="X202" s="24">
        <v>0</v>
      </c>
      <c r="Y202" s="15">
        <f>X202*Valores!$B$2</f>
        <v>0</v>
      </c>
      <c r="Z202" s="15">
        <v>0</v>
      </c>
      <c r="AA202" s="39">
        <f t="shared" si="26"/>
        <v>87.89</v>
      </c>
      <c r="AB202" s="15">
        <f t="shared" si="29"/>
        <v>0</v>
      </c>
      <c r="AC202" s="15">
        <f t="shared" si="27"/>
        <v>73.12266666666666</v>
      </c>
      <c r="AD202" s="16">
        <v>0</v>
      </c>
      <c r="AE202" s="15">
        <f>AD202*Valores!$B$2</f>
        <v>0</v>
      </c>
      <c r="AF202" s="31">
        <f t="shared" si="30"/>
        <v>6746.226116666668</v>
      </c>
      <c r="AG202" s="15">
        <v>0</v>
      </c>
      <c r="AH202" s="17">
        <f>Valores!$B$10*E202/30</f>
        <v>416.5</v>
      </c>
      <c r="AI202" s="17">
        <f>Valores!$C$25*'Escala Docente'!E202</f>
        <v>0</v>
      </c>
      <c r="AJ202" s="15">
        <v>0</v>
      </c>
      <c r="AK202" s="25">
        <f t="shared" si="32"/>
        <v>416.5</v>
      </c>
      <c r="AL202" s="17">
        <f t="shared" si="34"/>
        <v>5644.825240416668</v>
      </c>
      <c r="AM202" s="43">
        <f aca="true" t="shared" si="35" ref="AM202:AM208">(9.17*E202)-0.06</f>
        <v>155.82999999999998</v>
      </c>
      <c r="AN202" s="56"/>
      <c r="AO202" s="56"/>
      <c r="AP202" s="20" t="s">
        <v>487</v>
      </c>
    </row>
    <row r="203" spans="2:42" s="20" customFormat="1" ht="11.25" customHeight="1">
      <c r="B203" s="20">
        <v>203</v>
      </c>
      <c r="D203" s="20" t="s">
        <v>355</v>
      </c>
      <c r="E203" s="20">
        <v>18</v>
      </c>
      <c r="F203" s="21" t="str">
        <f t="shared" si="24"/>
        <v>Hora Cátedra Enseñanza Superior 18 hs</v>
      </c>
      <c r="G203" s="28">
        <f t="shared" si="25"/>
        <v>1782</v>
      </c>
      <c r="H203" s="15">
        <f>G203*Valores!$B$2</f>
        <v>4136.022</v>
      </c>
      <c r="I203" s="24">
        <v>0</v>
      </c>
      <c r="J203" s="15">
        <f>I203*Valores!$B$2</f>
        <v>0</v>
      </c>
      <c r="K203" s="27">
        <v>0</v>
      </c>
      <c r="L203" s="15">
        <f>K203*Valores!$B$2</f>
        <v>0</v>
      </c>
      <c r="M203" s="27">
        <v>0</v>
      </c>
      <c r="N203" s="15">
        <f>M203*Valores!$B$2</f>
        <v>0</v>
      </c>
      <c r="O203" s="15">
        <f t="shared" si="33"/>
        <v>666.3032999999999</v>
      </c>
      <c r="P203" s="15">
        <f t="shared" si="28"/>
        <v>0</v>
      </c>
      <c r="Q203" s="17">
        <f>Valores!$B$7*E203</f>
        <v>765</v>
      </c>
      <c r="R203" s="17">
        <f>IF(E203&lt;15,(Valores!$C$6/15*E203),Valores!$C$6)</f>
        <v>1038.184</v>
      </c>
      <c r="S203" s="15">
        <v>0</v>
      </c>
      <c r="T203" s="17">
        <f>Valores!$B$8*E203</f>
        <v>306</v>
      </c>
      <c r="U203" s="15">
        <f t="shared" si="31"/>
        <v>306</v>
      </c>
      <c r="V203" s="15">
        <v>0</v>
      </c>
      <c r="W203" s="15">
        <v>0</v>
      </c>
      <c r="X203" s="24">
        <v>0</v>
      </c>
      <c r="Y203" s="15">
        <f>X203*Valores!$B$2</f>
        <v>0</v>
      </c>
      <c r="Z203" s="15">
        <v>0</v>
      </c>
      <c r="AA203" s="39">
        <f t="shared" si="26"/>
        <v>93.06</v>
      </c>
      <c r="AB203" s="15">
        <f t="shared" si="29"/>
        <v>0</v>
      </c>
      <c r="AC203" s="15">
        <f t="shared" si="27"/>
        <v>77.42399999999999</v>
      </c>
      <c r="AD203" s="16">
        <v>0</v>
      </c>
      <c r="AE203" s="15">
        <f>AD203*Valores!$B$2</f>
        <v>0</v>
      </c>
      <c r="AF203" s="31">
        <f t="shared" si="30"/>
        <v>7081.9933</v>
      </c>
      <c r="AG203" s="15">
        <v>0</v>
      </c>
      <c r="AH203" s="17">
        <f>Valores!$B$10*E203/30</f>
        <v>441</v>
      </c>
      <c r="AI203" s="17">
        <f>Valores!$C$25*'Escala Docente'!E203</f>
        <v>0</v>
      </c>
      <c r="AJ203" s="15">
        <v>0</v>
      </c>
      <c r="AK203" s="25">
        <f t="shared" si="32"/>
        <v>441</v>
      </c>
      <c r="AL203" s="17">
        <f t="shared" si="34"/>
        <v>5929.5448075</v>
      </c>
      <c r="AM203" s="43">
        <f t="shared" si="35"/>
        <v>165</v>
      </c>
      <c r="AN203" s="56"/>
      <c r="AO203" s="56"/>
      <c r="AP203" s="20" t="s">
        <v>487</v>
      </c>
    </row>
    <row r="204" spans="2:42" s="20" customFormat="1" ht="11.25" customHeight="1">
      <c r="B204" s="20">
        <v>204</v>
      </c>
      <c r="D204" s="20" t="s">
        <v>355</v>
      </c>
      <c r="E204" s="20">
        <v>19</v>
      </c>
      <c r="F204" s="21" t="str">
        <f t="shared" si="24"/>
        <v>Hora Cátedra Enseñanza Superior 19 hs</v>
      </c>
      <c r="G204" s="28">
        <f t="shared" si="25"/>
        <v>1881</v>
      </c>
      <c r="H204" s="15">
        <f>G204*Valores!$B$2</f>
        <v>4365.801</v>
      </c>
      <c r="I204" s="24">
        <v>0</v>
      </c>
      <c r="J204" s="15">
        <f>I204*Valores!$B$2</f>
        <v>0</v>
      </c>
      <c r="K204" s="27">
        <v>0</v>
      </c>
      <c r="L204" s="15">
        <f>K204*Valores!$B$2</f>
        <v>0</v>
      </c>
      <c r="M204" s="27">
        <v>0</v>
      </c>
      <c r="N204" s="15">
        <f>M204*Valores!$B$2</f>
        <v>0</v>
      </c>
      <c r="O204" s="15">
        <f t="shared" si="33"/>
        <v>703.32015</v>
      </c>
      <c r="P204" s="15">
        <f t="shared" si="28"/>
        <v>0</v>
      </c>
      <c r="Q204" s="17">
        <f>Valores!$B$7*E204</f>
        <v>807.5</v>
      </c>
      <c r="R204" s="17">
        <f>IF(E204&lt;15,(Valores!$C$6/15*E204),Valores!$C$6)</f>
        <v>1038.184</v>
      </c>
      <c r="S204" s="15">
        <v>0</v>
      </c>
      <c r="T204" s="17">
        <f>Valores!$B$8*E204</f>
        <v>323</v>
      </c>
      <c r="U204" s="15">
        <f t="shared" si="31"/>
        <v>323</v>
      </c>
      <c r="V204" s="15">
        <v>0</v>
      </c>
      <c r="W204" s="15">
        <v>0</v>
      </c>
      <c r="X204" s="24">
        <v>0</v>
      </c>
      <c r="Y204" s="15">
        <f>X204*Valores!$B$2</f>
        <v>0</v>
      </c>
      <c r="Z204" s="15">
        <v>0</v>
      </c>
      <c r="AA204" s="39">
        <f t="shared" si="26"/>
        <v>98.23</v>
      </c>
      <c r="AB204" s="15">
        <f t="shared" si="29"/>
        <v>0</v>
      </c>
      <c r="AC204" s="15">
        <f t="shared" si="27"/>
        <v>81.72533333333332</v>
      </c>
      <c r="AD204" s="16">
        <v>0</v>
      </c>
      <c r="AE204" s="15">
        <f>AD204*Valores!$B$2</f>
        <v>0</v>
      </c>
      <c r="AF204" s="31">
        <f t="shared" si="30"/>
        <v>7417.760483333334</v>
      </c>
      <c r="AG204" s="15">
        <v>0</v>
      </c>
      <c r="AH204" s="17">
        <f>Valores!$B$10*E204/30</f>
        <v>465.5</v>
      </c>
      <c r="AI204" s="17">
        <f>Valores!$C$25*'Escala Docente'!E204</f>
        <v>0</v>
      </c>
      <c r="AJ204" s="15">
        <v>0</v>
      </c>
      <c r="AK204" s="25">
        <f t="shared" si="32"/>
        <v>465.5</v>
      </c>
      <c r="AL204" s="17">
        <f t="shared" si="34"/>
        <v>6214.264374583335</v>
      </c>
      <c r="AM204" s="43">
        <f t="shared" si="35"/>
        <v>174.17</v>
      </c>
      <c r="AN204" s="56"/>
      <c r="AO204" s="56"/>
      <c r="AP204" s="20" t="s">
        <v>487</v>
      </c>
    </row>
    <row r="205" spans="2:42" s="20" customFormat="1" ht="11.25" customHeight="1" thickBot="1">
      <c r="B205" s="20">
        <v>205</v>
      </c>
      <c r="D205" s="57" t="s">
        <v>355</v>
      </c>
      <c r="E205" s="57">
        <v>20</v>
      </c>
      <c r="F205" s="58" t="str">
        <f t="shared" si="24"/>
        <v>Hora Cátedra Enseñanza Superior 20 hs</v>
      </c>
      <c r="G205" s="59">
        <f t="shared" si="25"/>
        <v>1980</v>
      </c>
      <c r="H205" s="60">
        <f>G205*Valores!$B$2</f>
        <v>4595.58</v>
      </c>
      <c r="I205" s="63">
        <v>0</v>
      </c>
      <c r="J205" s="60">
        <f>I205*Valores!$B$2</f>
        <v>0</v>
      </c>
      <c r="K205" s="70">
        <v>0</v>
      </c>
      <c r="L205" s="60">
        <f>K205*Valores!$B$2</f>
        <v>0</v>
      </c>
      <c r="M205" s="70">
        <v>0</v>
      </c>
      <c r="N205" s="60">
        <f>M205*Valores!$B$2</f>
        <v>0</v>
      </c>
      <c r="O205" s="60">
        <f t="shared" si="33"/>
        <v>740.337</v>
      </c>
      <c r="P205" s="60">
        <f t="shared" si="28"/>
        <v>0</v>
      </c>
      <c r="Q205" s="62">
        <f>Valores!$B$7*E205</f>
        <v>850</v>
      </c>
      <c r="R205" s="62">
        <f>IF(E205&lt;15,(Valores!$C$6/15*E205),Valores!$C$6)</f>
        <v>1038.184</v>
      </c>
      <c r="S205" s="60">
        <v>0</v>
      </c>
      <c r="T205" s="62">
        <f>Valores!$B$8*E205</f>
        <v>340</v>
      </c>
      <c r="U205" s="60">
        <f t="shared" si="31"/>
        <v>340</v>
      </c>
      <c r="V205" s="60">
        <v>0</v>
      </c>
      <c r="W205" s="60">
        <v>0</v>
      </c>
      <c r="X205" s="63">
        <v>0</v>
      </c>
      <c r="Y205" s="60">
        <f>X205*Valores!$B$2</f>
        <v>0</v>
      </c>
      <c r="Z205" s="60">
        <v>0</v>
      </c>
      <c r="AA205" s="64">
        <f t="shared" si="26"/>
        <v>103.4</v>
      </c>
      <c r="AB205" s="60">
        <f t="shared" si="29"/>
        <v>0</v>
      </c>
      <c r="AC205" s="60">
        <f t="shared" si="27"/>
        <v>86.02666666666666</v>
      </c>
      <c r="AD205" s="65">
        <v>0</v>
      </c>
      <c r="AE205" s="60">
        <f>AD205*Valores!$B$2</f>
        <v>0</v>
      </c>
      <c r="AF205" s="66">
        <f t="shared" si="30"/>
        <v>7753.527666666666</v>
      </c>
      <c r="AG205" s="60">
        <v>0</v>
      </c>
      <c r="AH205" s="62">
        <f>Valores!$B$10*E205/30</f>
        <v>490</v>
      </c>
      <c r="AI205" s="64">
        <f>Valores!$C$25*'Escala Docente'!E205</f>
        <v>0</v>
      </c>
      <c r="AJ205" s="60">
        <v>0</v>
      </c>
      <c r="AK205" s="67">
        <f t="shared" si="32"/>
        <v>490</v>
      </c>
      <c r="AL205" s="62">
        <f t="shared" si="34"/>
        <v>6498.983941666666</v>
      </c>
      <c r="AM205" s="68">
        <f t="shared" si="35"/>
        <v>183.34</v>
      </c>
      <c r="AN205" s="69"/>
      <c r="AO205" s="69"/>
      <c r="AP205" s="20" t="s">
        <v>487</v>
      </c>
    </row>
    <row r="206" spans="2:42" s="20" customFormat="1" ht="11.25" customHeight="1" thickTop="1">
      <c r="B206" s="20">
        <v>206</v>
      </c>
      <c r="C206" s="20" t="s">
        <v>478</v>
      </c>
      <c r="D206" s="20" t="s">
        <v>355</v>
      </c>
      <c r="E206" s="20">
        <v>21</v>
      </c>
      <c r="F206" s="21" t="str">
        <f t="shared" si="24"/>
        <v>Hora Cátedra Enseñanza Superior 21 hs</v>
      </c>
      <c r="G206" s="28">
        <f t="shared" si="25"/>
        <v>2079</v>
      </c>
      <c r="H206" s="15">
        <f>G206*Valores!$B$2</f>
        <v>4825.359</v>
      </c>
      <c r="I206" s="24">
        <v>0</v>
      </c>
      <c r="J206" s="15">
        <f>I206*Valores!$B$2</f>
        <v>0</v>
      </c>
      <c r="K206" s="27">
        <v>0</v>
      </c>
      <c r="L206" s="15">
        <f>K206*Valores!$B$2</f>
        <v>0</v>
      </c>
      <c r="M206" s="27">
        <v>0</v>
      </c>
      <c r="N206" s="15">
        <f>M206*Valores!$B$2</f>
        <v>0</v>
      </c>
      <c r="O206" s="15">
        <f t="shared" si="33"/>
        <v>777.3538500000001</v>
      </c>
      <c r="P206" s="15">
        <f t="shared" si="28"/>
        <v>0</v>
      </c>
      <c r="Q206" s="17">
        <f>Valores!$B$7*E206</f>
        <v>892.5</v>
      </c>
      <c r="R206" s="17">
        <f>IF(E206&lt;15,(Valores!$C$6/15*E206),Valores!$C$6)</f>
        <v>1038.184</v>
      </c>
      <c r="S206" s="15">
        <v>0</v>
      </c>
      <c r="T206" s="17">
        <f>Valores!$B$8*E206</f>
        <v>357</v>
      </c>
      <c r="U206" s="15">
        <f t="shared" si="31"/>
        <v>357</v>
      </c>
      <c r="V206" s="15">
        <v>0</v>
      </c>
      <c r="W206" s="15">
        <v>0</v>
      </c>
      <c r="X206" s="24">
        <v>0</v>
      </c>
      <c r="Y206" s="15">
        <f>X206*Valores!$B$2</f>
        <v>0</v>
      </c>
      <c r="Z206" s="15">
        <v>0</v>
      </c>
      <c r="AA206" s="39">
        <f t="shared" si="26"/>
        <v>108.57</v>
      </c>
      <c r="AB206" s="15">
        <f t="shared" si="29"/>
        <v>0</v>
      </c>
      <c r="AC206" s="15">
        <f t="shared" si="27"/>
        <v>90.32799999999999</v>
      </c>
      <c r="AD206" s="16">
        <v>0</v>
      </c>
      <c r="AE206" s="15">
        <f>AD206*Valores!$B$2</f>
        <v>0</v>
      </c>
      <c r="AF206" s="31">
        <f t="shared" si="30"/>
        <v>8089.294850000001</v>
      </c>
      <c r="AG206" s="15">
        <v>0</v>
      </c>
      <c r="AH206" s="17">
        <f>Valores!$B$10*E206/30</f>
        <v>514.5</v>
      </c>
      <c r="AI206" s="17">
        <f>Valores!$C$25*'Escala Docente'!E206</f>
        <v>0</v>
      </c>
      <c r="AJ206" s="15">
        <v>0</v>
      </c>
      <c r="AK206" s="25">
        <f t="shared" si="32"/>
        <v>514.5</v>
      </c>
      <c r="AL206" s="17">
        <f t="shared" si="34"/>
        <v>6783.703508750001</v>
      </c>
      <c r="AM206" s="43">
        <f t="shared" si="35"/>
        <v>192.51</v>
      </c>
      <c r="AN206" s="56"/>
      <c r="AO206" s="56"/>
      <c r="AP206" s="20" t="s">
        <v>486</v>
      </c>
    </row>
    <row r="207" spans="2:42" s="20" customFormat="1" ht="11.25" customHeight="1">
      <c r="B207" s="20">
        <v>207</v>
      </c>
      <c r="D207" s="20" t="s">
        <v>355</v>
      </c>
      <c r="E207" s="20">
        <v>22</v>
      </c>
      <c r="F207" s="21" t="str">
        <f t="shared" si="24"/>
        <v>Hora Cátedra Enseñanza Superior 22 hs</v>
      </c>
      <c r="G207" s="28">
        <f t="shared" si="25"/>
        <v>2178</v>
      </c>
      <c r="H207" s="15">
        <f>G207*Valores!$B$2</f>
        <v>5055.138000000001</v>
      </c>
      <c r="I207" s="24">
        <v>0</v>
      </c>
      <c r="J207" s="15">
        <f>I207*Valores!$B$2</f>
        <v>0</v>
      </c>
      <c r="K207" s="27">
        <v>0</v>
      </c>
      <c r="L207" s="15">
        <f>K207*Valores!$B$2</f>
        <v>0</v>
      </c>
      <c r="M207" s="27">
        <v>0</v>
      </c>
      <c r="N207" s="15">
        <f>M207*Valores!$B$2</f>
        <v>0</v>
      </c>
      <c r="O207" s="15">
        <f t="shared" si="33"/>
        <v>814.3707</v>
      </c>
      <c r="P207" s="15">
        <f t="shared" si="28"/>
        <v>0</v>
      </c>
      <c r="Q207" s="17">
        <f>Valores!$B$7*E207</f>
        <v>935</v>
      </c>
      <c r="R207" s="17">
        <f>IF(E207&lt;15,(Valores!$C$6/15*E207),Valores!$C$6)</f>
        <v>1038.184</v>
      </c>
      <c r="S207" s="15">
        <v>0</v>
      </c>
      <c r="T207" s="17">
        <f>Valores!$B$8*E207</f>
        <v>374</v>
      </c>
      <c r="U207" s="15">
        <f t="shared" si="31"/>
        <v>374</v>
      </c>
      <c r="V207" s="15">
        <v>0</v>
      </c>
      <c r="W207" s="15">
        <v>0</v>
      </c>
      <c r="X207" s="24">
        <v>0</v>
      </c>
      <c r="Y207" s="15">
        <f>X207*Valores!$B$2</f>
        <v>0</v>
      </c>
      <c r="Z207" s="15">
        <v>0</v>
      </c>
      <c r="AA207" s="39">
        <f t="shared" si="26"/>
        <v>113.74</v>
      </c>
      <c r="AB207" s="15">
        <f t="shared" si="29"/>
        <v>0</v>
      </c>
      <c r="AC207" s="15">
        <f t="shared" si="27"/>
        <v>94.62933333333332</v>
      </c>
      <c r="AD207" s="16">
        <v>0</v>
      </c>
      <c r="AE207" s="15">
        <f>AD207*Valores!$B$2</f>
        <v>0</v>
      </c>
      <c r="AF207" s="31">
        <f t="shared" si="30"/>
        <v>8425.062033333335</v>
      </c>
      <c r="AG207" s="15">
        <v>0</v>
      </c>
      <c r="AH207" s="17">
        <f>Valores!$B$10*E207/30</f>
        <v>539</v>
      </c>
      <c r="AI207" s="17">
        <f>Valores!$C$25*'Escala Docente'!E207</f>
        <v>0</v>
      </c>
      <c r="AJ207" s="15">
        <v>0</v>
      </c>
      <c r="AK207" s="25">
        <f t="shared" si="32"/>
        <v>539</v>
      </c>
      <c r="AL207" s="17">
        <f t="shared" si="34"/>
        <v>7068.423075833335</v>
      </c>
      <c r="AM207" s="43">
        <f t="shared" si="35"/>
        <v>201.68</v>
      </c>
      <c r="AN207" s="56"/>
      <c r="AO207" s="56"/>
      <c r="AP207" s="20" t="s">
        <v>487</v>
      </c>
    </row>
    <row r="208" spans="2:42" s="20" customFormat="1" ht="11.25" customHeight="1">
      <c r="B208" s="20">
        <v>208</v>
      </c>
      <c r="D208" s="20" t="s">
        <v>355</v>
      </c>
      <c r="E208" s="20">
        <v>23</v>
      </c>
      <c r="F208" s="21" t="str">
        <f t="shared" si="24"/>
        <v>Hora Cátedra Enseñanza Superior 23 hs</v>
      </c>
      <c r="G208" s="28">
        <f t="shared" si="25"/>
        <v>2277</v>
      </c>
      <c r="H208" s="15">
        <f>G208*Valores!$B$2</f>
        <v>5284.917</v>
      </c>
      <c r="I208" s="24">
        <v>0</v>
      </c>
      <c r="J208" s="15">
        <f>I208*Valores!$B$2</f>
        <v>0</v>
      </c>
      <c r="K208" s="27">
        <v>0</v>
      </c>
      <c r="L208" s="15">
        <f>K208*Valores!$B$2</f>
        <v>0</v>
      </c>
      <c r="M208" s="27">
        <v>0</v>
      </c>
      <c r="N208" s="15">
        <f>M208*Valores!$B$2</f>
        <v>0</v>
      </c>
      <c r="O208" s="15">
        <f t="shared" si="33"/>
        <v>851.38755</v>
      </c>
      <c r="P208" s="15">
        <f t="shared" si="28"/>
        <v>0</v>
      </c>
      <c r="Q208" s="17">
        <f>Valores!$B$7*E208</f>
        <v>977.5</v>
      </c>
      <c r="R208" s="17">
        <f>IF(E208&lt;15,(Valores!$C$6/15*E208),Valores!$C$6)</f>
        <v>1038.184</v>
      </c>
      <c r="S208" s="15">
        <v>0</v>
      </c>
      <c r="T208" s="17">
        <f>Valores!$B$8*E208</f>
        <v>391</v>
      </c>
      <c r="U208" s="15">
        <f t="shared" si="31"/>
        <v>391</v>
      </c>
      <c r="V208" s="15">
        <v>0</v>
      </c>
      <c r="W208" s="15">
        <v>0</v>
      </c>
      <c r="X208" s="24">
        <v>0</v>
      </c>
      <c r="Y208" s="15">
        <f>X208*Valores!$B$2</f>
        <v>0</v>
      </c>
      <c r="Z208" s="15">
        <v>0</v>
      </c>
      <c r="AA208" s="39">
        <f t="shared" si="26"/>
        <v>118.91</v>
      </c>
      <c r="AB208" s="15">
        <f t="shared" si="29"/>
        <v>0</v>
      </c>
      <c r="AC208" s="15">
        <f t="shared" si="27"/>
        <v>98.93066666666665</v>
      </c>
      <c r="AD208" s="16">
        <v>0</v>
      </c>
      <c r="AE208" s="15">
        <f>AD208*Valores!$B$2</f>
        <v>0</v>
      </c>
      <c r="AF208" s="31">
        <f t="shared" si="30"/>
        <v>8760.829216666669</v>
      </c>
      <c r="AG208" s="15">
        <v>0</v>
      </c>
      <c r="AH208" s="17">
        <f>Valores!$B$10*E208/30</f>
        <v>563.5</v>
      </c>
      <c r="AI208" s="17">
        <f>Valores!$C$25*'Escala Docente'!E208</f>
        <v>0</v>
      </c>
      <c r="AJ208" s="15">
        <v>0</v>
      </c>
      <c r="AK208" s="25">
        <f t="shared" si="32"/>
        <v>563.5</v>
      </c>
      <c r="AL208" s="17">
        <f t="shared" si="34"/>
        <v>7353.142642916669</v>
      </c>
      <c r="AM208" s="43">
        <f t="shared" si="35"/>
        <v>210.85</v>
      </c>
      <c r="AN208" s="56"/>
      <c r="AO208" s="56"/>
      <c r="AP208" s="20" t="s">
        <v>486</v>
      </c>
    </row>
    <row r="209" spans="2:42" s="20" customFormat="1" ht="11.25" customHeight="1">
      <c r="B209" s="20">
        <v>209</v>
      </c>
      <c r="D209" s="20" t="s">
        <v>355</v>
      </c>
      <c r="E209" s="20">
        <v>24</v>
      </c>
      <c r="F209" s="21" t="str">
        <f t="shared" si="24"/>
        <v>Hora Cátedra Enseñanza Superior 24 hs</v>
      </c>
      <c r="G209" s="28">
        <f t="shared" si="25"/>
        <v>2376</v>
      </c>
      <c r="H209" s="15">
        <f>G209*Valores!$B$2</f>
        <v>5514.696000000001</v>
      </c>
      <c r="I209" s="24">
        <v>0</v>
      </c>
      <c r="J209" s="15">
        <f>I209*Valores!$B$2</f>
        <v>0</v>
      </c>
      <c r="K209" s="27">
        <v>0</v>
      </c>
      <c r="L209" s="15">
        <f>K209*Valores!$B$2</f>
        <v>0</v>
      </c>
      <c r="M209" s="27">
        <v>0</v>
      </c>
      <c r="N209" s="15">
        <f>M209*Valores!$B$2</f>
        <v>0</v>
      </c>
      <c r="O209" s="15">
        <f t="shared" si="33"/>
        <v>888.4044000000001</v>
      </c>
      <c r="P209" s="15">
        <f t="shared" si="28"/>
        <v>0</v>
      </c>
      <c r="Q209" s="17">
        <f>Valores!$B$7*E209</f>
        <v>1020</v>
      </c>
      <c r="R209" s="17">
        <f>IF(E209&lt;15,(Valores!$C$6/15*E209),Valores!$C$6)</f>
        <v>1038.184</v>
      </c>
      <c r="S209" s="15">
        <v>0</v>
      </c>
      <c r="T209" s="17">
        <f>Valores!$B$8*E209</f>
        <v>408</v>
      </c>
      <c r="U209" s="15">
        <f t="shared" si="31"/>
        <v>408</v>
      </c>
      <c r="V209" s="15">
        <v>0</v>
      </c>
      <c r="W209" s="15">
        <v>0</v>
      </c>
      <c r="X209" s="24">
        <v>0</v>
      </c>
      <c r="Y209" s="15">
        <f>X209*Valores!$B$2</f>
        <v>0</v>
      </c>
      <c r="Z209" s="15">
        <v>0</v>
      </c>
      <c r="AA209" s="39">
        <f t="shared" si="26"/>
        <v>124.08</v>
      </c>
      <c r="AB209" s="15">
        <f t="shared" si="29"/>
        <v>0</v>
      </c>
      <c r="AC209" s="15">
        <f t="shared" si="27"/>
        <v>103.232</v>
      </c>
      <c r="AD209" s="16">
        <v>0</v>
      </c>
      <c r="AE209" s="15">
        <f>AD209*Valores!$B$2</f>
        <v>0</v>
      </c>
      <c r="AF209" s="31">
        <f t="shared" si="30"/>
        <v>9096.5964</v>
      </c>
      <c r="AG209" s="15">
        <v>0</v>
      </c>
      <c r="AH209" s="17">
        <f>Valores!$B$10*E209/30</f>
        <v>588</v>
      </c>
      <c r="AI209" s="17">
        <f>Valores!$C$25*'Escala Docente'!E209</f>
        <v>0</v>
      </c>
      <c r="AJ209" s="15">
        <v>0</v>
      </c>
      <c r="AK209" s="25">
        <f t="shared" si="32"/>
        <v>588</v>
      </c>
      <c r="AL209" s="17">
        <f t="shared" si="34"/>
        <v>7637.86221</v>
      </c>
      <c r="AM209" s="43">
        <f>(9.17*E209)-0.08</f>
        <v>219.99999999999997</v>
      </c>
      <c r="AN209" s="56"/>
      <c r="AO209" s="56"/>
      <c r="AP209" s="20" t="s">
        <v>487</v>
      </c>
    </row>
    <row r="210" spans="2:42" s="20" customFormat="1" ht="11.25" customHeight="1" thickBot="1">
      <c r="B210" s="20">
        <v>210</v>
      </c>
      <c r="D210" s="57" t="s">
        <v>355</v>
      </c>
      <c r="E210" s="57">
        <v>25</v>
      </c>
      <c r="F210" s="58" t="str">
        <f t="shared" si="24"/>
        <v>Hora Cátedra Enseñanza Superior 25 hs</v>
      </c>
      <c r="G210" s="59">
        <f t="shared" si="25"/>
        <v>2475</v>
      </c>
      <c r="H210" s="60">
        <f>G210*Valores!$B$2</f>
        <v>5744.475</v>
      </c>
      <c r="I210" s="63">
        <v>0</v>
      </c>
      <c r="J210" s="60">
        <f>I210*Valores!$B$2</f>
        <v>0</v>
      </c>
      <c r="K210" s="70">
        <v>0</v>
      </c>
      <c r="L210" s="60">
        <f>K210*Valores!$B$2</f>
        <v>0</v>
      </c>
      <c r="M210" s="70">
        <v>0</v>
      </c>
      <c r="N210" s="60">
        <f>M210*Valores!$B$2</f>
        <v>0</v>
      </c>
      <c r="O210" s="60">
        <f t="shared" si="33"/>
        <v>925.42125</v>
      </c>
      <c r="P210" s="60">
        <f t="shared" si="28"/>
        <v>0</v>
      </c>
      <c r="Q210" s="62">
        <f>Valores!$B$7*E210</f>
        <v>1062.5</v>
      </c>
      <c r="R210" s="62">
        <f>IF(E210&lt;15,(Valores!$C$6/15*E210),Valores!$C$6)</f>
        <v>1038.184</v>
      </c>
      <c r="S210" s="60">
        <v>0</v>
      </c>
      <c r="T210" s="62">
        <f>Valores!$B$8*E210</f>
        <v>425</v>
      </c>
      <c r="U210" s="60">
        <f t="shared" si="31"/>
        <v>425</v>
      </c>
      <c r="V210" s="60">
        <v>0</v>
      </c>
      <c r="W210" s="60">
        <v>0</v>
      </c>
      <c r="X210" s="63">
        <v>0</v>
      </c>
      <c r="Y210" s="60">
        <f>X210*Valores!$B$2</f>
        <v>0</v>
      </c>
      <c r="Z210" s="60">
        <v>0</v>
      </c>
      <c r="AA210" s="64">
        <f t="shared" si="26"/>
        <v>129.25</v>
      </c>
      <c r="AB210" s="60">
        <f t="shared" si="29"/>
        <v>0</v>
      </c>
      <c r="AC210" s="60">
        <f t="shared" si="27"/>
        <v>107.53333333333333</v>
      </c>
      <c r="AD210" s="65">
        <v>0</v>
      </c>
      <c r="AE210" s="60">
        <f>AD210*Valores!$B$2</f>
        <v>0</v>
      </c>
      <c r="AF210" s="66">
        <f t="shared" si="30"/>
        <v>9432.363583333334</v>
      </c>
      <c r="AG210" s="60">
        <v>0</v>
      </c>
      <c r="AH210" s="62">
        <f>Valores!$B$10*E210/30</f>
        <v>612.5</v>
      </c>
      <c r="AI210" s="62">
        <f>Valores!$C$25*'Escala Docente'!E210</f>
        <v>0</v>
      </c>
      <c r="AJ210" s="60">
        <v>0</v>
      </c>
      <c r="AK210" s="67">
        <f t="shared" si="32"/>
        <v>612.5</v>
      </c>
      <c r="AL210" s="62">
        <f t="shared" si="34"/>
        <v>7922.581777083334</v>
      </c>
      <c r="AM210" s="68">
        <v>220</v>
      </c>
      <c r="AN210" s="69"/>
      <c r="AO210" s="69"/>
      <c r="AP210" s="20" t="s">
        <v>486</v>
      </c>
    </row>
    <row r="211" spans="2:42" s="20" customFormat="1" ht="11.25" customHeight="1" thickTop="1">
      <c r="B211" s="20">
        <v>211</v>
      </c>
      <c r="C211" s="20" t="s">
        <v>478</v>
      </c>
      <c r="D211" s="20" t="s">
        <v>355</v>
      </c>
      <c r="E211" s="20">
        <v>26</v>
      </c>
      <c r="F211" s="21" t="str">
        <f t="shared" si="24"/>
        <v>Hora Cátedra Enseñanza Superior 26 hs</v>
      </c>
      <c r="G211" s="28">
        <f t="shared" si="25"/>
        <v>2574</v>
      </c>
      <c r="H211" s="15">
        <f>G211*Valores!$B$2</f>
        <v>5974.254000000001</v>
      </c>
      <c r="I211" s="24">
        <v>0</v>
      </c>
      <c r="J211" s="15">
        <f>I211*Valores!$B$2</f>
        <v>0</v>
      </c>
      <c r="K211" s="27">
        <v>0</v>
      </c>
      <c r="L211" s="15">
        <f>K211*Valores!$B$2</f>
        <v>0</v>
      </c>
      <c r="M211" s="27">
        <v>0</v>
      </c>
      <c r="N211" s="15">
        <f>M211*Valores!$B$2</f>
        <v>0</v>
      </c>
      <c r="O211" s="15">
        <f t="shared" si="33"/>
        <v>962.4381000000001</v>
      </c>
      <c r="P211" s="15">
        <f t="shared" si="28"/>
        <v>0</v>
      </c>
      <c r="Q211" s="17">
        <f>Valores!$B$7*E211</f>
        <v>1105</v>
      </c>
      <c r="R211" s="17">
        <f>IF(E211&lt;15,(Valores!$C$6/15*E211),Valores!$C$6)</f>
        <v>1038.184</v>
      </c>
      <c r="S211" s="15">
        <v>0</v>
      </c>
      <c r="T211" s="17">
        <f>Valores!$B$8*E211</f>
        <v>442</v>
      </c>
      <c r="U211" s="15">
        <f t="shared" si="31"/>
        <v>442</v>
      </c>
      <c r="V211" s="15">
        <v>0</v>
      </c>
      <c r="W211" s="15">
        <v>0</v>
      </c>
      <c r="X211" s="24">
        <v>0</v>
      </c>
      <c r="Y211" s="15">
        <f>X211*Valores!$B$2</f>
        <v>0</v>
      </c>
      <c r="Z211" s="15">
        <v>0</v>
      </c>
      <c r="AA211" s="39">
        <f t="shared" si="26"/>
        <v>134.42</v>
      </c>
      <c r="AB211" s="15">
        <f t="shared" si="29"/>
        <v>0</v>
      </c>
      <c r="AC211" s="15">
        <f t="shared" si="27"/>
        <v>111.83466666666666</v>
      </c>
      <c r="AD211" s="16">
        <v>0</v>
      </c>
      <c r="AE211" s="15">
        <f>AD211*Valores!$B$2</f>
        <v>0</v>
      </c>
      <c r="AF211" s="31">
        <f t="shared" si="30"/>
        <v>9768.130766666669</v>
      </c>
      <c r="AG211" s="15">
        <v>0</v>
      </c>
      <c r="AH211" s="17">
        <f>Valores!$B$10*E211/30</f>
        <v>637</v>
      </c>
      <c r="AI211" s="17">
        <f>Valores!$C$25*'Escala Docente'!E211</f>
        <v>0</v>
      </c>
      <c r="AJ211" s="15">
        <v>0</v>
      </c>
      <c r="AK211" s="25">
        <f t="shared" si="32"/>
        <v>637</v>
      </c>
      <c r="AL211" s="17">
        <f t="shared" si="34"/>
        <v>8207.30134416667</v>
      </c>
      <c r="AM211" s="43">
        <v>220</v>
      </c>
      <c r="AN211" s="56"/>
      <c r="AO211" s="56"/>
      <c r="AP211" s="20" t="s">
        <v>486</v>
      </c>
    </row>
    <row r="212" spans="2:42" s="20" customFormat="1" ht="11.25" customHeight="1">
      <c r="B212" s="20">
        <v>212</v>
      </c>
      <c r="D212" s="20" t="s">
        <v>355</v>
      </c>
      <c r="E212" s="20">
        <v>27</v>
      </c>
      <c r="F212" s="21" t="str">
        <f t="shared" si="24"/>
        <v>Hora Cátedra Enseñanza Superior 27 hs</v>
      </c>
      <c r="G212" s="28">
        <f t="shared" si="25"/>
        <v>2673</v>
      </c>
      <c r="H212" s="15">
        <f>G212*Valores!$B$2</f>
        <v>6204.033</v>
      </c>
      <c r="I212" s="24">
        <v>0</v>
      </c>
      <c r="J212" s="15">
        <f>I212*Valores!$B$2</f>
        <v>0</v>
      </c>
      <c r="K212" s="27">
        <v>0</v>
      </c>
      <c r="L212" s="15">
        <f>K212*Valores!$B$2</f>
        <v>0</v>
      </c>
      <c r="M212" s="27">
        <v>0</v>
      </c>
      <c r="N212" s="15">
        <f>M212*Valores!$B$2</f>
        <v>0</v>
      </c>
      <c r="O212" s="15">
        <f t="shared" si="33"/>
        <v>999.45495</v>
      </c>
      <c r="P212" s="15">
        <f t="shared" si="28"/>
        <v>0</v>
      </c>
      <c r="Q212" s="17">
        <f>Valores!$B$7*E212</f>
        <v>1147.5</v>
      </c>
      <c r="R212" s="17">
        <f>IF(E212&lt;15,(Valores!$C$6/15*E212),Valores!$C$6)</f>
        <v>1038.184</v>
      </c>
      <c r="S212" s="15">
        <v>0</v>
      </c>
      <c r="T212" s="17">
        <f>Valores!$B$8*E212</f>
        <v>459</v>
      </c>
      <c r="U212" s="15">
        <f t="shared" si="31"/>
        <v>459</v>
      </c>
      <c r="V212" s="15">
        <v>0</v>
      </c>
      <c r="W212" s="15">
        <v>0</v>
      </c>
      <c r="X212" s="24">
        <v>0</v>
      </c>
      <c r="Y212" s="15">
        <f>X212*Valores!$B$2</f>
        <v>0</v>
      </c>
      <c r="Z212" s="15">
        <v>0</v>
      </c>
      <c r="AA212" s="39">
        <f t="shared" si="26"/>
        <v>139.59</v>
      </c>
      <c r="AB212" s="15">
        <f t="shared" si="29"/>
        <v>0</v>
      </c>
      <c r="AC212" s="15">
        <f t="shared" si="27"/>
        <v>116.136</v>
      </c>
      <c r="AD212" s="16">
        <v>0</v>
      </c>
      <c r="AE212" s="15">
        <f>AD212*Valores!$B$2</f>
        <v>0</v>
      </c>
      <c r="AF212" s="31">
        <f t="shared" si="30"/>
        <v>10103.89795</v>
      </c>
      <c r="AG212" s="15">
        <v>0</v>
      </c>
      <c r="AH212" s="17">
        <f>Valores!$B$10*E212/30</f>
        <v>661.5</v>
      </c>
      <c r="AI212" s="17">
        <f>Valores!$C$25*'Escala Docente'!E212</f>
        <v>0</v>
      </c>
      <c r="AJ212" s="15">
        <v>0</v>
      </c>
      <c r="AK212" s="25">
        <f t="shared" si="32"/>
        <v>661.5</v>
      </c>
      <c r="AL212" s="17">
        <f t="shared" si="34"/>
        <v>8492.020911250002</v>
      </c>
      <c r="AM212" s="43">
        <v>220</v>
      </c>
      <c r="AN212" s="56"/>
      <c r="AO212" s="56"/>
      <c r="AP212" s="20" t="s">
        <v>486</v>
      </c>
    </row>
    <row r="213" spans="2:42" s="20" customFormat="1" ht="11.25" customHeight="1">
      <c r="B213" s="20">
        <v>213</v>
      </c>
      <c r="D213" s="20" t="s">
        <v>355</v>
      </c>
      <c r="E213" s="20">
        <v>28</v>
      </c>
      <c r="F213" s="21" t="str">
        <f t="shared" si="24"/>
        <v>Hora Cátedra Enseñanza Superior 28 hs</v>
      </c>
      <c r="G213" s="28">
        <f t="shared" si="25"/>
        <v>2772</v>
      </c>
      <c r="H213" s="15">
        <f>G213*Valores!$B$2</f>
        <v>6433.812000000001</v>
      </c>
      <c r="I213" s="24">
        <v>0</v>
      </c>
      <c r="J213" s="15">
        <f>I213*Valores!$B$2</f>
        <v>0</v>
      </c>
      <c r="K213" s="27">
        <v>0</v>
      </c>
      <c r="L213" s="15">
        <f>K213*Valores!$B$2</f>
        <v>0</v>
      </c>
      <c r="M213" s="27">
        <v>0</v>
      </c>
      <c r="N213" s="15">
        <f>M213*Valores!$B$2</f>
        <v>0</v>
      </c>
      <c r="O213" s="15">
        <f t="shared" si="33"/>
        <v>1036.4718</v>
      </c>
      <c r="P213" s="15">
        <f t="shared" si="28"/>
        <v>0</v>
      </c>
      <c r="Q213" s="17">
        <f>Valores!$B$7*E213</f>
        <v>1190</v>
      </c>
      <c r="R213" s="17">
        <f>IF(E213&lt;15,(Valores!$C$6/15*E213),Valores!$C$6)</f>
        <v>1038.184</v>
      </c>
      <c r="S213" s="15">
        <v>0</v>
      </c>
      <c r="T213" s="17">
        <f>Valores!$B$8*E213</f>
        <v>476</v>
      </c>
      <c r="U213" s="15">
        <f t="shared" si="31"/>
        <v>476</v>
      </c>
      <c r="V213" s="15">
        <v>0</v>
      </c>
      <c r="W213" s="15">
        <v>0</v>
      </c>
      <c r="X213" s="24">
        <v>0</v>
      </c>
      <c r="Y213" s="15">
        <f>X213*Valores!$B$2</f>
        <v>0</v>
      </c>
      <c r="Z213" s="15">
        <v>0</v>
      </c>
      <c r="AA213" s="39">
        <f t="shared" si="26"/>
        <v>144.76</v>
      </c>
      <c r="AB213" s="15">
        <f t="shared" si="29"/>
        <v>0</v>
      </c>
      <c r="AC213" s="15">
        <f t="shared" si="27"/>
        <v>120.43733333333333</v>
      </c>
      <c r="AD213" s="16">
        <v>0</v>
      </c>
      <c r="AE213" s="15">
        <f>AD213*Valores!$B$2</f>
        <v>0</v>
      </c>
      <c r="AF213" s="31">
        <f t="shared" si="30"/>
        <v>10439.665133333334</v>
      </c>
      <c r="AG213" s="15">
        <v>0</v>
      </c>
      <c r="AH213" s="17">
        <f>Valores!$B$10*E213/30</f>
        <v>686</v>
      </c>
      <c r="AI213" s="17">
        <f>Valores!$C$25*'Escala Docente'!E213</f>
        <v>0</v>
      </c>
      <c r="AJ213" s="15">
        <v>0</v>
      </c>
      <c r="AK213" s="25">
        <f t="shared" si="32"/>
        <v>686</v>
      </c>
      <c r="AL213" s="17">
        <f t="shared" si="34"/>
        <v>8776.740478333333</v>
      </c>
      <c r="AM213" s="43">
        <v>220</v>
      </c>
      <c r="AN213" s="56"/>
      <c r="AO213" s="56"/>
      <c r="AP213" s="20" t="s">
        <v>486</v>
      </c>
    </row>
    <row r="214" spans="2:42" s="20" customFormat="1" ht="11.25" customHeight="1">
      <c r="B214" s="20">
        <v>214</v>
      </c>
      <c r="D214" s="20" t="s">
        <v>355</v>
      </c>
      <c r="E214" s="20">
        <v>29</v>
      </c>
      <c r="F214" s="21" t="str">
        <f t="shared" si="24"/>
        <v>Hora Cátedra Enseñanza Superior 29 hs</v>
      </c>
      <c r="G214" s="28">
        <f t="shared" si="25"/>
        <v>2871</v>
      </c>
      <c r="H214" s="15">
        <f>G214*Valores!$B$2</f>
        <v>6663.591</v>
      </c>
      <c r="I214" s="24">
        <v>0</v>
      </c>
      <c r="J214" s="15">
        <f>I214*Valores!$B$2</f>
        <v>0</v>
      </c>
      <c r="K214" s="27">
        <v>0</v>
      </c>
      <c r="L214" s="15">
        <f>K214*Valores!$B$2</f>
        <v>0</v>
      </c>
      <c r="M214" s="27">
        <v>0</v>
      </c>
      <c r="N214" s="15">
        <f>M214*Valores!$B$2</f>
        <v>0</v>
      </c>
      <c r="O214" s="15">
        <f t="shared" si="33"/>
        <v>1073.48865</v>
      </c>
      <c r="P214" s="15">
        <f t="shared" si="28"/>
        <v>0</v>
      </c>
      <c r="Q214" s="17">
        <f>Valores!$B$7*E214</f>
        <v>1232.5</v>
      </c>
      <c r="R214" s="17">
        <f>IF(E214&lt;15,(Valores!$C$6/15*E214),Valores!$C$6)</f>
        <v>1038.184</v>
      </c>
      <c r="S214" s="15">
        <v>0</v>
      </c>
      <c r="T214" s="17">
        <f>Valores!$B$8*E214</f>
        <v>493</v>
      </c>
      <c r="U214" s="15">
        <f t="shared" si="31"/>
        <v>493</v>
      </c>
      <c r="V214" s="15">
        <v>0</v>
      </c>
      <c r="W214" s="15">
        <v>0</v>
      </c>
      <c r="X214" s="24">
        <v>0</v>
      </c>
      <c r="Y214" s="15">
        <f>X214*Valores!$B$2</f>
        <v>0</v>
      </c>
      <c r="Z214" s="15">
        <v>0</v>
      </c>
      <c r="AA214" s="39">
        <f t="shared" si="26"/>
        <v>149.93</v>
      </c>
      <c r="AB214" s="15">
        <f t="shared" si="29"/>
        <v>0</v>
      </c>
      <c r="AC214" s="15">
        <f t="shared" si="27"/>
        <v>124.73866666666666</v>
      </c>
      <c r="AD214" s="16">
        <v>0</v>
      </c>
      <c r="AE214" s="15">
        <f>AD214*Valores!$B$2</f>
        <v>0</v>
      </c>
      <c r="AF214" s="31">
        <f t="shared" si="30"/>
        <v>10775.432316666665</v>
      </c>
      <c r="AG214" s="15">
        <v>0</v>
      </c>
      <c r="AH214" s="17">
        <f>Valores!$B$10*E214/30</f>
        <v>710.5</v>
      </c>
      <c r="AI214" s="17">
        <f>Valores!$C$25*'Escala Docente'!E214</f>
        <v>0</v>
      </c>
      <c r="AJ214" s="15">
        <v>0</v>
      </c>
      <c r="AK214" s="25">
        <f t="shared" si="32"/>
        <v>710.5</v>
      </c>
      <c r="AL214" s="17">
        <f t="shared" si="34"/>
        <v>9061.460045416667</v>
      </c>
      <c r="AM214" s="43">
        <v>220</v>
      </c>
      <c r="AN214" s="56"/>
      <c r="AO214" s="56"/>
      <c r="AP214" s="20" t="s">
        <v>486</v>
      </c>
    </row>
    <row r="215" spans="2:42" s="20" customFormat="1" ht="11.25" customHeight="1" thickBot="1">
      <c r="B215" s="20">
        <v>215</v>
      </c>
      <c r="D215" s="57" t="s">
        <v>355</v>
      </c>
      <c r="E215" s="57">
        <v>30</v>
      </c>
      <c r="F215" s="58" t="str">
        <f t="shared" si="24"/>
        <v>Hora Cátedra Enseñanza Superior 30 hs</v>
      </c>
      <c r="G215" s="59">
        <f t="shared" si="25"/>
        <v>2970</v>
      </c>
      <c r="H215" s="60">
        <f>G215*Valores!$B$2</f>
        <v>6893.370000000001</v>
      </c>
      <c r="I215" s="63">
        <v>0</v>
      </c>
      <c r="J215" s="60">
        <f>I215*Valores!$B$2</f>
        <v>0</v>
      </c>
      <c r="K215" s="70">
        <v>0</v>
      </c>
      <c r="L215" s="60">
        <f>K215*Valores!$B$2</f>
        <v>0</v>
      </c>
      <c r="M215" s="70">
        <v>0</v>
      </c>
      <c r="N215" s="60">
        <f>M215*Valores!$B$2</f>
        <v>0</v>
      </c>
      <c r="O215" s="60">
        <f t="shared" si="33"/>
        <v>1110.5055</v>
      </c>
      <c r="P215" s="60">
        <f t="shared" si="28"/>
        <v>0</v>
      </c>
      <c r="Q215" s="62">
        <f>Valores!$B$7*E215</f>
        <v>1275</v>
      </c>
      <c r="R215" s="62">
        <f>IF(E215&lt;15,(Valores!$C$6/15*E215),Valores!$C$6)</f>
        <v>1038.184</v>
      </c>
      <c r="S215" s="60">
        <v>0</v>
      </c>
      <c r="T215" s="62">
        <f>Valores!$B$8*E215</f>
        <v>510</v>
      </c>
      <c r="U215" s="60">
        <f t="shared" si="31"/>
        <v>510</v>
      </c>
      <c r="V215" s="60">
        <v>0</v>
      </c>
      <c r="W215" s="60">
        <v>0</v>
      </c>
      <c r="X215" s="63">
        <v>0</v>
      </c>
      <c r="Y215" s="60">
        <f>X215*Valores!$B$2</f>
        <v>0</v>
      </c>
      <c r="Z215" s="60">
        <v>0</v>
      </c>
      <c r="AA215" s="64">
        <f t="shared" si="26"/>
        <v>155.1</v>
      </c>
      <c r="AB215" s="60">
        <f t="shared" si="29"/>
        <v>0</v>
      </c>
      <c r="AC215" s="60">
        <f t="shared" si="27"/>
        <v>129.04</v>
      </c>
      <c r="AD215" s="65">
        <v>0</v>
      </c>
      <c r="AE215" s="60">
        <f>AD215*Valores!$B$2</f>
        <v>0</v>
      </c>
      <c r="AF215" s="66">
        <f t="shared" si="30"/>
        <v>11111.199500000002</v>
      </c>
      <c r="AG215" s="60">
        <v>0</v>
      </c>
      <c r="AH215" s="62">
        <f>Valores!$B$10*E215/30</f>
        <v>735</v>
      </c>
      <c r="AI215" s="62">
        <f>Valores!$C$25*'Escala Docente'!E215</f>
        <v>0</v>
      </c>
      <c r="AJ215" s="60">
        <v>0</v>
      </c>
      <c r="AK215" s="67">
        <f t="shared" si="32"/>
        <v>735</v>
      </c>
      <c r="AL215" s="62">
        <f t="shared" si="34"/>
        <v>9346.179612500002</v>
      </c>
      <c r="AM215" s="68">
        <v>220</v>
      </c>
      <c r="AN215" s="69"/>
      <c r="AO215" s="69"/>
      <c r="AP215" s="20" t="s">
        <v>487</v>
      </c>
    </row>
    <row r="216" spans="2:42" s="20" customFormat="1" ht="11.25" customHeight="1" thickTop="1">
      <c r="B216" s="20">
        <v>216</v>
      </c>
      <c r="C216" s="20" t="s">
        <v>478</v>
      </c>
      <c r="D216" s="20" t="s">
        <v>355</v>
      </c>
      <c r="E216" s="20">
        <v>31</v>
      </c>
      <c r="F216" s="21" t="str">
        <f t="shared" si="24"/>
        <v>Hora Cátedra Enseñanza Superior 31 hs</v>
      </c>
      <c r="G216" s="28">
        <f t="shared" si="25"/>
        <v>3069</v>
      </c>
      <c r="H216" s="15">
        <f>G216*Valores!$B$2</f>
        <v>7123.149</v>
      </c>
      <c r="I216" s="24">
        <v>0</v>
      </c>
      <c r="J216" s="15">
        <f>I216*Valores!$B$2</f>
        <v>0</v>
      </c>
      <c r="K216" s="27">
        <v>0</v>
      </c>
      <c r="L216" s="15">
        <f>K216*Valores!$B$2</f>
        <v>0</v>
      </c>
      <c r="M216" s="27">
        <v>0</v>
      </c>
      <c r="N216" s="15">
        <f>M216*Valores!$B$2</f>
        <v>0</v>
      </c>
      <c r="O216" s="15">
        <f t="shared" si="33"/>
        <v>1147.52235</v>
      </c>
      <c r="P216" s="15">
        <f t="shared" si="28"/>
        <v>0</v>
      </c>
      <c r="Q216" s="17">
        <f>Valores!$B$7*E216</f>
        <v>1317.5</v>
      </c>
      <c r="R216" s="17">
        <f>IF(E216&lt;15,(Valores!$C$6/15*E216),Valores!$C$6)</f>
        <v>1038.184</v>
      </c>
      <c r="S216" s="15">
        <v>0</v>
      </c>
      <c r="T216" s="17">
        <f>Valores!$B$8*E216</f>
        <v>527</v>
      </c>
      <c r="U216" s="15">
        <f t="shared" si="31"/>
        <v>527</v>
      </c>
      <c r="V216" s="15">
        <v>0</v>
      </c>
      <c r="W216" s="15">
        <v>0</v>
      </c>
      <c r="X216" s="24">
        <v>0</v>
      </c>
      <c r="Y216" s="15">
        <f>X216*Valores!$B$2</f>
        <v>0</v>
      </c>
      <c r="Z216" s="15">
        <v>0</v>
      </c>
      <c r="AA216" s="39">
        <f t="shared" si="26"/>
        <v>160.27</v>
      </c>
      <c r="AB216" s="15">
        <f t="shared" si="29"/>
        <v>0</v>
      </c>
      <c r="AC216" s="15">
        <f>129.04/30*E215</f>
        <v>129.04</v>
      </c>
      <c r="AD216" s="16">
        <v>0</v>
      </c>
      <c r="AE216" s="15">
        <f>AD216*Valores!$B$2</f>
        <v>0</v>
      </c>
      <c r="AF216" s="31">
        <f t="shared" si="30"/>
        <v>11442.665350000001</v>
      </c>
      <c r="AG216" s="15">
        <v>0</v>
      </c>
      <c r="AH216" s="17">
        <f>Valores!$B$10*E216/30</f>
        <v>759.5</v>
      </c>
      <c r="AI216" s="17">
        <f>Valores!$C$25*'Escala Docente'!E216</f>
        <v>0</v>
      </c>
      <c r="AJ216" s="15">
        <v>0</v>
      </c>
      <c r="AK216" s="25">
        <f t="shared" si="32"/>
        <v>759.5</v>
      </c>
      <c r="AL216" s="17">
        <f t="shared" si="34"/>
        <v>9627.565646250001</v>
      </c>
      <c r="AM216" s="43">
        <v>220</v>
      </c>
      <c r="AN216" s="56"/>
      <c r="AO216" s="56"/>
      <c r="AP216" s="20" t="s">
        <v>486</v>
      </c>
    </row>
    <row r="217" spans="2:42" s="20" customFormat="1" ht="11.25" customHeight="1">
      <c r="B217" s="20">
        <v>217</v>
      </c>
      <c r="D217" s="20" t="s">
        <v>356</v>
      </c>
      <c r="E217" s="20">
        <v>1</v>
      </c>
      <c r="F217" s="21" t="str">
        <f aca="true" t="shared" si="36" ref="F217:F247">CONCATENATE("Hora Cátedra Enseñanza Media ",E217," hs")</f>
        <v>Hora Cátedra Enseñanza Media 1 hs</v>
      </c>
      <c r="G217" s="28">
        <f aca="true" t="shared" si="37" ref="G217:G247">79*E217</f>
        <v>79</v>
      </c>
      <c r="H217" s="15">
        <f>G217*Valores!$B$2</f>
        <v>183.359</v>
      </c>
      <c r="I217" s="24">
        <v>0</v>
      </c>
      <c r="J217" s="15">
        <f>I217*Valores!$B$2</f>
        <v>0</v>
      </c>
      <c r="K217" s="27">
        <v>0</v>
      </c>
      <c r="L217" s="15">
        <f>K217*Valores!$B$2</f>
        <v>0</v>
      </c>
      <c r="M217" s="27">
        <v>0</v>
      </c>
      <c r="N217" s="15">
        <f>M217*Valores!$B$2</f>
        <v>0</v>
      </c>
      <c r="O217" s="15">
        <f t="shared" si="33"/>
        <v>30.05385</v>
      </c>
      <c r="P217" s="15">
        <f t="shared" si="28"/>
        <v>0</v>
      </c>
      <c r="Q217" s="17">
        <f>Valores!$B$7*E217</f>
        <v>42.5</v>
      </c>
      <c r="R217" s="17">
        <f>IF(E217&lt;15,(Valores!$C$6/15*E217),Valores!$C$6)</f>
        <v>69.21226666666666</v>
      </c>
      <c r="S217" s="15">
        <v>0</v>
      </c>
      <c r="T217" s="17">
        <f>Valores!$B$8*E217</f>
        <v>17</v>
      </c>
      <c r="U217" s="15">
        <f t="shared" si="31"/>
        <v>17</v>
      </c>
      <c r="V217" s="15">
        <v>0</v>
      </c>
      <c r="W217" s="15">
        <v>0</v>
      </c>
      <c r="X217" s="24">
        <v>0</v>
      </c>
      <c r="Y217" s="15">
        <f>X217*Valores!$B$2</f>
        <v>0</v>
      </c>
      <c r="Z217" s="15">
        <v>0</v>
      </c>
      <c r="AA217" s="39">
        <f t="shared" si="26"/>
        <v>5.17</v>
      </c>
      <c r="AB217" s="15">
        <f t="shared" si="29"/>
        <v>0</v>
      </c>
      <c r="AC217" s="15">
        <f aca="true" t="shared" si="38" ref="AC217:AC246">129.04/30*E217</f>
        <v>4.301333333333333</v>
      </c>
      <c r="AD217" s="16">
        <v>0</v>
      </c>
      <c r="AE217" s="15">
        <f>AD217*Valores!$B$2</f>
        <v>0</v>
      </c>
      <c r="AF217" s="31">
        <f t="shared" si="30"/>
        <v>351.59645000000006</v>
      </c>
      <c r="AG217" s="15">
        <v>0</v>
      </c>
      <c r="AH217" s="17">
        <f>Valores!$B$10*E217/30</f>
        <v>24.5</v>
      </c>
      <c r="AI217" s="17">
        <f>Valores!$C$25*'Escala Docente'!E217</f>
        <v>0</v>
      </c>
      <c r="AJ217" s="15">
        <v>0</v>
      </c>
      <c r="AK217" s="25">
        <f t="shared" si="32"/>
        <v>24.5</v>
      </c>
      <c r="AL217" s="17">
        <f t="shared" si="34"/>
        <v>296.98724875000005</v>
      </c>
      <c r="AM217" s="43">
        <f>7.33*E217</f>
        <v>7.33</v>
      </c>
      <c r="AN217" s="56"/>
      <c r="AO217" s="56">
        <v>4</v>
      </c>
      <c r="AP217" s="20" t="s">
        <v>487</v>
      </c>
    </row>
    <row r="218" spans="2:42" s="20" customFormat="1" ht="11.25" customHeight="1">
      <c r="B218" s="20">
        <v>218</v>
      </c>
      <c r="D218" s="20" t="s">
        <v>356</v>
      </c>
      <c r="E218" s="20">
        <v>2</v>
      </c>
      <c r="F218" s="21" t="str">
        <f t="shared" si="36"/>
        <v>Hora Cátedra Enseñanza Media 2 hs</v>
      </c>
      <c r="G218" s="28">
        <f t="shared" si="37"/>
        <v>158</v>
      </c>
      <c r="H218" s="15">
        <f>G218*Valores!$B$2</f>
        <v>366.718</v>
      </c>
      <c r="I218" s="24">
        <v>0</v>
      </c>
      <c r="J218" s="15">
        <f>I218*Valores!$B$2</f>
        <v>0</v>
      </c>
      <c r="K218" s="27">
        <v>0</v>
      </c>
      <c r="L218" s="15">
        <f>K218*Valores!$B$2</f>
        <v>0</v>
      </c>
      <c r="M218" s="27">
        <v>0</v>
      </c>
      <c r="N218" s="15">
        <f>M218*Valores!$B$2</f>
        <v>0</v>
      </c>
      <c r="O218" s="15">
        <f t="shared" si="33"/>
        <v>60.1077</v>
      </c>
      <c r="P218" s="15">
        <f t="shared" si="28"/>
        <v>0</v>
      </c>
      <c r="Q218" s="17">
        <f>Valores!$B$7*E218</f>
        <v>85</v>
      </c>
      <c r="R218" s="17">
        <f>IF(E218&lt;15,(Valores!$C$6/15*E218),Valores!$C$6)</f>
        <v>138.42453333333333</v>
      </c>
      <c r="S218" s="15">
        <v>0</v>
      </c>
      <c r="T218" s="17">
        <f>Valores!$B$8*E218</f>
        <v>34</v>
      </c>
      <c r="U218" s="15">
        <f t="shared" si="31"/>
        <v>34</v>
      </c>
      <c r="V218" s="15">
        <v>0</v>
      </c>
      <c r="W218" s="15">
        <v>0</v>
      </c>
      <c r="X218" s="24">
        <v>0</v>
      </c>
      <c r="Y218" s="15">
        <f>X218*Valores!$B$2</f>
        <v>0</v>
      </c>
      <c r="Z218" s="15">
        <v>0</v>
      </c>
      <c r="AA218" s="39">
        <f aca="true" t="shared" si="39" ref="AA218:AA249">(5.17)*E218</f>
        <v>10.34</v>
      </c>
      <c r="AB218" s="15">
        <f t="shared" si="29"/>
        <v>0</v>
      </c>
      <c r="AC218" s="15">
        <f t="shared" si="38"/>
        <v>8.602666666666666</v>
      </c>
      <c r="AD218" s="16">
        <v>0</v>
      </c>
      <c r="AE218" s="15">
        <f>AD218*Valores!$B$2</f>
        <v>0</v>
      </c>
      <c r="AF218" s="31">
        <f t="shared" si="30"/>
        <v>703.1929000000001</v>
      </c>
      <c r="AG218" s="15">
        <v>0</v>
      </c>
      <c r="AH218" s="17">
        <f>Valores!$B$10*E218/30</f>
        <v>49</v>
      </c>
      <c r="AI218" s="17">
        <f>Valores!$C$25*'Escala Docente'!E218</f>
        <v>0</v>
      </c>
      <c r="AJ218" s="15">
        <v>0</v>
      </c>
      <c r="AK218" s="25">
        <f t="shared" si="32"/>
        <v>49</v>
      </c>
      <c r="AL218" s="17">
        <f t="shared" si="34"/>
        <v>593.9744975000001</v>
      </c>
      <c r="AM218" s="43">
        <f>(7.33*E218)+0.01</f>
        <v>14.67</v>
      </c>
      <c r="AN218" s="56"/>
      <c r="AO218" s="56"/>
      <c r="AP218" s="20" t="s">
        <v>487</v>
      </c>
    </row>
    <row r="219" spans="2:42" s="20" customFormat="1" ht="11.25" customHeight="1">
      <c r="B219" s="20">
        <v>219</v>
      </c>
      <c r="D219" s="20" t="s">
        <v>356</v>
      </c>
      <c r="E219" s="20">
        <v>3</v>
      </c>
      <c r="F219" s="21" t="str">
        <f t="shared" si="36"/>
        <v>Hora Cátedra Enseñanza Media 3 hs</v>
      </c>
      <c r="G219" s="28">
        <f t="shared" si="37"/>
        <v>237</v>
      </c>
      <c r="H219" s="15">
        <f>G219*Valores!$B$2</f>
        <v>550.077</v>
      </c>
      <c r="I219" s="24">
        <v>0</v>
      </c>
      <c r="J219" s="15">
        <f>I219*Valores!$B$2</f>
        <v>0</v>
      </c>
      <c r="K219" s="27">
        <v>0</v>
      </c>
      <c r="L219" s="15">
        <f>K219*Valores!$B$2</f>
        <v>0</v>
      </c>
      <c r="M219" s="27">
        <v>0</v>
      </c>
      <c r="N219" s="15">
        <f>M219*Valores!$B$2</f>
        <v>0</v>
      </c>
      <c r="O219" s="15">
        <f t="shared" si="33"/>
        <v>90.16154999999999</v>
      </c>
      <c r="P219" s="15">
        <f t="shared" si="28"/>
        <v>0</v>
      </c>
      <c r="Q219" s="17">
        <f>Valores!$B$7*E219</f>
        <v>127.5</v>
      </c>
      <c r="R219" s="17">
        <f>IF(E219&lt;15,(Valores!$C$6/15*E219),Valores!$C$6)</f>
        <v>207.6368</v>
      </c>
      <c r="S219" s="15">
        <v>0</v>
      </c>
      <c r="T219" s="17">
        <f>Valores!$B$8*E219</f>
        <v>51</v>
      </c>
      <c r="U219" s="15">
        <f t="shared" si="31"/>
        <v>51</v>
      </c>
      <c r="V219" s="15">
        <v>0</v>
      </c>
      <c r="W219" s="15">
        <v>0</v>
      </c>
      <c r="X219" s="24">
        <v>0</v>
      </c>
      <c r="Y219" s="15">
        <f>X219*Valores!$B$2</f>
        <v>0</v>
      </c>
      <c r="Z219" s="15">
        <v>0</v>
      </c>
      <c r="AA219" s="39">
        <f t="shared" si="39"/>
        <v>15.51</v>
      </c>
      <c r="AB219" s="15">
        <f t="shared" si="29"/>
        <v>0</v>
      </c>
      <c r="AC219" s="15">
        <f t="shared" si="38"/>
        <v>12.904</v>
      </c>
      <c r="AD219" s="16">
        <v>0</v>
      </c>
      <c r="AE219" s="15">
        <f>AD219*Valores!$B$2</f>
        <v>0</v>
      </c>
      <c r="AF219" s="31">
        <f t="shared" si="30"/>
        <v>1054.78935</v>
      </c>
      <c r="AG219" s="15">
        <v>0</v>
      </c>
      <c r="AH219" s="17">
        <f>Valores!$B$10*E219/30</f>
        <v>73.5</v>
      </c>
      <c r="AI219" s="17">
        <f>Valores!$C$25*'Escala Docente'!E219</f>
        <v>0</v>
      </c>
      <c r="AJ219" s="15">
        <v>0</v>
      </c>
      <c r="AK219" s="25">
        <f t="shared" si="32"/>
        <v>73.5</v>
      </c>
      <c r="AL219" s="17">
        <f t="shared" si="34"/>
        <v>890.96174625</v>
      </c>
      <c r="AM219" s="43">
        <f>(7.33*E219)+0.01</f>
        <v>22.000000000000004</v>
      </c>
      <c r="AN219" s="56"/>
      <c r="AO219" s="56"/>
      <c r="AP219" s="20" t="s">
        <v>487</v>
      </c>
    </row>
    <row r="220" spans="2:42" s="20" customFormat="1" ht="11.25" customHeight="1" thickBot="1">
      <c r="B220" s="20">
        <v>220</v>
      </c>
      <c r="D220" s="57" t="s">
        <v>356</v>
      </c>
      <c r="E220" s="57">
        <v>4</v>
      </c>
      <c r="F220" s="58" t="str">
        <f t="shared" si="36"/>
        <v>Hora Cátedra Enseñanza Media 4 hs</v>
      </c>
      <c r="G220" s="59">
        <f t="shared" si="37"/>
        <v>316</v>
      </c>
      <c r="H220" s="60">
        <f>G220*Valores!$B$2</f>
        <v>733.436</v>
      </c>
      <c r="I220" s="63">
        <v>0</v>
      </c>
      <c r="J220" s="60">
        <f>I220*Valores!$B$2</f>
        <v>0</v>
      </c>
      <c r="K220" s="70">
        <v>0</v>
      </c>
      <c r="L220" s="60">
        <f>K220*Valores!$B$2</f>
        <v>0</v>
      </c>
      <c r="M220" s="70">
        <v>0</v>
      </c>
      <c r="N220" s="60">
        <f>M220*Valores!$B$2</f>
        <v>0</v>
      </c>
      <c r="O220" s="60">
        <f t="shared" si="33"/>
        <v>120.2154</v>
      </c>
      <c r="P220" s="60">
        <f t="shared" si="28"/>
        <v>0</v>
      </c>
      <c r="Q220" s="62">
        <f>Valores!$B$7*E220</f>
        <v>170</v>
      </c>
      <c r="R220" s="62">
        <f>IF(E220&lt;15,(Valores!$C$6/15*E220),Valores!$C$6)</f>
        <v>276.84906666666666</v>
      </c>
      <c r="S220" s="60">
        <v>0</v>
      </c>
      <c r="T220" s="62">
        <f>Valores!$B$8*E220</f>
        <v>68</v>
      </c>
      <c r="U220" s="60">
        <f t="shared" si="31"/>
        <v>68</v>
      </c>
      <c r="V220" s="60">
        <v>0</v>
      </c>
      <c r="W220" s="60">
        <v>0</v>
      </c>
      <c r="X220" s="63">
        <v>0</v>
      </c>
      <c r="Y220" s="60">
        <f>X220*Valores!$B$2</f>
        <v>0</v>
      </c>
      <c r="Z220" s="60">
        <v>0</v>
      </c>
      <c r="AA220" s="64">
        <f t="shared" si="39"/>
        <v>20.68</v>
      </c>
      <c r="AB220" s="60">
        <f t="shared" si="29"/>
        <v>0</v>
      </c>
      <c r="AC220" s="60">
        <f t="shared" si="38"/>
        <v>17.205333333333332</v>
      </c>
      <c r="AD220" s="65">
        <v>0</v>
      </c>
      <c r="AE220" s="60">
        <f>AD220*Valores!$B$2</f>
        <v>0</v>
      </c>
      <c r="AF220" s="66">
        <f t="shared" si="30"/>
        <v>1406.3858000000002</v>
      </c>
      <c r="AG220" s="60">
        <v>0</v>
      </c>
      <c r="AH220" s="62">
        <f>Valores!$B$10*E220/30</f>
        <v>98</v>
      </c>
      <c r="AI220" s="62">
        <f>Valores!$C$25*'Escala Docente'!E220</f>
        <v>0</v>
      </c>
      <c r="AJ220" s="60">
        <v>0</v>
      </c>
      <c r="AK220" s="67">
        <f t="shared" si="32"/>
        <v>98</v>
      </c>
      <c r="AL220" s="62">
        <f t="shared" si="34"/>
        <v>1187.9489950000002</v>
      </c>
      <c r="AM220" s="68">
        <f>(7.33*E220)+0.01</f>
        <v>29.330000000000002</v>
      </c>
      <c r="AN220" s="69"/>
      <c r="AO220" s="69"/>
      <c r="AP220" s="20" t="s">
        <v>487</v>
      </c>
    </row>
    <row r="221" spans="2:42" s="20" customFormat="1" ht="11.25" customHeight="1" thickTop="1">
      <c r="B221" s="20">
        <v>221</v>
      </c>
      <c r="C221" s="20" t="s">
        <v>478</v>
      </c>
      <c r="D221" s="20" t="s">
        <v>356</v>
      </c>
      <c r="E221" s="20">
        <v>5</v>
      </c>
      <c r="F221" s="21" t="str">
        <f t="shared" si="36"/>
        <v>Hora Cátedra Enseñanza Media 5 hs</v>
      </c>
      <c r="G221" s="28">
        <f t="shared" si="37"/>
        <v>395</v>
      </c>
      <c r="H221" s="15">
        <f>G221*Valores!$B$2</f>
        <v>916.7950000000001</v>
      </c>
      <c r="I221" s="24">
        <v>0</v>
      </c>
      <c r="J221" s="15">
        <f>I221*Valores!$B$2</f>
        <v>0</v>
      </c>
      <c r="K221" s="27">
        <v>0</v>
      </c>
      <c r="L221" s="15">
        <f>K221*Valores!$B$2</f>
        <v>0</v>
      </c>
      <c r="M221" s="27">
        <v>0</v>
      </c>
      <c r="N221" s="15">
        <f>M221*Valores!$B$2</f>
        <v>0</v>
      </c>
      <c r="O221" s="15">
        <f t="shared" si="33"/>
        <v>150.26925</v>
      </c>
      <c r="P221" s="15">
        <f t="shared" si="28"/>
        <v>0</v>
      </c>
      <c r="Q221" s="17">
        <f>Valores!$B$7*E221</f>
        <v>212.5</v>
      </c>
      <c r="R221" s="17">
        <f>IF(E221&lt;15,(Valores!$C$6/15*E221),Valores!$C$6)</f>
        <v>346.0613333333333</v>
      </c>
      <c r="S221" s="15">
        <v>0</v>
      </c>
      <c r="T221" s="17">
        <f>Valores!$B$8*E221</f>
        <v>85</v>
      </c>
      <c r="U221" s="15">
        <f t="shared" si="31"/>
        <v>85</v>
      </c>
      <c r="V221" s="15">
        <v>0</v>
      </c>
      <c r="W221" s="15">
        <v>0</v>
      </c>
      <c r="X221" s="24">
        <v>0</v>
      </c>
      <c r="Y221" s="15">
        <f>X221*Valores!$B$2</f>
        <v>0</v>
      </c>
      <c r="Z221" s="15">
        <v>0</v>
      </c>
      <c r="AA221" s="39">
        <f t="shared" si="39"/>
        <v>25.85</v>
      </c>
      <c r="AB221" s="15">
        <f t="shared" si="29"/>
        <v>0</v>
      </c>
      <c r="AC221" s="15">
        <f t="shared" si="38"/>
        <v>21.506666666666664</v>
      </c>
      <c r="AD221" s="16">
        <v>0</v>
      </c>
      <c r="AE221" s="15">
        <f>AD221*Valores!$B$2</f>
        <v>0</v>
      </c>
      <c r="AF221" s="31">
        <f t="shared" si="30"/>
        <v>1757.98225</v>
      </c>
      <c r="AG221" s="15">
        <v>0</v>
      </c>
      <c r="AH221" s="17">
        <f>Valores!$B$10*E221/30</f>
        <v>122.5</v>
      </c>
      <c r="AI221" s="17">
        <f>Valores!$C$25*'Escala Docente'!E221</f>
        <v>0</v>
      </c>
      <c r="AJ221" s="15">
        <v>0</v>
      </c>
      <c r="AK221" s="25">
        <f t="shared" si="32"/>
        <v>122.5</v>
      </c>
      <c r="AL221" s="17">
        <f t="shared" si="34"/>
        <v>1484.9362437500001</v>
      </c>
      <c r="AM221" s="43">
        <f>(7.33*E221)+0.02</f>
        <v>36.67</v>
      </c>
      <c r="AN221" s="56"/>
      <c r="AO221" s="56"/>
      <c r="AP221" s="20" t="s">
        <v>487</v>
      </c>
    </row>
    <row r="222" spans="2:42" s="20" customFormat="1" ht="11.25" customHeight="1">
      <c r="B222" s="20">
        <v>222</v>
      </c>
      <c r="D222" s="20" t="s">
        <v>356</v>
      </c>
      <c r="E222" s="20">
        <v>6</v>
      </c>
      <c r="F222" s="21" t="str">
        <f t="shared" si="36"/>
        <v>Hora Cátedra Enseñanza Media 6 hs</v>
      </c>
      <c r="G222" s="28">
        <f t="shared" si="37"/>
        <v>474</v>
      </c>
      <c r="H222" s="15">
        <f>G222*Valores!$B$2</f>
        <v>1100.154</v>
      </c>
      <c r="I222" s="24">
        <v>0</v>
      </c>
      <c r="J222" s="15">
        <f>I222*Valores!$B$2</f>
        <v>0</v>
      </c>
      <c r="K222" s="27">
        <v>0</v>
      </c>
      <c r="L222" s="15">
        <f>K222*Valores!$B$2</f>
        <v>0</v>
      </c>
      <c r="M222" s="27">
        <v>0</v>
      </c>
      <c r="N222" s="15">
        <f>M222*Valores!$B$2</f>
        <v>0</v>
      </c>
      <c r="O222" s="15">
        <f t="shared" si="33"/>
        <v>180.32309999999998</v>
      </c>
      <c r="P222" s="15">
        <f t="shared" si="28"/>
        <v>0</v>
      </c>
      <c r="Q222" s="17">
        <f>Valores!$B$7*E222</f>
        <v>255</v>
      </c>
      <c r="R222" s="17">
        <f>IF(E222&lt;15,(Valores!$C$6/15*E222),Valores!$C$6)</f>
        <v>415.2736</v>
      </c>
      <c r="S222" s="15">
        <v>0</v>
      </c>
      <c r="T222" s="17">
        <f>Valores!$B$8*E222</f>
        <v>102</v>
      </c>
      <c r="U222" s="15">
        <f t="shared" si="31"/>
        <v>102</v>
      </c>
      <c r="V222" s="15">
        <v>0</v>
      </c>
      <c r="W222" s="15">
        <v>0</v>
      </c>
      <c r="X222" s="24">
        <v>0</v>
      </c>
      <c r="Y222" s="15">
        <f>X222*Valores!$B$2</f>
        <v>0</v>
      </c>
      <c r="Z222" s="15">
        <v>0</v>
      </c>
      <c r="AA222" s="39">
        <f t="shared" si="39"/>
        <v>31.02</v>
      </c>
      <c r="AB222" s="15">
        <f t="shared" si="29"/>
        <v>0</v>
      </c>
      <c r="AC222" s="15">
        <f t="shared" si="38"/>
        <v>25.808</v>
      </c>
      <c r="AD222" s="16">
        <v>0</v>
      </c>
      <c r="AE222" s="15">
        <f>AD222*Valores!$B$2</f>
        <v>0</v>
      </c>
      <c r="AF222" s="31">
        <f t="shared" si="30"/>
        <v>2109.5787</v>
      </c>
      <c r="AG222" s="15">
        <v>0</v>
      </c>
      <c r="AH222" s="17">
        <f>Valores!$B$10*E222/30</f>
        <v>147</v>
      </c>
      <c r="AI222" s="17">
        <f>Valores!$C$25*'Escala Docente'!E222</f>
        <v>0</v>
      </c>
      <c r="AJ222" s="15">
        <v>0</v>
      </c>
      <c r="AK222" s="25">
        <f t="shared" si="32"/>
        <v>147</v>
      </c>
      <c r="AL222" s="17">
        <f t="shared" si="34"/>
        <v>1781.9234925</v>
      </c>
      <c r="AM222" s="43">
        <f>(7.33*E222)+0.02</f>
        <v>44.00000000000001</v>
      </c>
      <c r="AN222" s="56"/>
      <c r="AO222" s="56"/>
      <c r="AP222" s="20" t="s">
        <v>487</v>
      </c>
    </row>
    <row r="223" spans="2:42" s="20" customFormat="1" ht="11.25" customHeight="1">
      <c r="B223" s="20">
        <v>223</v>
      </c>
      <c r="D223" s="20" t="s">
        <v>356</v>
      </c>
      <c r="E223" s="20">
        <v>7</v>
      </c>
      <c r="F223" s="21" t="str">
        <f t="shared" si="36"/>
        <v>Hora Cátedra Enseñanza Media 7 hs</v>
      </c>
      <c r="G223" s="28">
        <f t="shared" si="37"/>
        <v>553</v>
      </c>
      <c r="H223" s="15">
        <f>G223*Valores!$B$2</f>
        <v>1283.5130000000001</v>
      </c>
      <c r="I223" s="24">
        <v>0</v>
      </c>
      <c r="J223" s="15">
        <f>I223*Valores!$B$2</f>
        <v>0</v>
      </c>
      <c r="K223" s="27">
        <v>0</v>
      </c>
      <c r="L223" s="15">
        <f>K223*Valores!$B$2</f>
        <v>0</v>
      </c>
      <c r="M223" s="27">
        <v>0</v>
      </c>
      <c r="N223" s="15">
        <f>M223*Valores!$B$2</f>
        <v>0</v>
      </c>
      <c r="O223" s="15">
        <f t="shared" si="33"/>
        <v>210.37695000000002</v>
      </c>
      <c r="P223" s="15">
        <f t="shared" si="28"/>
        <v>0</v>
      </c>
      <c r="Q223" s="17">
        <f>Valores!$B$7*E223</f>
        <v>297.5</v>
      </c>
      <c r="R223" s="17">
        <f>IF(E223&lt;15,(Valores!$C$6/15*E223),Valores!$C$6)</f>
        <v>484.48586666666665</v>
      </c>
      <c r="S223" s="15">
        <v>0</v>
      </c>
      <c r="T223" s="17">
        <f>Valores!$B$8*E223</f>
        <v>119</v>
      </c>
      <c r="U223" s="15">
        <f t="shared" si="31"/>
        <v>119</v>
      </c>
      <c r="V223" s="15">
        <v>0</v>
      </c>
      <c r="W223" s="15">
        <v>0</v>
      </c>
      <c r="X223" s="24">
        <v>0</v>
      </c>
      <c r="Y223" s="15">
        <f>X223*Valores!$B$2</f>
        <v>0</v>
      </c>
      <c r="Z223" s="15">
        <v>0</v>
      </c>
      <c r="AA223" s="39">
        <f t="shared" si="39"/>
        <v>36.19</v>
      </c>
      <c r="AB223" s="15">
        <f t="shared" si="29"/>
        <v>0</v>
      </c>
      <c r="AC223" s="15">
        <f t="shared" si="38"/>
        <v>30.109333333333332</v>
      </c>
      <c r="AD223" s="16">
        <v>0</v>
      </c>
      <c r="AE223" s="15">
        <f>AD223*Valores!$B$2</f>
        <v>0</v>
      </c>
      <c r="AF223" s="31">
        <f t="shared" si="30"/>
        <v>2461.17515</v>
      </c>
      <c r="AG223" s="15">
        <v>0</v>
      </c>
      <c r="AH223" s="17">
        <f>Valores!$B$10*E223/30</f>
        <v>171.5</v>
      </c>
      <c r="AI223" s="17">
        <f>Valores!$C$25*'Escala Docente'!E223</f>
        <v>0</v>
      </c>
      <c r="AJ223" s="15">
        <v>0</v>
      </c>
      <c r="AK223" s="25">
        <f t="shared" si="32"/>
        <v>171.5</v>
      </c>
      <c r="AL223" s="17">
        <f t="shared" si="34"/>
        <v>2078.91074125</v>
      </c>
      <c r="AM223" s="43">
        <f>(7.33*E223)+0.02</f>
        <v>51.330000000000005</v>
      </c>
      <c r="AN223" s="56"/>
      <c r="AO223" s="56"/>
      <c r="AP223" s="20" t="s">
        <v>487</v>
      </c>
    </row>
    <row r="224" spans="2:42" s="20" customFormat="1" ht="11.25" customHeight="1">
      <c r="B224" s="20">
        <v>224</v>
      </c>
      <c r="D224" s="20" t="s">
        <v>356</v>
      </c>
      <c r="E224" s="20">
        <v>8</v>
      </c>
      <c r="F224" s="21" t="str">
        <f t="shared" si="36"/>
        <v>Hora Cátedra Enseñanza Media 8 hs</v>
      </c>
      <c r="G224" s="28">
        <f t="shared" si="37"/>
        <v>632</v>
      </c>
      <c r="H224" s="15">
        <f>G224*Valores!$B$2</f>
        <v>1466.872</v>
      </c>
      <c r="I224" s="24">
        <v>0</v>
      </c>
      <c r="J224" s="15">
        <f>I224*Valores!$B$2</f>
        <v>0</v>
      </c>
      <c r="K224" s="27">
        <v>0</v>
      </c>
      <c r="L224" s="15">
        <f>K224*Valores!$B$2</f>
        <v>0</v>
      </c>
      <c r="M224" s="27">
        <v>0</v>
      </c>
      <c r="N224" s="15">
        <f>M224*Valores!$B$2</f>
        <v>0</v>
      </c>
      <c r="O224" s="15">
        <f t="shared" si="33"/>
        <v>240.4308</v>
      </c>
      <c r="P224" s="15">
        <f t="shared" si="28"/>
        <v>0</v>
      </c>
      <c r="Q224" s="17">
        <f>Valores!$B$7*E224</f>
        <v>340</v>
      </c>
      <c r="R224" s="17">
        <f>IF(E224&lt;15,(Valores!$C$6/15*E224),Valores!$C$6)</f>
        <v>553.6981333333333</v>
      </c>
      <c r="S224" s="15">
        <v>0</v>
      </c>
      <c r="T224" s="17">
        <f>Valores!$B$8*E224</f>
        <v>136</v>
      </c>
      <c r="U224" s="15">
        <f t="shared" si="31"/>
        <v>136</v>
      </c>
      <c r="V224" s="15">
        <v>0</v>
      </c>
      <c r="W224" s="15">
        <v>0</v>
      </c>
      <c r="X224" s="24">
        <v>0</v>
      </c>
      <c r="Y224" s="15">
        <f>X224*Valores!$B$2</f>
        <v>0</v>
      </c>
      <c r="Z224" s="15">
        <v>0</v>
      </c>
      <c r="AA224" s="39">
        <f t="shared" si="39"/>
        <v>41.36</v>
      </c>
      <c r="AB224" s="15">
        <f t="shared" si="29"/>
        <v>0</v>
      </c>
      <c r="AC224" s="15">
        <f t="shared" si="38"/>
        <v>34.410666666666664</v>
      </c>
      <c r="AD224" s="16">
        <v>0</v>
      </c>
      <c r="AE224" s="15">
        <f>AD224*Valores!$B$2</f>
        <v>0</v>
      </c>
      <c r="AF224" s="31">
        <f t="shared" si="30"/>
        <v>2812.7716000000005</v>
      </c>
      <c r="AG224" s="15">
        <v>0</v>
      </c>
      <c r="AH224" s="17">
        <f>Valores!$B$10*E224/30</f>
        <v>196</v>
      </c>
      <c r="AI224" s="17">
        <f>Valores!$C$25*'Escala Docente'!E224</f>
        <v>0</v>
      </c>
      <c r="AJ224" s="15">
        <v>0</v>
      </c>
      <c r="AK224" s="25">
        <f t="shared" si="32"/>
        <v>196</v>
      </c>
      <c r="AL224" s="17">
        <f t="shared" si="34"/>
        <v>2375.8979900000004</v>
      </c>
      <c r="AM224" s="43">
        <f>(7.33*E224)+0.03</f>
        <v>58.67</v>
      </c>
      <c r="AN224" s="56"/>
      <c r="AO224" s="56"/>
      <c r="AP224" s="20" t="s">
        <v>487</v>
      </c>
    </row>
    <row r="225" spans="2:42" s="20" customFormat="1" ht="11.25" customHeight="1" thickBot="1">
      <c r="B225" s="20">
        <v>225</v>
      </c>
      <c r="D225" s="57" t="s">
        <v>356</v>
      </c>
      <c r="E225" s="57">
        <v>9</v>
      </c>
      <c r="F225" s="58" t="str">
        <f t="shared" si="36"/>
        <v>Hora Cátedra Enseñanza Media 9 hs</v>
      </c>
      <c r="G225" s="59">
        <f t="shared" si="37"/>
        <v>711</v>
      </c>
      <c r="H225" s="60">
        <f>G225*Valores!$B$2</f>
        <v>1650.2310000000002</v>
      </c>
      <c r="I225" s="63">
        <v>0</v>
      </c>
      <c r="J225" s="60">
        <f>I225*Valores!$B$2</f>
        <v>0</v>
      </c>
      <c r="K225" s="70">
        <v>0</v>
      </c>
      <c r="L225" s="60">
        <f>K225*Valores!$B$2</f>
        <v>0</v>
      </c>
      <c r="M225" s="70">
        <v>0</v>
      </c>
      <c r="N225" s="60">
        <f>M225*Valores!$B$2</f>
        <v>0</v>
      </c>
      <c r="O225" s="60">
        <f t="shared" si="33"/>
        <v>270.48465000000004</v>
      </c>
      <c r="P225" s="60">
        <f t="shared" si="28"/>
        <v>0</v>
      </c>
      <c r="Q225" s="62">
        <f>Valores!$B$7*E225</f>
        <v>382.5</v>
      </c>
      <c r="R225" s="62">
        <f>IF(E225&lt;15,(Valores!$C$6/15*E225),Valores!$C$6)</f>
        <v>622.9104</v>
      </c>
      <c r="S225" s="60">
        <v>0</v>
      </c>
      <c r="T225" s="62">
        <f>Valores!$B$8*E225</f>
        <v>153</v>
      </c>
      <c r="U225" s="60">
        <f t="shared" si="31"/>
        <v>153</v>
      </c>
      <c r="V225" s="60">
        <v>0</v>
      </c>
      <c r="W225" s="60">
        <v>0</v>
      </c>
      <c r="X225" s="63">
        <v>0</v>
      </c>
      <c r="Y225" s="60">
        <f>X225*Valores!$B$2</f>
        <v>0</v>
      </c>
      <c r="Z225" s="60">
        <v>0</v>
      </c>
      <c r="AA225" s="64">
        <f t="shared" si="39"/>
        <v>46.53</v>
      </c>
      <c r="AB225" s="60">
        <f t="shared" si="29"/>
        <v>0</v>
      </c>
      <c r="AC225" s="60">
        <f t="shared" si="38"/>
        <v>38.711999999999996</v>
      </c>
      <c r="AD225" s="65">
        <v>0</v>
      </c>
      <c r="AE225" s="60">
        <f>AD225*Valores!$B$2</f>
        <v>0</v>
      </c>
      <c r="AF225" s="66">
        <f t="shared" si="30"/>
        <v>3164.36805</v>
      </c>
      <c r="AG225" s="60">
        <v>0</v>
      </c>
      <c r="AH225" s="62">
        <f>Valores!$B$10*E225/30</f>
        <v>220.5</v>
      </c>
      <c r="AI225" s="62">
        <f>Valores!$C$25*'Escala Docente'!E225</f>
        <v>0</v>
      </c>
      <c r="AJ225" s="60">
        <v>0</v>
      </c>
      <c r="AK225" s="67">
        <f t="shared" si="32"/>
        <v>220.5</v>
      </c>
      <c r="AL225" s="62">
        <f t="shared" si="34"/>
        <v>2672.88523875</v>
      </c>
      <c r="AM225" s="68">
        <f>(7.33*E225)+0.03</f>
        <v>66</v>
      </c>
      <c r="AN225" s="69"/>
      <c r="AO225" s="69"/>
      <c r="AP225" s="20" t="s">
        <v>487</v>
      </c>
    </row>
    <row r="226" spans="2:42" s="20" customFormat="1" ht="11.25" customHeight="1" thickTop="1">
      <c r="B226" s="20">
        <v>226</v>
      </c>
      <c r="C226" s="20" t="s">
        <v>478</v>
      </c>
      <c r="D226" s="20" t="s">
        <v>356</v>
      </c>
      <c r="E226" s="20">
        <v>10</v>
      </c>
      <c r="F226" s="21" t="str">
        <f t="shared" si="36"/>
        <v>Hora Cátedra Enseñanza Media 10 hs</v>
      </c>
      <c r="G226" s="28">
        <f t="shared" si="37"/>
        <v>790</v>
      </c>
      <c r="H226" s="15">
        <f>G226*Valores!$B$2</f>
        <v>1833.5900000000001</v>
      </c>
      <c r="I226" s="24">
        <v>0</v>
      </c>
      <c r="J226" s="15">
        <f>I226*Valores!$B$2</f>
        <v>0</v>
      </c>
      <c r="K226" s="27">
        <v>0</v>
      </c>
      <c r="L226" s="15">
        <f>K226*Valores!$B$2</f>
        <v>0</v>
      </c>
      <c r="M226" s="27">
        <v>0</v>
      </c>
      <c r="N226" s="15">
        <f>M226*Valores!$B$2</f>
        <v>0</v>
      </c>
      <c r="O226" s="15">
        <f t="shared" si="33"/>
        <v>300.5385</v>
      </c>
      <c r="P226" s="15">
        <f t="shared" si="28"/>
        <v>0</v>
      </c>
      <c r="Q226" s="17">
        <f>Valores!$B$7*E226</f>
        <v>425</v>
      </c>
      <c r="R226" s="17">
        <f>IF(E226&lt;15,(Valores!$C$6/15*E226),Valores!$C$6)</f>
        <v>692.1226666666666</v>
      </c>
      <c r="S226" s="15">
        <v>0</v>
      </c>
      <c r="T226" s="17">
        <f>Valores!$B$8*E226</f>
        <v>170</v>
      </c>
      <c r="U226" s="15">
        <f t="shared" si="31"/>
        <v>170</v>
      </c>
      <c r="V226" s="15">
        <v>0</v>
      </c>
      <c r="W226" s="15">
        <v>0</v>
      </c>
      <c r="X226" s="24">
        <v>0</v>
      </c>
      <c r="Y226" s="15">
        <f>X226*Valores!$B$2</f>
        <v>0</v>
      </c>
      <c r="Z226" s="15">
        <v>0</v>
      </c>
      <c r="AA226" s="39">
        <f t="shared" si="39"/>
        <v>51.7</v>
      </c>
      <c r="AB226" s="15">
        <f t="shared" si="29"/>
        <v>0</v>
      </c>
      <c r="AC226" s="15">
        <f t="shared" si="38"/>
        <v>43.01333333333333</v>
      </c>
      <c r="AD226" s="16">
        <v>0</v>
      </c>
      <c r="AE226" s="15">
        <f>AD226*Valores!$B$2</f>
        <v>0</v>
      </c>
      <c r="AF226" s="31">
        <f t="shared" si="30"/>
        <v>3515.9645</v>
      </c>
      <c r="AG226" s="15">
        <v>0</v>
      </c>
      <c r="AH226" s="17">
        <f>Valores!$B$10*E226/30</f>
        <v>245</v>
      </c>
      <c r="AI226" s="17">
        <f>Valores!$C$25*'Escala Docente'!E226</f>
        <v>0</v>
      </c>
      <c r="AJ226" s="15">
        <v>0</v>
      </c>
      <c r="AK226" s="25">
        <f t="shared" si="32"/>
        <v>245</v>
      </c>
      <c r="AL226" s="17">
        <f t="shared" si="34"/>
        <v>2969.8724875000003</v>
      </c>
      <c r="AM226" s="43">
        <f>(7.33*E226)+0.03</f>
        <v>73.33</v>
      </c>
      <c r="AN226" s="56"/>
      <c r="AO226" s="56"/>
      <c r="AP226" s="20" t="s">
        <v>487</v>
      </c>
    </row>
    <row r="227" spans="2:42" s="20" customFormat="1" ht="11.25" customHeight="1">
      <c r="B227" s="20">
        <v>227</v>
      </c>
      <c r="D227" s="20" t="s">
        <v>356</v>
      </c>
      <c r="E227" s="20">
        <v>11</v>
      </c>
      <c r="F227" s="21" t="str">
        <f t="shared" si="36"/>
        <v>Hora Cátedra Enseñanza Media 11 hs</v>
      </c>
      <c r="G227" s="28">
        <f t="shared" si="37"/>
        <v>869</v>
      </c>
      <c r="H227" s="15">
        <f>G227*Valores!$B$2</f>
        <v>2016.949</v>
      </c>
      <c r="I227" s="24">
        <v>0</v>
      </c>
      <c r="J227" s="15">
        <f>I227*Valores!$B$2</f>
        <v>0</v>
      </c>
      <c r="K227" s="27">
        <v>0</v>
      </c>
      <c r="L227" s="15">
        <f>K227*Valores!$B$2</f>
        <v>0</v>
      </c>
      <c r="M227" s="27">
        <v>0</v>
      </c>
      <c r="N227" s="15">
        <f>M227*Valores!$B$2</f>
        <v>0</v>
      </c>
      <c r="O227" s="15">
        <f t="shared" si="33"/>
        <v>330.59235</v>
      </c>
      <c r="P227" s="15">
        <f t="shared" si="28"/>
        <v>0</v>
      </c>
      <c r="Q227" s="17">
        <f>Valores!$B$7*E227</f>
        <v>467.5</v>
      </c>
      <c r="R227" s="17">
        <f>IF(E227&lt;15,(Valores!$C$6/15*E227),Valores!$C$6)</f>
        <v>761.3349333333333</v>
      </c>
      <c r="S227" s="15">
        <v>0</v>
      </c>
      <c r="T227" s="17">
        <f>Valores!$B$8*E227</f>
        <v>187</v>
      </c>
      <c r="U227" s="15">
        <f t="shared" si="31"/>
        <v>187</v>
      </c>
      <c r="V227" s="15">
        <v>0</v>
      </c>
      <c r="W227" s="15">
        <v>0</v>
      </c>
      <c r="X227" s="24">
        <v>0</v>
      </c>
      <c r="Y227" s="15">
        <f>X227*Valores!$B$2</f>
        <v>0</v>
      </c>
      <c r="Z227" s="15">
        <v>0</v>
      </c>
      <c r="AA227" s="39">
        <f t="shared" si="39"/>
        <v>56.87</v>
      </c>
      <c r="AB227" s="15">
        <f t="shared" si="29"/>
        <v>0</v>
      </c>
      <c r="AC227" s="15">
        <f t="shared" si="38"/>
        <v>47.31466666666666</v>
      </c>
      <c r="AD227" s="16">
        <v>0</v>
      </c>
      <c r="AE227" s="15">
        <f>AD227*Valores!$B$2</f>
        <v>0</v>
      </c>
      <c r="AF227" s="31">
        <f t="shared" si="30"/>
        <v>3867.5609499999996</v>
      </c>
      <c r="AG227" s="15">
        <v>0</v>
      </c>
      <c r="AH227" s="17">
        <f>Valores!$B$10*E227/30</f>
        <v>269.5</v>
      </c>
      <c r="AI227" s="17">
        <f>Valores!$C$25*'Escala Docente'!E227</f>
        <v>0</v>
      </c>
      <c r="AJ227" s="15">
        <v>0</v>
      </c>
      <c r="AK227" s="25">
        <f t="shared" si="32"/>
        <v>269.5</v>
      </c>
      <c r="AL227" s="17">
        <f t="shared" si="34"/>
        <v>3266.85973625</v>
      </c>
      <c r="AM227" s="43">
        <f>(7.33*E227)+0.04</f>
        <v>80.67</v>
      </c>
      <c r="AN227" s="56"/>
      <c r="AO227" s="56"/>
      <c r="AP227" s="20" t="s">
        <v>487</v>
      </c>
    </row>
    <row r="228" spans="2:42" s="20" customFormat="1" ht="11.25" customHeight="1">
      <c r="B228" s="20">
        <v>228</v>
      </c>
      <c r="D228" s="20" t="s">
        <v>356</v>
      </c>
      <c r="E228" s="20">
        <v>12</v>
      </c>
      <c r="F228" s="21" t="str">
        <f t="shared" si="36"/>
        <v>Hora Cátedra Enseñanza Media 12 hs</v>
      </c>
      <c r="G228" s="28">
        <f t="shared" si="37"/>
        <v>948</v>
      </c>
      <c r="H228" s="15">
        <f>G228*Valores!$B$2</f>
        <v>2200.308</v>
      </c>
      <c r="I228" s="24">
        <v>0</v>
      </c>
      <c r="J228" s="15">
        <f>I228*Valores!$B$2</f>
        <v>0</v>
      </c>
      <c r="K228" s="27">
        <v>0</v>
      </c>
      <c r="L228" s="15">
        <f>K228*Valores!$B$2</f>
        <v>0</v>
      </c>
      <c r="M228" s="27">
        <v>0</v>
      </c>
      <c r="N228" s="15">
        <f>M228*Valores!$B$2</f>
        <v>0</v>
      </c>
      <c r="O228" s="15">
        <f t="shared" si="33"/>
        <v>360.64619999999996</v>
      </c>
      <c r="P228" s="15">
        <f t="shared" si="28"/>
        <v>0</v>
      </c>
      <c r="Q228" s="17">
        <f>Valores!$B$7*E228</f>
        <v>510</v>
      </c>
      <c r="R228" s="17">
        <f>IF(E228&lt;15,(Valores!$C$6/15*E228),Valores!$C$6)</f>
        <v>830.5472</v>
      </c>
      <c r="S228" s="15">
        <v>0</v>
      </c>
      <c r="T228" s="17">
        <f>Valores!$B$8*E228</f>
        <v>204</v>
      </c>
      <c r="U228" s="15">
        <f t="shared" si="31"/>
        <v>204</v>
      </c>
      <c r="V228" s="15">
        <v>0</v>
      </c>
      <c r="W228" s="15">
        <v>0</v>
      </c>
      <c r="X228" s="24">
        <v>0</v>
      </c>
      <c r="Y228" s="15">
        <f>X228*Valores!$B$2</f>
        <v>0</v>
      </c>
      <c r="Z228" s="15">
        <v>0</v>
      </c>
      <c r="AA228" s="39">
        <f t="shared" si="39"/>
        <v>62.04</v>
      </c>
      <c r="AB228" s="15">
        <f t="shared" si="29"/>
        <v>0</v>
      </c>
      <c r="AC228" s="15">
        <f t="shared" si="38"/>
        <v>51.616</v>
      </c>
      <c r="AD228" s="16">
        <v>0</v>
      </c>
      <c r="AE228" s="15">
        <f>AD228*Valores!$B$2</f>
        <v>0</v>
      </c>
      <c r="AF228" s="31">
        <f t="shared" si="30"/>
        <v>4219.1574</v>
      </c>
      <c r="AG228" s="15">
        <v>0</v>
      </c>
      <c r="AH228" s="17">
        <f>Valores!$B$10*E228/30</f>
        <v>294</v>
      </c>
      <c r="AI228" s="17">
        <f>Valores!$C$25*'Escala Docente'!E228</f>
        <v>0</v>
      </c>
      <c r="AJ228" s="15">
        <v>0</v>
      </c>
      <c r="AK228" s="25">
        <f t="shared" si="32"/>
        <v>294</v>
      </c>
      <c r="AL228" s="17">
        <f t="shared" si="34"/>
        <v>3563.846985</v>
      </c>
      <c r="AM228" s="43">
        <f>(7.33*E228)+0.04</f>
        <v>88.00000000000001</v>
      </c>
      <c r="AN228" s="56"/>
      <c r="AO228" s="56"/>
      <c r="AP228" s="20" t="s">
        <v>487</v>
      </c>
    </row>
    <row r="229" spans="2:42" s="20" customFormat="1" ht="11.25" customHeight="1">
      <c r="B229" s="20">
        <v>229</v>
      </c>
      <c r="D229" s="20" t="s">
        <v>356</v>
      </c>
      <c r="E229" s="20">
        <v>13</v>
      </c>
      <c r="F229" s="21" t="str">
        <f t="shared" si="36"/>
        <v>Hora Cátedra Enseñanza Media 13 hs</v>
      </c>
      <c r="G229" s="28">
        <f t="shared" si="37"/>
        <v>1027</v>
      </c>
      <c r="H229" s="15">
        <f>G229*Valores!$B$2</f>
        <v>2383.6670000000004</v>
      </c>
      <c r="I229" s="24">
        <v>0</v>
      </c>
      <c r="J229" s="15">
        <f>I229*Valores!$B$2</f>
        <v>0</v>
      </c>
      <c r="K229" s="27">
        <v>0</v>
      </c>
      <c r="L229" s="15">
        <f>K229*Valores!$B$2</f>
        <v>0</v>
      </c>
      <c r="M229" s="27">
        <v>0</v>
      </c>
      <c r="N229" s="15">
        <f>M229*Valores!$B$2</f>
        <v>0</v>
      </c>
      <c r="O229" s="15">
        <f t="shared" si="33"/>
        <v>390.70005000000003</v>
      </c>
      <c r="P229" s="15">
        <f t="shared" si="28"/>
        <v>0</v>
      </c>
      <c r="Q229" s="17">
        <f>Valores!$B$7*E229</f>
        <v>552.5</v>
      </c>
      <c r="R229" s="17">
        <f>IF(E229&lt;15,(Valores!$C$6/15*E229),Valores!$C$6)</f>
        <v>899.7594666666666</v>
      </c>
      <c r="S229" s="15">
        <v>0</v>
      </c>
      <c r="T229" s="17">
        <f>Valores!$B$8*E229</f>
        <v>221</v>
      </c>
      <c r="U229" s="15">
        <f t="shared" si="31"/>
        <v>221</v>
      </c>
      <c r="V229" s="15">
        <v>0</v>
      </c>
      <c r="W229" s="15">
        <v>0</v>
      </c>
      <c r="X229" s="24">
        <v>0</v>
      </c>
      <c r="Y229" s="15">
        <f>X229*Valores!$B$2</f>
        <v>0</v>
      </c>
      <c r="Z229" s="15">
        <v>0</v>
      </c>
      <c r="AA229" s="39">
        <f t="shared" si="39"/>
        <v>67.21</v>
      </c>
      <c r="AB229" s="15">
        <f t="shared" si="29"/>
        <v>0</v>
      </c>
      <c r="AC229" s="15">
        <f t="shared" si="38"/>
        <v>55.91733333333333</v>
      </c>
      <c r="AD229" s="16">
        <v>0</v>
      </c>
      <c r="AE229" s="15">
        <f>AD229*Valores!$B$2</f>
        <v>0</v>
      </c>
      <c r="AF229" s="31">
        <f t="shared" si="30"/>
        <v>4570.753850000001</v>
      </c>
      <c r="AG229" s="15">
        <v>0</v>
      </c>
      <c r="AH229" s="17">
        <f>Valores!$B$10*E229/30</f>
        <v>318.5</v>
      </c>
      <c r="AI229" s="17">
        <f>Valores!$C$25*'Escala Docente'!E229</f>
        <v>0</v>
      </c>
      <c r="AJ229" s="15">
        <v>0</v>
      </c>
      <c r="AK229" s="25">
        <f t="shared" si="32"/>
        <v>318.5</v>
      </c>
      <c r="AL229" s="17">
        <f t="shared" si="34"/>
        <v>3860.8342337500007</v>
      </c>
      <c r="AM229" s="43">
        <f>(7.33*E229)+0.04</f>
        <v>95.33000000000001</v>
      </c>
      <c r="AN229" s="56"/>
      <c r="AO229" s="56"/>
      <c r="AP229" s="20" t="s">
        <v>487</v>
      </c>
    </row>
    <row r="230" spans="2:42" s="20" customFormat="1" ht="11.25" customHeight="1" thickBot="1">
      <c r="B230" s="20">
        <v>230</v>
      </c>
      <c r="D230" s="57" t="s">
        <v>356</v>
      </c>
      <c r="E230" s="57">
        <v>14</v>
      </c>
      <c r="F230" s="58" t="str">
        <f t="shared" si="36"/>
        <v>Hora Cátedra Enseñanza Media 14 hs</v>
      </c>
      <c r="G230" s="59">
        <f t="shared" si="37"/>
        <v>1106</v>
      </c>
      <c r="H230" s="60">
        <f>G230*Valores!$B$2</f>
        <v>2567.0260000000003</v>
      </c>
      <c r="I230" s="63">
        <v>0</v>
      </c>
      <c r="J230" s="60">
        <f>I230*Valores!$B$2</f>
        <v>0</v>
      </c>
      <c r="K230" s="70">
        <v>0</v>
      </c>
      <c r="L230" s="60">
        <f>K230*Valores!$B$2</f>
        <v>0</v>
      </c>
      <c r="M230" s="70">
        <v>0</v>
      </c>
      <c r="N230" s="60">
        <f>M230*Valores!$B$2</f>
        <v>0</v>
      </c>
      <c r="O230" s="60">
        <f t="shared" si="33"/>
        <v>420.75390000000004</v>
      </c>
      <c r="P230" s="60">
        <f t="shared" si="28"/>
        <v>0</v>
      </c>
      <c r="Q230" s="62">
        <f>Valores!$B$7*E230</f>
        <v>595</v>
      </c>
      <c r="R230" s="62">
        <f>IF(E230&lt;15,(Valores!$C$6/15*E230),Valores!$C$6)</f>
        <v>968.9717333333333</v>
      </c>
      <c r="S230" s="60">
        <v>0</v>
      </c>
      <c r="T230" s="62">
        <f>Valores!$B$8*E230</f>
        <v>238</v>
      </c>
      <c r="U230" s="60">
        <f t="shared" si="31"/>
        <v>238</v>
      </c>
      <c r="V230" s="60">
        <v>0</v>
      </c>
      <c r="W230" s="60">
        <v>0</v>
      </c>
      <c r="X230" s="63">
        <v>0</v>
      </c>
      <c r="Y230" s="60">
        <f>X230*Valores!$B$2</f>
        <v>0</v>
      </c>
      <c r="Z230" s="60">
        <v>0</v>
      </c>
      <c r="AA230" s="64">
        <f t="shared" si="39"/>
        <v>72.38</v>
      </c>
      <c r="AB230" s="60">
        <f t="shared" si="29"/>
        <v>0</v>
      </c>
      <c r="AC230" s="60">
        <f t="shared" si="38"/>
        <v>60.218666666666664</v>
      </c>
      <c r="AD230" s="65">
        <v>0</v>
      </c>
      <c r="AE230" s="60">
        <f>AD230*Valores!$B$2</f>
        <v>0</v>
      </c>
      <c r="AF230" s="66">
        <f t="shared" si="30"/>
        <v>4922.3503</v>
      </c>
      <c r="AG230" s="60">
        <v>0</v>
      </c>
      <c r="AH230" s="62">
        <f>Valores!$B$10*E230/30</f>
        <v>343</v>
      </c>
      <c r="AI230" s="62">
        <f>Valores!$C$25*'Escala Docente'!E230</f>
        <v>0</v>
      </c>
      <c r="AJ230" s="60">
        <v>0</v>
      </c>
      <c r="AK230" s="67">
        <f t="shared" si="32"/>
        <v>343</v>
      </c>
      <c r="AL230" s="62">
        <f t="shared" si="34"/>
        <v>4157.8214825</v>
      </c>
      <c r="AM230" s="68">
        <f>(7.33*E230)+0.05</f>
        <v>102.67</v>
      </c>
      <c r="AN230" s="69"/>
      <c r="AO230" s="69"/>
      <c r="AP230" s="20" t="s">
        <v>487</v>
      </c>
    </row>
    <row r="231" spans="2:42" s="20" customFormat="1" ht="11.25" customHeight="1" thickTop="1">
      <c r="B231" s="20">
        <v>231</v>
      </c>
      <c r="C231" s="20" t="s">
        <v>478</v>
      </c>
      <c r="D231" s="20" t="s">
        <v>356</v>
      </c>
      <c r="E231" s="20">
        <v>15</v>
      </c>
      <c r="F231" s="21" t="str">
        <f t="shared" si="36"/>
        <v>Hora Cátedra Enseñanza Media 15 hs</v>
      </c>
      <c r="G231" s="28">
        <f t="shared" si="37"/>
        <v>1185</v>
      </c>
      <c r="H231" s="15">
        <f>G231*Valores!$B$2</f>
        <v>2750.385</v>
      </c>
      <c r="I231" s="24">
        <v>0</v>
      </c>
      <c r="J231" s="15">
        <f>I231*Valores!$B$2</f>
        <v>0</v>
      </c>
      <c r="K231" s="27">
        <v>0</v>
      </c>
      <c r="L231" s="15">
        <f>K231*Valores!$B$2</f>
        <v>0</v>
      </c>
      <c r="M231" s="27">
        <v>0</v>
      </c>
      <c r="N231" s="15">
        <f>M231*Valores!$B$2</f>
        <v>0</v>
      </c>
      <c r="O231" s="15">
        <f t="shared" si="33"/>
        <v>450.80775</v>
      </c>
      <c r="P231" s="15">
        <f t="shared" si="28"/>
        <v>0</v>
      </c>
      <c r="Q231" s="17">
        <f>Valores!$B$7*E231</f>
        <v>637.5</v>
      </c>
      <c r="R231" s="17">
        <f>IF(E231&lt;15,(Valores!$C$6/15*E231),Valores!$C$6)</f>
        <v>1038.184</v>
      </c>
      <c r="S231" s="15">
        <v>0</v>
      </c>
      <c r="T231" s="17">
        <f>Valores!$B$8*E231</f>
        <v>255</v>
      </c>
      <c r="U231" s="15">
        <f t="shared" si="31"/>
        <v>255</v>
      </c>
      <c r="V231" s="15">
        <v>0</v>
      </c>
      <c r="W231" s="15">
        <v>0</v>
      </c>
      <c r="X231" s="24">
        <v>0</v>
      </c>
      <c r="Y231" s="15">
        <f>X231*Valores!$B$2</f>
        <v>0</v>
      </c>
      <c r="Z231" s="15">
        <v>0</v>
      </c>
      <c r="AA231" s="39">
        <f t="shared" si="39"/>
        <v>77.55</v>
      </c>
      <c r="AB231" s="15">
        <f t="shared" si="29"/>
        <v>0</v>
      </c>
      <c r="AC231" s="15">
        <f t="shared" si="38"/>
        <v>64.52</v>
      </c>
      <c r="AD231" s="16">
        <v>0</v>
      </c>
      <c r="AE231" s="15">
        <f>AD231*Valores!$B$2</f>
        <v>0</v>
      </c>
      <c r="AF231" s="31">
        <f t="shared" si="30"/>
        <v>5273.946750000001</v>
      </c>
      <c r="AG231" s="15">
        <v>0</v>
      </c>
      <c r="AH231" s="17">
        <f>Valores!$B$10*E231/30</f>
        <v>367.5</v>
      </c>
      <c r="AI231" s="17">
        <f>Valores!$C$25*'Escala Docente'!E231</f>
        <v>0</v>
      </c>
      <c r="AJ231" s="15">
        <v>0</v>
      </c>
      <c r="AK231" s="25">
        <f t="shared" si="32"/>
        <v>367.5</v>
      </c>
      <c r="AL231" s="17">
        <f t="shared" si="34"/>
        <v>4454.808731250001</v>
      </c>
      <c r="AM231" s="43">
        <f>(7.33*E231)+0.05</f>
        <v>110</v>
      </c>
      <c r="AN231" s="56"/>
      <c r="AO231" s="56"/>
      <c r="AP231" s="20" t="s">
        <v>487</v>
      </c>
    </row>
    <row r="232" spans="2:42" s="20" customFormat="1" ht="11.25" customHeight="1">
      <c r="B232" s="20">
        <v>232</v>
      </c>
      <c r="D232" s="20" t="s">
        <v>356</v>
      </c>
      <c r="E232" s="20">
        <v>16</v>
      </c>
      <c r="F232" s="21" t="str">
        <f t="shared" si="36"/>
        <v>Hora Cátedra Enseñanza Media 16 hs</v>
      </c>
      <c r="G232" s="28">
        <f t="shared" si="37"/>
        <v>1264</v>
      </c>
      <c r="H232" s="15">
        <f>G232*Valores!$B$2</f>
        <v>2933.744</v>
      </c>
      <c r="I232" s="24">
        <v>0</v>
      </c>
      <c r="J232" s="15">
        <f>I232*Valores!$B$2</f>
        <v>0</v>
      </c>
      <c r="K232" s="27">
        <v>0</v>
      </c>
      <c r="L232" s="15">
        <f>K232*Valores!$B$2</f>
        <v>0</v>
      </c>
      <c r="M232" s="27">
        <v>0</v>
      </c>
      <c r="N232" s="15">
        <f>M232*Valores!$B$2</f>
        <v>0</v>
      </c>
      <c r="O232" s="15">
        <f t="shared" si="33"/>
        <v>480.8616</v>
      </c>
      <c r="P232" s="15">
        <f t="shared" si="28"/>
        <v>0</v>
      </c>
      <c r="Q232" s="17">
        <f>Valores!$B$7*E232</f>
        <v>680</v>
      </c>
      <c r="R232" s="17">
        <f>IF(E232&lt;15,(Valores!$C$6/15*E232),Valores!$C$6)</f>
        <v>1038.184</v>
      </c>
      <c r="S232" s="15">
        <v>0</v>
      </c>
      <c r="T232" s="17">
        <f>Valores!$B$8*E232</f>
        <v>272</v>
      </c>
      <c r="U232" s="15">
        <f t="shared" si="31"/>
        <v>272</v>
      </c>
      <c r="V232" s="15">
        <v>0</v>
      </c>
      <c r="W232" s="15">
        <v>0</v>
      </c>
      <c r="X232" s="24">
        <v>0</v>
      </c>
      <c r="Y232" s="15">
        <f>X232*Valores!$B$2</f>
        <v>0</v>
      </c>
      <c r="Z232" s="15">
        <v>0</v>
      </c>
      <c r="AA232" s="39">
        <f t="shared" si="39"/>
        <v>82.72</v>
      </c>
      <c r="AB232" s="15">
        <f t="shared" si="29"/>
        <v>0</v>
      </c>
      <c r="AC232" s="15">
        <f t="shared" si="38"/>
        <v>68.82133333333333</v>
      </c>
      <c r="AD232" s="16">
        <v>0</v>
      </c>
      <c r="AE232" s="15">
        <f>AD232*Valores!$B$2</f>
        <v>0</v>
      </c>
      <c r="AF232" s="31">
        <f t="shared" si="30"/>
        <v>5556.330933333334</v>
      </c>
      <c r="AG232" s="15">
        <v>0</v>
      </c>
      <c r="AH232" s="17">
        <f>Valores!$B$10*E232/30</f>
        <v>392</v>
      </c>
      <c r="AI232" s="17">
        <f>Valores!$C$25*'Escala Docente'!E232</f>
        <v>0</v>
      </c>
      <c r="AJ232" s="15">
        <v>0</v>
      </c>
      <c r="AK232" s="25">
        <f t="shared" si="32"/>
        <v>392</v>
      </c>
      <c r="AL232" s="17">
        <f t="shared" si="34"/>
        <v>4698.156473333333</v>
      </c>
      <c r="AM232" s="43">
        <f>(7.33*E232)+0.05</f>
        <v>117.33</v>
      </c>
      <c r="AN232" s="56"/>
      <c r="AO232" s="56"/>
      <c r="AP232" s="20" t="s">
        <v>487</v>
      </c>
    </row>
    <row r="233" spans="2:42" s="20" customFormat="1" ht="11.25" customHeight="1">
      <c r="B233" s="20">
        <v>233</v>
      </c>
      <c r="D233" s="20" t="s">
        <v>356</v>
      </c>
      <c r="E233" s="20">
        <v>17</v>
      </c>
      <c r="F233" s="21" t="str">
        <f t="shared" si="36"/>
        <v>Hora Cátedra Enseñanza Media 17 hs</v>
      </c>
      <c r="G233" s="28">
        <f t="shared" si="37"/>
        <v>1343</v>
      </c>
      <c r="H233" s="15">
        <f>G233*Valores!$B$2</f>
        <v>3117.103</v>
      </c>
      <c r="I233" s="24">
        <v>0</v>
      </c>
      <c r="J233" s="15">
        <f>I233*Valores!$B$2</f>
        <v>0</v>
      </c>
      <c r="K233" s="27">
        <v>0</v>
      </c>
      <c r="L233" s="15">
        <f>K233*Valores!$B$2</f>
        <v>0</v>
      </c>
      <c r="M233" s="27">
        <v>0</v>
      </c>
      <c r="N233" s="15">
        <f>M233*Valores!$B$2</f>
        <v>0</v>
      </c>
      <c r="O233" s="15">
        <f t="shared" si="33"/>
        <v>510.91544999999996</v>
      </c>
      <c r="P233" s="15">
        <f t="shared" si="28"/>
        <v>0</v>
      </c>
      <c r="Q233" s="17">
        <f>Valores!$B$7*E233</f>
        <v>722.5</v>
      </c>
      <c r="R233" s="17">
        <f>IF(E233&lt;15,(Valores!$C$6/15*E233),Valores!$C$6)</f>
        <v>1038.184</v>
      </c>
      <c r="S233" s="15">
        <v>0</v>
      </c>
      <c r="T233" s="17">
        <f>Valores!$B$8*E233</f>
        <v>289</v>
      </c>
      <c r="U233" s="15">
        <f t="shared" si="31"/>
        <v>289</v>
      </c>
      <c r="V233" s="15">
        <v>0</v>
      </c>
      <c r="W233" s="15">
        <v>0</v>
      </c>
      <c r="X233" s="24">
        <v>0</v>
      </c>
      <c r="Y233" s="15">
        <f>X233*Valores!$B$2</f>
        <v>0</v>
      </c>
      <c r="Z233" s="15">
        <v>0</v>
      </c>
      <c r="AA233" s="39">
        <f t="shared" si="39"/>
        <v>87.89</v>
      </c>
      <c r="AB233" s="15">
        <f t="shared" si="29"/>
        <v>0</v>
      </c>
      <c r="AC233" s="15">
        <f t="shared" si="38"/>
        <v>73.12266666666666</v>
      </c>
      <c r="AD233" s="16">
        <v>0</v>
      </c>
      <c r="AE233" s="15">
        <f>AD233*Valores!$B$2</f>
        <v>0</v>
      </c>
      <c r="AF233" s="31">
        <f t="shared" si="30"/>
        <v>5838.715116666667</v>
      </c>
      <c r="AG233" s="15">
        <v>0</v>
      </c>
      <c r="AH233" s="17">
        <f>Valores!$B$10*E233/30</f>
        <v>416.5</v>
      </c>
      <c r="AI233" s="17">
        <f>Valores!$C$25*'Escala Docente'!E233</f>
        <v>0</v>
      </c>
      <c r="AJ233" s="15">
        <v>0</v>
      </c>
      <c r="AK233" s="25">
        <f t="shared" si="32"/>
        <v>416.5</v>
      </c>
      <c r="AL233" s="17">
        <f t="shared" si="34"/>
        <v>4941.504215416668</v>
      </c>
      <c r="AM233" s="43">
        <f>(7.33*E233)+0.06</f>
        <v>124.67</v>
      </c>
      <c r="AN233" s="56"/>
      <c r="AO233" s="56"/>
      <c r="AP233" s="20" t="s">
        <v>487</v>
      </c>
    </row>
    <row r="234" spans="2:42" s="20" customFormat="1" ht="11.25" customHeight="1">
      <c r="B234" s="20">
        <v>234</v>
      </c>
      <c r="D234" s="20" t="s">
        <v>356</v>
      </c>
      <c r="E234" s="20">
        <v>18</v>
      </c>
      <c r="F234" s="21" t="str">
        <f t="shared" si="36"/>
        <v>Hora Cátedra Enseñanza Media 18 hs</v>
      </c>
      <c r="G234" s="28">
        <f t="shared" si="37"/>
        <v>1422</v>
      </c>
      <c r="H234" s="15">
        <f>G234*Valores!$B$2</f>
        <v>3300.4620000000004</v>
      </c>
      <c r="I234" s="24">
        <v>0</v>
      </c>
      <c r="J234" s="15">
        <f>I234*Valores!$B$2</f>
        <v>0</v>
      </c>
      <c r="K234" s="27">
        <v>0</v>
      </c>
      <c r="L234" s="15">
        <f>K234*Valores!$B$2</f>
        <v>0</v>
      </c>
      <c r="M234" s="27">
        <v>0</v>
      </c>
      <c r="N234" s="15">
        <f>M234*Valores!$B$2</f>
        <v>0</v>
      </c>
      <c r="O234" s="15">
        <f t="shared" si="33"/>
        <v>540.9693000000001</v>
      </c>
      <c r="P234" s="15">
        <f t="shared" si="28"/>
        <v>0</v>
      </c>
      <c r="Q234" s="17">
        <f>Valores!$B$7*E234</f>
        <v>765</v>
      </c>
      <c r="R234" s="17">
        <f>IF(E234&lt;15,(Valores!$C$6/15*E234),Valores!$C$6)</f>
        <v>1038.184</v>
      </c>
      <c r="S234" s="15">
        <v>0</v>
      </c>
      <c r="T234" s="17">
        <f>Valores!$B$8*E234</f>
        <v>306</v>
      </c>
      <c r="U234" s="15">
        <f t="shared" si="31"/>
        <v>306</v>
      </c>
      <c r="V234" s="15">
        <v>0</v>
      </c>
      <c r="W234" s="15">
        <v>0</v>
      </c>
      <c r="X234" s="24">
        <v>0</v>
      </c>
      <c r="Y234" s="15">
        <f>X234*Valores!$B$2</f>
        <v>0</v>
      </c>
      <c r="Z234" s="15">
        <v>0</v>
      </c>
      <c r="AA234" s="39">
        <f t="shared" si="39"/>
        <v>93.06</v>
      </c>
      <c r="AB234" s="15">
        <f t="shared" si="29"/>
        <v>0</v>
      </c>
      <c r="AC234" s="15">
        <f t="shared" si="38"/>
        <v>77.42399999999999</v>
      </c>
      <c r="AD234" s="16">
        <v>0</v>
      </c>
      <c r="AE234" s="15">
        <f>AD234*Valores!$B$2</f>
        <v>0</v>
      </c>
      <c r="AF234" s="31">
        <f t="shared" si="30"/>
        <v>6121.099300000001</v>
      </c>
      <c r="AG234" s="15">
        <v>0</v>
      </c>
      <c r="AH234" s="17">
        <f>Valores!$B$10*E234/30</f>
        <v>441</v>
      </c>
      <c r="AI234" s="17">
        <f>Valores!$C$25*'Escala Docente'!E234</f>
        <v>0</v>
      </c>
      <c r="AJ234" s="15">
        <v>0</v>
      </c>
      <c r="AK234" s="25">
        <f t="shared" si="32"/>
        <v>441</v>
      </c>
      <c r="AL234" s="17">
        <f t="shared" si="34"/>
        <v>5184.851957500001</v>
      </c>
      <c r="AM234" s="43">
        <f>(7.33*E234)+0.06</f>
        <v>132</v>
      </c>
      <c r="AN234" s="56"/>
      <c r="AO234" s="56"/>
      <c r="AP234" s="20" t="s">
        <v>487</v>
      </c>
    </row>
    <row r="235" spans="2:42" s="20" customFormat="1" ht="11.25" customHeight="1" thickBot="1">
      <c r="B235" s="20">
        <v>235</v>
      </c>
      <c r="D235" s="57" t="s">
        <v>356</v>
      </c>
      <c r="E235" s="57">
        <v>19</v>
      </c>
      <c r="F235" s="58" t="str">
        <f t="shared" si="36"/>
        <v>Hora Cátedra Enseñanza Media 19 hs</v>
      </c>
      <c r="G235" s="59">
        <f t="shared" si="37"/>
        <v>1501</v>
      </c>
      <c r="H235" s="60">
        <f>G235*Valores!$B$2</f>
        <v>3483.8210000000004</v>
      </c>
      <c r="I235" s="63">
        <v>0</v>
      </c>
      <c r="J235" s="60">
        <f>I235*Valores!$B$2</f>
        <v>0</v>
      </c>
      <c r="K235" s="70">
        <v>0</v>
      </c>
      <c r="L235" s="60">
        <f>K235*Valores!$B$2</f>
        <v>0</v>
      </c>
      <c r="M235" s="70">
        <v>0</v>
      </c>
      <c r="N235" s="60">
        <f>M235*Valores!$B$2</f>
        <v>0</v>
      </c>
      <c r="O235" s="60">
        <f t="shared" si="33"/>
        <v>571.02315</v>
      </c>
      <c r="P235" s="60">
        <f t="shared" si="28"/>
        <v>0</v>
      </c>
      <c r="Q235" s="62">
        <f>Valores!$B$7*E235</f>
        <v>807.5</v>
      </c>
      <c r="R235" s="62">
        <f>IF(E235&lt;15,(Valores!$C$6/15*E235),Valores!$C$6)</f>
        <v>1038.184</v>
      </c>
      <c r="S235" s="60">
        <v>0</v>
      </c>
      <c r="T235" s="62">
        <f>Valores!$B$8*E235</f>
        <v>323</v>
      </c>
      <c r="U235" s="60">
        <f t="shared" si="31"/>
        <v>323</v>
      </c>
      <c r="V235" s="60">
        <v>0</v>
      </c>
      <c r="W235" s="60">
        <v>0</v>
      </c>
      <c r="X235" s="63">
        <v>0</v>
      </c>
      <c r="Y235" s="60">
        <f>X235*Valores!$B$2</f>
        <v>0</v>
      </c>
      <c r="Z235" s="60">
        <v>0</v>
      </c>
      <c r="AA235" s="64">
        <f t="shared" si="39"/>
        <v>98.23</v>
      </c>
      <c r="AB235" s="60">
        <f t="shared" si="29"/>
        <v>0</v>
      </c>
      <c r="AC235" s="60">
        <f t="shared" si="38"/>
        <v>81.72533333333332</v>
      </c>
      <c r="AD235" s="65">
        <v>0</v>
      </c>
      <c r="AE235" s="60">
        <f>AD235*Valores!$B$2</f>
        <v>0</v>
      </c>
      <c r="AF235" s="66">
        <f t="shared" si="30"/>
        <v>6403.483483333334</v>
      </c>
      <c r="AG235" s="60">
        <v>0</v>
      </c>
      <c r="AH235" s="62">
        <f>Valores!$B$10*E235/30</f>
        <v>465.5</v>
      </c>
      <c r="AI235" s="62">
        <f>Valores!$C$25*'Escala Docente'!E235</f>
        <v>0</v>
      </c>
      <c r="AJ235" s="60">
        <v>0</v>
      </c>
      <c r="AK235" s="67">
        <f t="shared" si="32"/>
        <v>465.5</v>
      </c>
      <c r="AL235" s="62">
        <f t="shared" si="34"/>
        <v>5428.199699583334</v>
      </c>
      <c r="AM235" s="68">
        <f>(7.33*E235)+0.06</f>
        <v>139.33</v>
      </c>
      <c r="AN235" s="69"/>
      <c r="AO235" s="69"/>
      <c r="AP235" s="20" t="s">
        <v>487</v>
      </c>
    </row>
    <row r="236" spans="2:42" s="20" customFormat="1" ht="11.25" customHeight="1" thickTop="1">
      <c r="B236" s="20">
        <v>236</v>
      </c>
      <c r="C236" s="20" t="s">
        <v>478</v>
      </c>
      <c r="D236" s="20" t="s">
        <v>356</v>
      </c>
      <c r="E236" s="20">
        <v>20</v>
      </c>
      <c r="F236" s="21" t="str">
        <f t="shared" si="36"/>
        <v>Hora Cátedra Enseñanza Media 20 hs</v>
      </c>
      <c r="G236" s="28">
        <f t="shared" si="37"/>
        <v>1580</v>
      </c>
      <c r="H236" s="15">
        <f>G236*Valores!$B$2</f>
        <v>3667.1800000000003</v>
      </c>
      <c r="I236" s="24">
        <v>0</v>
      </c>
      <c r="J236" s="15">
        <f>I236*Valores!$B$2</f>
        <v>0</v>
      </c>
      <c r="K236" s="27">
        <v>0</v>
      </c>
      <c r="L236" s="15">
        <f>K236*Valores!$B$2</f>
        <v>0</v>
      </c>
      <c r="M236" s="27">
        <v>0</v>
      </c>
      <c r="N236" s="15">
        <f>M236*Valores!$B$2</f>
        <v>0</v>
      </c>
      <c r="O236" s="15">
        <f t="shared" si="33"/>
        <v>601.077</v>
      </c>
      <c r="P236" s="15">
        <f t="shared" si="28"/>
        <v>0</v>
      </c>
      <c r="Q236" s="17">
        <f>Valores!$B$7*E236</f>
        <v>850</v>
      </c>
      <c r="R236" s="17">
        <f>IF(E236&lt;15,(Valores!$C$6/15*E236),Valores!$C$6)</f>
        <v>1038.184</v>
      </c>
      <c r="S236" s="15">
        <v>0</v>
      </c>
      <c r="T236" s="17">
        <f>Valores!$B$8*E236</f>
        <v>340</v>
      </c>
      <c r="U236" s="15">
        <f t="shared" si="31"/>
        <v>340</v>
      </c>
      <c r="V236" s="15">
        <v>0</v>
      </c>
      <c r="W236" s="15">
        <v>0</v>
      </c>
      <c r="X236" s="24">
        <v>0</v>
      </c>
      <c r="Y236" s="15">
        <f>X236*Valores!$B$2</f>
        <v>0</v>
      </c>
      <c r="Z236" s="15">
        <v>0</v>
      </c>
      <c r="AA236" s="39">
        <f t="shared" si="39"/>
        <v>103.4</v>
      </c>
      <c r="AB236" s="15">
        <f t="shared" si="29"/>
        <v>0</v>
      </c>
      <c r="AC236" s="15">
        <f t="shared" si="38"/>
        <v>86.02666666666666</v>
      </c>
      <c r="AD236" s="16">
        <v>0</v>
      </c>
      <c r="AE236" s="15">
        <f>AD236*Valores!$B$2</f>
        <v>0</v>
      </c>
      <c r="AF236" s="31">
        <f t="shared" si="30"/>
        <v>6685.867666666667</v>
      </c>
      <c r="AG236" s="15">
        <v>0</v>
      </c>
      <c r="AH236" s="17">
        <f>Valores!$B$10*E236/30</f>
        <v>490</v>
      </c>
      <c r="AI236" s="17">
        <f>Valores!$C$25*'Escala Docente'!E236</f>
        <v>0</v>
      </c>
      <c r="AJ236" s="15">
        <v>0</v>
      </c>
      <c r="AK236" s="25">
        <f t="shared" si="32"/>
        <v>490</v>
      </c>
      <c r="AL236" s="17">
        <f t="shared" si="34"/>
        <v>5671.5474416666675</v>
      </c>
      <c r="AM236" s="43">
        <f aca="true" t="shared" si="40" ref="AM236:AM243">(7.33*E236)+0.07</f>
        <v>146.67</v>
      </c>
      <c r="AN236" s="56"/>
      <c r="AO236" s="56"/>
      <c r="AP236" s="20" t="s">
        <v>487</v>
      </c>
    </row>
    <row r="237" spans="2:42" s="20" customFormat="1" ht="11.25" customHeight="1">
      <c r="B237" s="20">
        <v>237</v>
      </c>
      <c r="D237" s="20" t="s">
        <v>356</v>
      </c>
      <c r="E237" s="20">
        <v>21</v>
      </c>
      <c r="F237" s="21" t="str">
        <f t="shared" si="36"/>
        <v>Hora Cátedra Enseñanza Media 21 hs</v>
      </c>
      <c r="G237" s="28">
        <f t="shared" si="37"/>
        <v>1659</v>
      </c>
      <c r="H237" s="15">
        <f>G237*Valores!$B$2</f>
        <v>3850.539</v>
      </c>
      <c r="I237" s="24">
        <v>0</v>
      </c>
      <c r="J237" s="15">
        <f>I237*Valores!$B$2</f>
        <v>0</v>
      </c>
      <c r="K237" s="27">
        <v>0</v>
      </c>
      <c r="L237" s="15">
        <f>K237*Valores!$B$2</f>
        <v>0</v>
      </c>
      <c r="M237" s="27">
        <v>0</v>
      </c>
      <c r="N237" s="15">
        <f>M237*Valores!$B$2</f>
        <v>0</v>
      </c>
      <c r="O237" s="15">
        <f t="shared" si="33"/>
        <v>631.1308500000001</v>
      </c>
      <c r="P237" s="15">
        <f t="shared" si="28"/>
        <v>0</v>
      </c>
      <c r="Q237" s="17">
        <f>Valores!$B$7*E237</f>
        <v>892.5</v>
      </c>
      <c r="R237" s="17">
        <f>IF(E237&lt;15,(Valores!$C$6/15*E237),Valores!$C$6)</f>
        <v>1038.184</v>
      </c>
      <c r="S237" s="15">
        <v>0</v>
      </c>
      <c r="T237" s="17">
        <f>Valores!$B$8*E237</f>
        <v>357</v>
      </c>
      <c r="U237" s="15">
        <f t="shared" si="31"/>
        <v>357</v>
      </c>
      <c r="V237" s="15">
        <v>0</v>
      </c>
      <c r="W237" s="15">
        <v>0</v>
      </c>
      <c r="X237" s="24">
        <v>0</v>
      </c>
      <c r="Y237" s="15">
        <f>X237*Valores!$B$2</f>
        <v>0</v>
      </c>
      <c r="Z237" s="15">
        <v>0</v>
      </c>
      <c r="AA237" s="39">
        <f t="shared" si="39"/>
        <v>108.57</v>
      </c>
      <c r="AB237" s="15">
        <f t="shared" si="29"/>
        <v>0</v>
      </c>
      <c r="AC237" s="15">
        <f t="shared" si="38"/>
        <v>90.32799999999999</v>
      </c>
      <c r="AD237" s="16">
        <v>0</v>
      </c>
      <c r="AE237" s="15">
        <f>AD237*Valores!$B$2</f>
        <v>0</v>
      </c>
      <c r="AF237" s="31">
        <f t="shared" si="30"/>
        <v>6968.251850000001</v>
      </c>
      <c r="AG237" s="15">
        <v>0</v>
      </c>
      <c r="AH237" s="17">
        <f>Valores!$B$10*E237/30</f>
        <v>514.5</v>
      </c>
      <c r="AI237" s="17">
        <f>Valores!$C$25*'Escala Docente'!E237</f>
        <v>0</v>
      </c>
      <c r="AJ237" s="15">
        <v>0</v>
      </c>
      <c r="AK237" s="25">
        <f t="shared" si="32"/>
        <v>514.5</v>
      </c>
      <c r="AL237" s="17">
        <f t="shared" si="34"/>
        <v>5914.895183750001</v>
      </c>
      <c r="AM237" s="43">
        <f t="shared" si="40"/>
        <v>154</v>
      </c>
      <c r="AN237" s="56"/>
      <c r="AO237" s="56"/>
      <c r="AP237" s="20" t="s">
        <v>487</v>
      </c>
    </row>
    <row r="238" spans="2:42" s="20" customFormat="1" ht="11.25" customHeight="1">
      <c r="B238" s="20">
        <v>238</v>
      </c>
      <c r="D238" s="20" t="s">
        <v>356</v>
      </c>
      <c r="E238" s="20">
        <v>22</v>
      </c>
      <c r="F238" s="21" t="str">
        <f t="shared" si="36"/>
        <v>Hora Cátedra Enseñanza Media 22 hs</v>
      </c>
      <c r="G238" s="28">
        <f t="shared" si="37"/>
        <v>1738</v>
      </c>
      <c r="H238" s="15">
        <f>G238*Valores!$B$2</f>
        <v>4033.898</v>
      </c>
      <c r="I238" s="24">
        <v>0</v>
      </c>
      <c r="J238" s="15">
        <f>I238*Valores!$B$2</f>
        <v>0</v>
      </c>
      <c r="K238" s="27">
        <v>0</v>
      </c>
      <c r="L238" s="15">
        <f>K238*Valores!$B$2</f>
        <v>0</v>
      </c>
      <c r="M238" s="27">
        <v>0</v>
      </c>
      <c r="N238" s="15">
        <f>M238*Valores!$B$2</f>
        <v>0</v>
      </c>
      <c r="O238" s="15">
        <f t="shared" si="33"/>
        <v>661.1847</v>
      </c>
      <c r="P238" s="15">
        <f t="shared" si="28"/>
        <v>0</v>
      </c>
      <c r="Q238" s="17">
        <f>Valores!$B$7*E238</f>
        <v>935</v>
      </c>
      <c r="R238" s="17">
        <f>IF(E238&lt;15,(Valores!$C$6/15*E238),Valores!$C$6)</f>
        <v>1038.184</v>
      </c>
      <c r="S238" s="15">
        <v>0</v>
      </c>
      <c r="T238" s="17">
        <f>Valores!$B$8*E238</f>
        <v>374</v>
      </c>
      <c r="U238" s="15">
        <f t="shared" si="31"/>
        <v>374</v>
      </c>
      <c r="V238" s="15">
        <v>0</v>
      </c>
      <c r="W238" s="15">
        <v>0</v>
      </c>
      <c r="X238" s="24">
        <v>0</v>
      </c>
      <c r="Y238" s="15">
        <f>X238*Valores!$B$2</f>
        <v>0</v>
      </c>
      <c r="Z238" s="15">
        <v>0</v>
      </c>
      <c r="AA238" s="39">
        <f t="shared" si="39"/>
        <v>113.74</v>
      </c>
      <c r="AB238" s="15">
        <f t="shared" si="29"/>
        <v>0</v>
      </c>
      <c r="AC238" s="15">
        <f t="shared" si="38"/>
        <v>94.62933333333332</v>
      </c>
      <c r="AD238" s="16">
        <v>0</v>
      </c>
      <c r="AE238" s="15">
        <f>AD238*Valores!$B$2</f>
        <v>0</v>
      </c>
      <c r="AF238" s="31">
        <f t="shared" si="30"/>
        <v>7250.636033333333</v>
      </c>
      <c r="AG238" s="15">
        <v>0</v>
      </c>
      <c r="AH238" s="17">
        <f>Valores!$B$10*E238/30</f>
        <v>539</v>
      </c>
      <c r="AI238" s="17">
        <f>Valores!$C$25*'Escala Docente'!E238</f>
        <v>0</v>
      </c>
      <c r="AJ238" s="15">
        <v>0</v>
      </c>
      <c r="AK238" s="25">
        <f t="shared" si="32"/>
        <v>539</v>
      </c>
      <c r="AL238" s="17">
        <f t="shared" si="34"/>
        <v>6158.242925833333</v>
      </c>
      <c r="AM238" s="43">
        <f t="shared" si="40"/>
        <v>161.32999999999998</v>
      </c>
      <c r="AN238" s="56"/>
      <c r="AO238" s="56"/>
      <c r="AP238" s="20" t="s">
        <v>487</v>
      </c>
    </row>
    <row r="239" spans="2:42" s="20" customFormat="1" ht="11.25" customHeight="1">
      <c r="B239" s="20">
        <v>239</v>
      </c>
      <c r="D239" s="20" t="s">
        <v>356</v>
      </c>
      <c r="E239" s="20">
        <v>23</v>
      </c>
      <c r="F239" s="21" t="str">
        <f t="shared" si="36"/>
        <v>Hora Cátedra Enseñanza Media 23 hs</v>
      </c>
      <c r="G239" s="28">
        <f t="shared" si="37"/>
        <v>1817</v>
      </c>
      <c r="H239" s="15">
        <f>G239*Valores!$B$2</f>
        <v>4217.2570000000005</v>
      </c>
      <c r="I239" s="24">
        <v>0</v>
      </c>
      <c r="J239" s="15">
        <f>I239*Valores!$B$2</f>
        <v>0</v>
      </c>
      <c r="K239" s="27">
        <v>0</v>
      </c>
      <c r="L239" s="15">
        <f>K239*Valores!$B$2</f>
        <v>0</v>
      </c>
      <c r="M239" s="27">
        <v>0</v>
      </c>
      <c r="N239" s="15">
        <f>M239*Valores!$B$2</f>
        <v>0</v>
      </c>
      <c r="O239" s="15">
        <f t="shared" si="33"/>
        <v>691.23855</v>
      </c>
      <c r="P239" s="15">
        <f t="shared" si="28"/>
        <v>0</v>
      </c>
      <c r="Q239" s="17">
        <f>Valores!$B$7*E239</f>
        <v>977.5</v>
      </c>
      <c r="R239" s="17">
        <f>IF(E239&lt;15,(Valores!$C$6/15*E239),Valores!$C$6)</f>
        <v>1038.184</v>
      </c>
      <c r="S239" s="15">
        <v>0</v>
      </c>
      <c r="T239" s="17">
        <f>Valores!$B$8*E239</f>
        <v>391</v>
      </c>
      <c r="U239" s="15">
        <f t="shared" si="31"/>
        <v>391</v>
      </c>
      <c r="V239" s="15">
        <v>0</v>
      </c>
      <c r="W239" s="15">
        <v>0</v>
      </c>
      <c r="X239" s="24">
        <v>0</v>
      </c>
      <c r="Y239" s="15">
        <f>X239*Valores!$B$2</f>
        <v>0</v>
      </c>
      <c r="Z239" s="15">
        <v>0</v>
      </c>
      <c r="AA239" s="39">
        <f t="shared" si="39"/>
        <v>118.91</v>
      </c>
      <c r="AB239" s="15">
        <f t="shared" si="29"/>
        <v>0</v>
      </c>
      <c r="AC239" s="15">
        <f t="shared" si="38"/>
        <v>98.93066666666665</v>
      </c>
      <c r="AD239" s="16">
        <v>0</v>
      </c>
      <c r="AE239" s="15">
        <f>AD239*Valores!$B$2</f>
        <v>0</v>
      </c>
      <c r="AF239" s="31">
        <f t="shared" si="30"/>
        <v>7533.020216666668</v>
      </c>
      <c r="AG239" s="15">
        <v>0</v>
      </c>
      <c r="AH239" s="17">
        <f>Valores!$B$10*E239/30</f>
        <v>563.5</v>
      </c>
      <c r="AI239" s="17">
        <f>Valores!$C$25*'Escala Docente'!E239</f>
        <v>0</v>
      </c>
      <c r="AJ239" s="15">
        <v>0</v>
      </c>
      <c r="AK239" s="25">
        <f t="shared" si="32"/>
        <v>563.5</v>
      </c>
      <c r="AL239" s="17">
        <f t="shared" si="34"/>
        <v>6401.590667916667</v>
      </c>
      <c r="AM239" s="43">
        <f t="shared" si="40"/>
        <v>168.66</v>
      </c>
      <c r="AN239" s="56"/>
      <c r="AO239" s="56"/>
      <c r="AP239" s="20" t="s">
        <v>487</v>
      </c>
    </row>
    <row r="240" spans="2:42" s="20" customFormat="1" ht="11.25" customHeight="1" thickBot="1">
      <c r="B240" s="20">
        <v>240</v>
      </c>
      <c r="D240" s="57" t="s">
        <v>356</v>
      </c>
      <c r="E240" s="57">
        <v>24</v>
      </c>
      <c r="F240" s="58" t="str">
        <f t="shared" si="36"/>
        <v>Hora Cátedra Enseñanza Media 24 hs</v>
      </c>
      <c r="G240" s="59">
        <f t="shared" si="37"/>
        <v>1896</v>
      </c>
      <c r="H240" s="60">
        <f>G240*Valores!$B$2</f>
        <v>4400.616</v>
      </c>
      <c r="I240" s="63">
        <v>0</v>
      </c>
      <c r="J240" s="60">
        <f>I240*Valores!$B$2</f>
        <v>0</v>
      </c>
      <c r="K240" s="70">
        <v>0</v>
      </c>
      <c r="L240" s="60">
        <f>K240*Valores!$B$2</f>
        <v>0</v>
      </c>
      <c r="M240" s="70">
        <v>0</v>
      </c>
      <c r="N240" s="60">
        <f>M240*Valores!$B$2</f>
        <v>0</v>
      </c>
      <c r="O240" s="60">
        <f t="shared" si="33"/>
        <v>721.2923999999999</v>
      </c>
      <c r="P240" s="60">
        <f t="shared" si="28"/>
        <v>0</v>
      </c>
      <c r="Q240" s="62">
        <f>Valores!$B$7*E240</f>
        <v>1020</v>
      </c>
      <c r="R240" s="62">
        <f>IF(E240&lt;15,(Valores!$C$6/15*E240),Valores!$C$6)</f>
        <v>1038.184</v>
      </c>
      <c r="S240" s="60">
        <v>0</v>
      </c>
      <c r="T240" s="62">
        <f>Valores!$B$8*E240</f>
        <v>408</v>
      </c>
      <c r="U240" s="60">
        <f t="shared" si="31"/>
        <v>408</v>
      </c>
      <c r="V240" s="60">
        <v>0</v>
      </c>
      <c r="W240" s="60">
        <v>0</v>
      </c>
      <c r="X240" s="63">
        <v>0</v>
      </c>
      <c r="Y240" s="60">
        <f>X240*Valores!$B$2</f>
        <v>0</v>
      </c>
      <c r="Z240" s="60">
        <v>0</v>
      </c>
      <c r="AA240" s="64">
        <f t="shared" si="39"/>
        <v>124.08</v>
      </c>
      <c r="AB240" s="60">
        <f t="shared" si="29"/>
        <v>0</v>
      </c>
      <c r="AC240" s="60">
        <f t="shared" si="38"/>
        <v>103.232</v>
      </c>
      <c r="AD240" s="65">
        <v>0</v>
      </c>
      <c r="AE240" s="60">
        <f>AD240*Valores!$B$2</f>
        <v>0</v>
      </c>
      <c r="AF240" s="66">
        <f t="shared" si="30"/>
        <v>7815.4044</v>
      </c>
      <c r="AG240" s="60">
        <v>0</v>
      </c>
      <c r="AH240" s="62">
        <f>Valores!$B$10*E240/30</f>
        <v>588</v>
      </c>
      <c r="AI240" s="62">
        <f>Valores!$C$25*'Escala Docente'!E240</f>
        <v>0</v>
      </c>
      <c r="AJ240" s="60">
        <v>0</v>
      </c>
      <c r="AK240" s="67">
        <f t="shared" si="32"/>
        <v>588</v>
      </c>
      <c r="AL240" s="62">
        <f t="shared" si="34"/>
        <v>6644.938410000001</v>
      </c>
      <c r="AM240" s="68">
        <f t="shared" si="40"/>
        <v>175.99</v>
      </c>
      <c r="AN240" s="69"/>
      <c r="AO240" s="69"/>
      <c r="AP240" s="20" t="s">
        <v>487</v>
      </c>
    </row>
    <row r="241" spans="2:42" s="20" customFormat="1" ht="11.25" customHeight="1" thickTop="1">
      <c r="B241" s="20">
        <v>241</v>
      </c>
      <c r="C241" s="20" t="s">
        <v>478</v>
      </c>
      <c r="D241" s="20" t="s">
        <v>356</v>
      </c>
      <c r="E241" s="20">
        <v>25</v>
      </c>
      <c r="F241" s="21" t="str">
        <f t="shared" si="36"/>
        <v>Hora Cátedra Enseñanza Media 25 hs</v>
      </c>
      <c r="G241" s="28">
        <f t="shared" si="37"/>
        <v>1975</v>
      </c>
      <c r="H241" s="15">
        <f>G241*Valores!$B$2</f>
        <v>4583.975</v>
      </c>
      <c r="I241" s="24">
        <v>0</v>
      </c>
      <c r="J241" s="15">
        <f>I241*Valores!$B$2</f>
        <v>0</v>
      </c>
      <c r="K241" s="27">
        <v>0</v>
      </c>
      <c r="L241" s="15">
        <f>K241*Valores!$B$2</f>
        <v>0</v>
      </c>
      <c r="M241" s="27">
        <v>0</v>
      </c>
      <c r="N241" s="15">
        <f>M241*Valores!$B$2</f>
        <v>0</v>
      </c>
      <c r="O241" s="15">
        <f t="shared" si="33"/>
        <v>751.34625</v>
      </c>
      <c r="P241" s="15">
        <f t="shared" si="28"/>
        <v>0</v>
      </c>
      <c r="Q241" s="17">
        <f>Valores!$B$7*E241</f>
        <v>1062.5</v>
      </c>
      <c r="R241" s="17">
        <f>IF(E241&lt;15,(Valores!$C$6/15*E241),Valores!$C$6)</f>
        <v>1038.184</v>
      </c>
      <c r="S241" s="15">
        <v>0</v>
      </c>
      <c r="T241" s="17">
        <f>Valores!$B$8*E241</f>
        <v>425</v>
      </c>
      <c r="U241" s="15">
        <f t="shared" si="31"/>
        <v>425</v>
      </c>
      <c r="V241" s="15">
        <v>0</v>
      </c>
      <c r="W241" s="15">
        <v>0</v>
      </c>
      <c r="X241" s="24">
        <v>0</v>
      </c>
      <c r="Y241" s="15">
        <f>X241*Valores!$B$2</f>
        <v>0</v>
      </c>
      <c r="Z241" s="15">
        <v>0</v>
      </c>
      <c r="AA241" s="39">
        <f t="shared" si="39"/>
        <v>129.25</v>
      </c>
      <c r="AB241" s="15">
        <f t="shared" si="29"/>
        <v>0</v>
      </c>
      <c r="AC241" s="15">
        <f t="shared" si="38"/>
        <v>107.53333333333333</v>
      </c>
      <c r="AD241" s="16">
        <v>0</v>
      </c>
      <c r="AE241" s="15">
        <f>AD241*Valores!$B$2</f>
        <v>0</v>
      </c>
      <c r="AF241" s="31">
        <f t="shared" si="30"/>
        <v>8097.788583333335</v>
      </c>
      <c r="AG241" s="15">
        <v>0</v>
      </c>
      <c r="AH241" s="17">
        <f>Valores!$B$10*E241/30</f>
        <v>612.5</v>
      </c>
      <c r="AI241" s="17">
        <f>Valores!$C$25*'Escala Docente'!E241</f>
        <v>0</v>
      </c>
      <c r="AJ241" s="15">
        <v>0</v>
      </c>
      <c r="AK241" s="25">
        <f t="shared" si="32"/>
        <v>612.5</v>
      </c>
      <c r="AL241" s="17">
        <f t="shared" si="34"/>
        <v>6888.286152083335</v>
      </c>
      <c r="AM241" s="43">
        <f t="shared" si="40"/>
        <v>183.32</v>
      </c>
      <c r="AN241" s="56"/>
      <c r="AO241" s="56"/>
      <c r="AP241" s="20" t="s">
        <v>487</v>
      </c>
    </row>
    <row r="242" spans="2:42" s="20" customFormat="1" ht="11.25" customHeight="1">
      <c r="B242" s="20">
        <v>242</v>
      </c>
      <c r="D242" s="20" t="s">
        <v>356</v>
      </c>
      <c r="E242" s="20">
        <v>26</v>
      </c>
      <c r="F242" s="21" t="str">
        <f t="shared" si="36"/>
        <v>Hora Cátedra Enseñanza Media 26 hs</v>
      </c>
      <c r="G242" s="28">
        <f t="shared" si="37"/>
        <v>2054</v>
      </c>
      <c r="H242" s="15">
        <f>G242*Valores!$B$2</f>
        <v>4767.334000000001</v>
      </c>
      <c r="I242" s="24">
        <v>0</v>
      </c>
      <c r="J242" s="15">
        <f>I242*Valores!$B$2</f>
        <v>0</v>
      </c>
      <c r="K242" s="27">
        <v>0</v>
      </c>
      <c r="L242" s="15">
        <f>K242*Valores!$B$2</f>
        <v>0</v>
      </c>
      <c r="M242" s="27">
        <v>0</v>
      </c>
      <c r="N242" s="15">
        <f>M242*Valores!$B$2</f>
        <v>0</v>
      </c>
      <c r="O242" s="15">
        <f t="shared" si="33"/>
        <v>781.4001000000001</v>
      </c>
      <c r="P242" s="15">
        <f t="shared" si="28"/>
        <v>0</v>
      </c>
      <c r="Q242" s="17">
        <f>Valores!$B$7*E242</f>
        <v>1105</v>
      </c>
      <c r="R242" s="17">
        <f>IF(E242&lt;15,(Valores!$C$6/15*E242),Valores!$C$6)</f>
        <v>1038.184</v>
      </c>
      <c r="S242" s="15">
        <v>0</v>
      </c>
      <c r="T242" s="17">
        <f>Valores!$B$8*E242</f>
        <v>442</v>
      </c>
      <c r="U242" s="15">
        <f t="shared" si="31"/>
        <v>442</v>
      </c>
      <c r="V242" s="15">
        <v>0</v>
      </c>
      <c r="W242" s="15">
        <v>0</v>
      </c>
      <c r="X242" s="24">
        <v>0</v>
      </c>
      <c r="Y242" s="15">
        <f>X242*Valores!$B$2</f>
        <v>0</v>
      </c>
      <c r="Z242" s="15">
        <v>0</v>
      </c>
      <c r="AA242" s="39">
        <f t="shared" si="39"/>
        <v>134.42</v>
      </c>
      <c r="AB242" s="15">
        <f t="shared" si="29"/>
        <v>0</v>
      </c>
      <c r="AC242" s="15">
        <f t="shared" si="38"/>
        <v>111.83466666666666</v>
      </c>
      <c r="AD242" s="16">
        <v>0</v>
      </c>
      <c r="AE242" s="15">
        <f>AD242*Valores!$B$2</f>
        <v>0</v>
      </c>
      <c r="AF242" s="31">
        <f t="shared" si="30"/>
        <v>8380.172766666668</v>
      </c>
      <c r="AG242" s="15">
        <v>0</v>
      </c>
      <c r="AH242" s="17">
        <f>Valores!$B$10*E242/30</f>
        <v>637</v>
      </c>
      <c r="AI242" s="17">
        <f>Valores!$C$25*'Escala Docente'!E242</f>
        <v>0</v>
      </c>
      <c r="AJ242" s="15">
        <v>0</v>
      </c>
      <c r="AK242" s="25">
        <f t="shared" si="32"/>
        <v>637</v>
      </c>
      <c r="AL242" s="17">
        <f t="shared" si="34"/>
        <v>7131.633894166668</v>
      </c>
      <c r="AM242" s="43">
        <f t="shared" si="40"/>
        <v>190.65</v>
      </c>
      <c r="AN242" s="56"/>
      <c r="AO242" s="56"/>
      <c r="AP242" s="20" t="s">
        <v>487</v>
      </c>
    </row>
    <row r="243" spans="2:42" s="20" customFormat="1" ht="11.25" customHeight="1">
      <c r="B243" s="20">
        <v>243</v>
      </c>
      <c r="D243" s="20" t="s">
        <v>356</v>
      </c>
      <c r="E243" s="20">
        <v>27</v>
      </c>
      <c r="F243" s="21" t="str">
        <f t="shared" si="36"/>
        <v>Hora Cátedra Enseñanza Media 27 hs</v>
      </c>
      <c r="G243" s="28">
        <f t="shared" si="37"/>
        <v>2133</v>
      </c>
      <c r="H243" s="15">
        <f>G243*Valores!$B$2</f>
        <v>4950.693</v>
      </c>
      <c r="I243" s="24">
        <v>0</v>
      </c>
      <c r="J243" s="15">
        <f>I243*Valores!$B$2</f>
        <v>0</v>
      </c>
      <c r="K243" s="27">
        <v>0</v>
      </c>
      <c r="L243" s="15">
        <f>K243*Valores!$B$2</f>
        <v>0</v>
      </c>
      <c r="M243" s="27">
        <v>0</v>
      </c>
      <c r="N243" s="15">
        <f>M243*Valores!$B$2</f>
        <v>0</v>
      </c>
      <c r="O243" s="15">
        <f t="shared" si="33"/>
        <v>811.45395</v>
      </c>
      <c r="P243" s="15">
        <f t="shared" si="28"/>
        <v>0</v>
      </c>
      <c r="Q243" s="17">
        <f>Valores!$B$7*E243</f>
        <v>1147.5</v>
      </c>
      <c r="R243" s="17">
        <f>IF(E243&lt;15,(Valores!$C$6/15*E243),Valores!$C$6)</f>
        <v>1038.184</v>
      </c>
      <c r="S243" s="15">
        <v>0</v>
      </c>
      <c r="T243" s="17">
        <f>Valores!$B$8*E243</f>
        <v>459</v>
      </c>
      <c r="U243" s="15">
        <f t="shared" si="31"/>
        <v>459</v>
      </c>
      <c r="V243" s="15">
        <v>0</v>
      </c>
      <c r="W243" s="15">
        <v>0</v>
      </c>
      <c r="X243" s="24">
        <v>0</v>
      </c>
      <c r="Y243" s="15">
        <f>X243*Valores!$B$2</f>
        <v>0</v>
      </c>
      <c r="Z243" s="15">
        <v>0</v>
      </c>
      <c r="AA243" s="39">
        <f t="shared" si="39"/>
        <v>139.59</v>
      </c>
      <c r="AB243" s="15">
        <f t="shared" si="29"/>
        <v>0</v>
      </c>
      <c r="AC243" s="15">
        <f t="shared" si="38"/>
        <v>116.136</v>
      </c>
      <c r="AD243" s="16">
        <v>0</v>
      </c>
      <c r="AE243" s="15">
        <f>AD243*Valores!$B$2</f>
        <v>0</v>
      </c>
      <c r="AF243" s="31">
        <f t="shared" si="30"/>
        <v>8662.55695</v>
      </c>
      <c r="AG243" s="15">
        <v>0</v>
      </c>
      <c r="AH243" s="17">
        <f>Valores!$B$10*E243/30</f>
        <v>661.5</v>
      </c>
      <c r="AI243" s="17">
        <f>Valores!$C$25*'Escala Docente'!E243</f>
        <v>0</v>
      </c>
      <c r="AJ243" s="15">
        <v>0</v>
      </c>
      <c r="AK243" s="25">
        <f t="shared" si="32"/>
        <v>661.5</v>
      </c>
      <c r="AL243" s="17">
        <f t="shared" si="34"/>
        <v>7374.9816362500005</v>
      </c>
      <c r="AM243" s="43">
        <f t="shared" si="40"/>
        <v>197.98</v>
      </c>
      <c r="AN243" s="56"/>
      <c r="AO243" s="56"/>
      <c r="AP243" s="20" t="s">
        <v>487</v>
      </c>
    </row>
    <row r="244" spans="2:42" s="20" customFormat="1" ht="11.25" customHeight="1">
      <c r="B244" s="20">
        <v>244</v>
      </c>
      <c r="D244" s="20" t="s">
        <v>356</v>
      </c>
      <c r="E244" s="20">
        <v>28</v>
      </c>
      <c r="F244" s="21" t="str">
        <f t="shared" si="36"/>
        <v>Hora Cátedra Enseñanza Media 28 hs</v>
      </c>
      <c r="G244" s="28">
        <f t="shared" si="37"/>
        <v>2212</v>
      </c>
      <c r="H244" s="15">
        <f>G244*Valores!$B$2</f>
        <v>5134.052000000001</v>
      </c>
      <c r="I244" s="24">
        <v>0</v>
      </c>
      <c r="J244" s="15">
        <f>I244*Valores!$B$2</f>
        <v>0</v>
      </c>
      <c r="K244" s="27">
        <v>0</v>
      </c>
      <c r="L244" s="15">
        <f>K244*Valores!$B$2</f>
        <v>0</v>
      </c>
      <c r="M244" s="27">
        <v>0</v>
      </c>
      <c r="N244" s="15">
        <f>M244*Valores!$B$2</f>
        <v>0</v>
      </c>
      <c r="O244" s="15">
        <f t="shared" si="33"/>
        <v>841.5078000000001</v>
      </c>
      <c r="P244" s="15">
        <f t="shared" si="28"/>
        <v>0</v>
      </c>
      <c r="Q244" s="17">
        <f>Valores!$B$7*E244</f>
        <v>1190</v>
      </c>
      <c r="R244" s="17">
        <f>IF(E244&lt;15,(Valores!$C$6/15*E244),Valores!$C$6)</f>
        <v>1038.184</v>
      </c>
      <c r="S244" s="15">
        <v>0</v>
      </c>
      <c r="T244" s="17">
        <f>Valores!$B$8*E244</f>
        <v>476</v>
      </c>
      <c r="U244" s="15">
        <f t="shared" si="31"/>
        <v>476</v>
      </c>
      <c r="V244" s="15">
        <v>0</v>
      </c>
      <c r="W244" s="15">
        <v>0</v>
      </c>
      <c r="X244" s="24">
        <v>0</v>
      </c>
      <c r="Y244" s="15">
        <f>X244*Valores!$B$2</f>
        <v>0</v>
      </c>
      <c r="Z244" s="15">
        <v>0</v>
      </c>
      <c r="AA244" s="39">
        <f t="shared" si="39"/>
        <v>144.76</v>
      </c>
      <c r="AB244" s="15">
        <f t="shared" si="29"/>
        <v>0</v>
      </c>
      <c r="AC244" s="15">
        <f t="shared" si="38"/>
        <v>120.43733333333333</v>
      </c>
      <c r="AD244" s="16">
        <v>0</v>
      </c>
      <c r="AE244" s="15">
        <f>AD244*Valores!$B$2</f>
        <v>0</v>
      </c>
      <c r="AF244" s="31">
        <f t="shared" si="30"/>
        <v>8944.941133333334</v>
      </c>
      <c r="AG244" s="15">
        <v>0</v>
      </c>
      <c r="AH244" s="17">
        <f>Valores!$B$10*E244/30</f>
        <v>686</v>
      </c>
      <c r="AI244" s="17">
        <f>Valores!$C$25*'Escala Docente'!E244</f>
        <v>0</v>
      </c>
      <c r="AJ244" s="15">
        <v>0</v>
      </c>
      <c r="AK244" s="25">
        <f t="shared" si="32"/>
        <v>686</v>
      </c>
      <c r="AL244" s="17">
        <f t="shared" si="34"/>
        <v>7618.329378333334</v>
      </c>
      <c r="AM244" s="43">
        <f>(7.33*E244)+0.09</f>
        <v>205.33</v>
      </c>
      <c r="AN244" s="56"/>
      <c r="AO244" s="56"/>
      <c r="AP244" s="20" t="s">
        <v>487</v>
      </c>
    </row>
    <row r="245" spans="2:42" s="20" customFormat="1" ht="11.25" customHeight="1" thickBot="1">
      <c r="B245" s="20">
        <v>245</v>
      </c>
      <c r="D245" s="57" t="s">
        <v>356</v>
      </c>
      <c r="E245" s="57">
        <v>29</v>
      </c>
      <c r="F245" s="58" t="str">
        <f t="shared" si="36"/>
        <v>Hora Cátedra Enseñanza Media 29 hs</v>
      </c>
      <c r="G245" s="59">
        <f t="shared" si="37"/>
        <v>2291</v>
      </c>
      <c r="H245" s="60">
        <f>G245*Valores!$B$2</f>
        <v>5317.411</v>
      </c>
      <c r="I245" s="63">
        <v>0</v>
      </c>
      <c r="J245" s="60">
        <f>I245*Valores!$B$2</f>
        <v>0</v>
      </c>
      <c r="K245" s="70">
        <v>0</v>
      </c>
      <c r="L245" s="60">
        <f>K245*Valores!$B$2</f>
        <v>0</v>
      </c>
      <c r="M245" s="70">
        <v>0</v>
      </c>
      <c r="N245" s="60">
        <f>M245*Valores!$B$2</f>
        <v>0</v>
      </c>
      <c r="O245" s="60">
        <f t="shared" si="33"/>
        <v>871.56165</v>
      </c>
      <c r="P245" s="60">
        <f t="shared" si="28"/>
        <v>0</v>
      </c>
      <c r="Q245" s="62">
        <f>Valores!$B$7*E245</f>
        <v>1232.5</v>
      </c>
      <c r="R245" s="62">
        <f>IF(E245&lt;15,(Valores!$C$6/15*E245),Valores!$C$6)</f>
        <v>1038.184</v>
      </c>
      <c r="S245" s="60">
        <v>0</v>
      </c>
      <c r="T245" s="62">
        <f>Valores!$B$8*E245</f>
        <v>493</v>
      </c>
      <c r="U245" s="60">
        <f t="shared" si="31"/>
        <v>493</v>
      </c>
      <c r="V245" s="60">
        <v>0</v>
      </c>
      <c r="W245" s="60">
        <v>0</v>
      </c>
      <c r="X245" s="63">
        <v>0</v>
      </c>
      <c r="Y245" s="60">
        <f>X245*Valores!$B$2</f>
        <v>0</v>
      </c>
      <c r="Z245" s="60">
        <v>0</v>
      </c>
      <c r="AA245" s="64">
        <f t="shared" si="39"/>
        <v>149.93</v>
      </c>
      <c r="AB245" s="60">
        <f t="shared" si="29"/>
        <v>0</v>
      </c>
      <c r="AC245" s="60">
        <f t="shared" si="38"/>
        <v>124.73866666666666</v>
      </c>
      <c r="AD245" s="65">
        <v>0</v>
      </c>
      <c r="AE245" s="60">
        <f>AD245*Valores!$B$2</f>
        <v>0</v>
      </c>
      <c r="AF245" s="66">
        <f t="shared" si="30"/>
        <v>9227.325316666665</v>
      </c>
      <c r="AG245" s="60">
        <v>0</v>
      </c>
      <c r="AH245" s="62">
        <f>Valores!$B$10*E245/30</f>
        <v>710.5</v>
      </c>
      <c r="AI245" s="62">
        <f>Valores!$C$25*'Escala Docente'!E245</f>
        <v>0</v>
      </c>
      <c r="AJ245" s="60">
        <v>0</v>
      </c>
      <c r="AK245" s="67">
        <f t="shared" si="32"/>
        <v>710.5</v>
      </c>
      <c r="AL245" s="62">
        <f t="shared" si="34"/>
        <v>7861.677120416666</v>
      </c>
      <c r="AM245" s="68">
        <f>(7.33*E245)+0.09</f>
        <v>212.66</v>
      </c>
      <c r="AN245" s="69"/>
      <c r="AO245" s="69"/>
      <c r="AP245" s="20" t="s">
        <v>487</v>
      </c>
    </row>
    <row r="246" spans="2:42" s="20" customFormat="1" ht="11.25" customHeight="1" thickTop="1">
      <c r="B246" s="20">
        <v>246</v>
      </c>
      <c r="C246" s="20" t="s">
        <v>478</v>
      </c>
      <c r="D246" s="20" t="s">
        <v>356</v>
      </c>
      <c r="E246" s="20">
        <v>30</v>
      </c>
      <c r="F246" s="21" t="str">
        <f t="shared" si="36"/>
        <v>Hora Cátedra Enseñanza Media 30 hs</v>
      </c>
      <c r="G246" s="28">
        <f t="shared" si="37"/>
        <v>2370</v>
      </c>
      <c r="H246" s="15">
        <f>G246*Valores!$B$2</f>
        <v>5500.77</v>
      </c>
      <c r="I246" s="24">
        <v>0</v>
      </c>
      <c r="J246" s="15">
        <f>I246*Valores!$B$2</f>
        <v>0</v>
      </c>
      <c r="K246" s="27">
        <v>0</v>
      </c>
      <c r="L246" s="15">
        <f>K246*Valores!$B$2</f>
        <v>0</v>
      </c>
      <c r="M246" s="27">
        <v>0</v>
      </c>
      <c r="N246" s="15">
        <f>M246*Valores!$B$2</f>
        <v>0</v>
      </c>
      <c r="O246" s="15">
        <f t="shared" si="33"/>
        <v>901.6155</v>
      </c>
      <c r="P246" s="15">
        <f t="shared" si="28"/>
        <v>0</v>
      </c>
      <c r="Q246" s="17">
        <f>Valores!$B$7*E246</f>
        <v>1275</v>
      </c>
      <c r="R246" s="17">
        <f>IF(E246&lt;15,(Valores!$C$6/15*E246),Valores!$C$6)</f>
        <v>1038.184</v>
      </c>
      <c r="S246" s="15">
        <v>0</v>
      </c>
      <c r="T246" s="17">
        <f>Valores!$B$8*E246</f>
        <v>510</v>
      </c>
      <c r="U246" s="15">
        <f t="shared" si="31"/>
        <v>510</v>
      </c>
      <c r="V246" s="15">
        <v>0</v>
      </c>
      <c r="W246" s="15">
        <v>0</v>
      </c>
      <c r="X246" s="24">
        <v>0</v>
      </c>
      <c r="Y246" s="15">
        <f>X246*Valores!$B$2</f>
        <v>0</v>
      </c>
      <c r="Z246" s="15">
        <v>0</v>
      </c>
      <c r="AA246" s="39">
        <f t="shared" si="39"/>
        <v>155.1</v>
      </c>
      <c r="AB246" s="15">
        <f t="shared" si="29"/>
        <v>0</v>
      </c>
      <c r="AC246" s="15">
        <f t="shared" si="38"/>
        <v>129.04</v>
      </c>
      <c r="AD246" s="16">
        <v>0</v>
      </c>
      <c r="AE246" s="15">
        <f>AD246*Valores!$B$2</f>
        <v>0</v>
      </c>
      <c r="AF246" s="31">
        <f t="shared" si="30"/>
        <v>9509.7095</v>
      </c>
      <c r="AG246" s="15">
        <v>0</v>
      </c>
      <c r="AH246" s="17">
        <f>Valores!$B$10*E246/30</f>
        <v>735</v>
      </c>
      <c r="AI246" s="17">
        <f>Valores!$C$25*'Escala Docente'!E246</f>
        <v>0</v>
      </c>
      <c r="AJ246" s="15">
        <v>0</v>
      </c>
      <c r="AK246" s="25">
        <f t="shared" si="32"/>
        <v>735</v>
      </c>
      <c r="AL246" s="17">
        <f t="shared" si="34"/>
        <v>8105.024862500001</v>
      </c>
      <c r="AM246" s="43">
        <f>(7.33*E246)+0.1</f>
        <v>220</v>
      </c>
      <c r="AN246" s="56"/>
      <c r="AO246" s="56"/>
      <c r="AP246" s="20" t="s">
        <v>487</v>
      </c>
    </row>
    <row r="247" spans="2:42" s="20" customFormat="1" ht="11.25" customHeight="1">
      <c r="B247" s="20">
        <v>247</v>
      </c>
      <c r="D247" s="20" t="s">
        <v>356</v>
      </c>
      <c r="E247" s="20">
        <v>31</v>
      </c>
      <c r="F247" s="21" t="str">
        <f t="shared" si="36"/>
        <v>Hora Cátedra Enseñanza Media 31 hs</v>
      </c>
      <c r="G247" s="28">
        <f t="shared" si="37"/>
        <v>2449</v>
      </c>
      <c r="H247" s="15">
        <f>G247*Valores!$B$2</f>
        <v>5684.129000000001</v>
      </c>
      <c r="I247" s="24">
        <v>0</v>
      </c>
      <c r="J247" s="15">
        <f>I247*Valores!$B$2</f>
        <v>0</v>
      </c>
      <c r="K247" s="27">
        <v>0</v>
      </c>
      <c r="L247" s="15">
        <f>K247*Valores!$B$2</f>
        <v>0</v>
      </c>
      <c r="M247" s="27">
        <v>0</v>
      </c>
      <c r="N247" s="15">
        <f>M247*Valores!$B$2</f>
        <v>0</v>
      </c>
      <c r="O247" s="15">
        <f t="shared" si="33"/>
        <v>931.6693500000001</v>
      </c>
      <c r="P247" s="15">
        <f t="shared" si="28"/>
        <v>0</v>
      </c>
      <c r="Q247" s="17">
        <f>Valores!$B$7*E247</f>
        <v>1317.5</v>
      </c>
      <c r="R247" s="17">
        <f>IF(E247&lt;15,(Valores!$C$6/15*E247),Valores!$C$6)</f>
        <v>1038.184</v>
      </c>
      <c r="S247" s="15">
        <v>0</v>
      </c>
      <c r="T247" s="17">
        <f>Valores!$B$8*E247</f>
        <v>527</v>
      </c>
      <c r="U247" s="15">
        <f t="shared" si="31"/>
        <v>527</v>
      </c>
      <c r="V247" s="15">
        <v>0</v>
      </c>
      <c r="W247" s="15">
        <v>0</v>
      </c>
      <c r="X247" s="24">
        <v>0</v>
      </c>
      <c r="Y247" s="15">
        <f>X247*Valores!$B$2</f>
        <v>0</v>
      </c>
      <c r="Z247" s="15">
        <v>0</v>
      </c>
      <c r="AA247" s="39">
        <f t="shared" si="39"/>
        <v>160.27</v>
      </c>
      <c r="AB247" s="15">
        <f t="shared" si="29"/>
        <v>0</v>
      </c>
      <c r="AC247" s="15">
        <f>129.04/30*E246</f>
        <v>129.04</v>
      </c>
      <c r="AD247" s="16">
        <v>0</v>
      </c>
      <c r="AE247" s="15">
        <f>AD247*Valores!$B$2</f>
        <v>0</v>
      </c>
      <c r="AF247" s="31">
        <f t="shared" si="30"/>
        <v>9787.792350000002</v>
      </c>
      <c r="AG247" s="15">
        <v>0</v>
      </c>
      <c r="AH247" s="17">
        <f>Valores!$B$10*E247/30</f>
        <v>759.5</v>
      </c>
      <c r="AI247" s="17">
        <f>Valores!$C$25*'Escala Docente'!E247</f>
        <v>0</v>
      </c>
      <c r="AJ247" s="15">
        <v>0</v>
      </c>
      <c r="AK247" s="25">
        <f t="shared" si="32"/>
        <v>759.5</v>
      </c>
      <c r="AL247" s="17">
        <f t="shared" si="34"/>
        <v>8345.039071250001</v>
      </c>
      <c r="AM247" s="43">
        <v>220</v>
      </c>
      <c r="AN247" s="56"/>
      <c r="AO247" s="56"/>
      <c r="AP247" s="20" t="s">
        <v>487</v>
      </c>
    </row>
    <row r="248" spans="2:42" s="20" customFormat="1" ht="11.25" customHeight="1">
      <c r="B248" s="20">
        <v>248</v>
      </c>
      <c r="D248" s="20" t="s">
        <v>356</v>
      </c>
      <c r="E248" s="20">
        <v>1</v>
      </c>
      <c r="F248" s="21" t="str">
        <f>CONCATENATE("Hora Cátedra Enseñanza Media ",E248," hs Esc Esp")</f>
        <v>Hora Cátedra Enseñanza Media 1 hs Esc Esp</v>
      </c>
      <c r="G248" s="28">
        <f aca="true" t="shared" si="41" ref="G248:G278">79*E248</f>
        <v>79</v>
      </c>
      <c r="H248" s="15">
        <f>G248*Valores!$B$2</f>
        <v>183.359</v>
      </c>
      <c r="I248" s="24">
        <v>0</v>
      </c>
      <c r="J248" s="15">
        <f>I248*Valores!$B$2</f>
        <v>0</v>
      </c>
      <c r="K248" s="27">
        <v>0</v>
      </c>
      <c r="L248" s="15">
        <f>K248*Valores!$B$2</f>
        <v>0</v>
      </c>
      <c r="M248" s="27">
        <v>0</v>
      </c>
      <c r="N248" s="15">
        <f>M248*Valores!$B$2</f>
        <v>0</v>
      </c>
      <c r="O248" s="15">
        <f t="shared" si="33"/>
        <v>30.05385</v>
      </c>
      <c r="P248" s="15">
        <f t="shared" si="28"/>
        <v>0</v>
      </c>
      <c r="Q248" s="17">
        <f>Valores!$B$7*E248</f>
        <v>42.5</v>
      </c>
      <c r="R248" s="17">
        <f>IF(E248&lt;15,(Valores!$C$6/15*E248),Valores!$C$6)</f>
        <v>69.21226666666666</v>
      </c>
      <c r="S248" s="15">
        <v>0</v>
      </c>
      <c r="T248" s="17">
        <f>Valores!$B$8*E248</f>
        <v>17</v>
      </c>
      <c r="U248" s="15">
        <f t="shared" si="31"/>
        <v>17</v>
      </c>
      <c r="V248" s="15">
        <v>0</v>
      </c>
      <c r="W248" s="15">
        <v>0</v>
      </c>
      <c r="X248" s="24">
        <v>0</v>
      </c>
      <c r="Y248" s="15">
        <f>X248*Valores!$B$2</f>
        <v>0</v>
      </c>
      <c r="Z248" s="15">
        <v>0</v>
      </c>
      <c r="AA248" s="39">
        <f t="shared" si="39"/>
        <v>5.17</v>
      </c>
      <c r="AB248" s="15">
        <f t="shared" si="29"/>
        <v>0</v>
      </c>
      <c r="AC248" s="15">
        <f aca="true" t="shared" si="42" ref="AC248:AC277">129.04/30*E248</f>
        <v>4.301333333333333</v>
      </c>
      <c r="AD248" s="24">
        <v>94</v>
      </c>
      <c r="AE248" s="15">
        <f>AD248*Valores!$B$2</f>
        <v>218.174</v>
      </c>
      <c r="AF248" s="31">
        <f t="shared" si="30"/>
        <v>569.7704500000001</v>
      </c>
      <c r="AG248" s="15">
        <v>0</v>
      </c>
      <c r="AH248" s="17">
        <f>Valores!$B$10*E248/30</f>
        <v>24.5</v>
      </c>
      <c r="AI248" s="17">
        <f>Valores!$C$25*'Escala Docente'!E248</f>
        <v>0</v>
      </c>
      <c r="AJ248" s="15">
        <v>0</v>
      </c>
      <c r="AK248" s="25">
        <f aca="true" t="shared" si="43" ref="AK248:AK278">SUM(AH248:AJ248)</f>
        <v>24.5</v>
      </c>
      <c r="AL248" s="17">
        <f aca="true" t="shared" si="44" ref="AL248:AL278">(AF248*0.775)+AK248</f>
        <v>466.07209875000007</v>
      </c>
      <c r="AM248" s="43">
        <f>7.33*E248</f>
        <v>7.33</v>
      </c>
      <c r="AN248" s="56"/>
      <c r="AO248" s="56">
        <v>4</v>
      </c>
      <c r="AP248" s="20" t="s">
        <v>487</v>
      </c>
    </row>
    <row r="249" spans="2:42" s="20" customFormat="1" ht="11.25" customHeight="1">
      <c r="B249" s="20">
        <v>249</v>
      </c>
      <c r="D249" s="20" t="s">
        <v>356</v>
      </c>
      <c r="E249" s="20">
        <v>2</v>
      </c>
      <c r="F249" s="21" t="str">
        <f aca="true" t="shared" si="45" ref="F249:F278">CONCATENATE("Hora Cátedra Enseñanza Media ",E249," hs Esc Esp")</f>
        <v>Hora Cátedra Enseñanza Media 2 hs Esc Esp</v>
      </c>
      <c r="G249" s="28">
        <f t="shared" si="41"/>
        <v>158</v>
      </c>
      <c r="H249" s="15">
        <f>G249*Valores!$B$2</f>
        <v>366.718</v>
      </c>
      <c r="I249" s="24">
        <v>0</v>
      </c>
      <c r="J249" s="15">
        <f>I249*Valores!$B$2</f>
        <v>0</v>
      </c>
      <c r="K249" s="27">
        <v>0</v>
      </c>
      <c r="L249" s="15">
        <f>K249*Valores!$B$2</f>
        <v>0</v>
      </c>
      <c r="M249" s="27">
        <v>0</v>
      </c>
      <c r="N249" s="15">
        <f>M249*Valores!$B$2</f>
        <v>0</v>
      </c>
      <c r="O249" s="15">
        <f t="shared" si="33"/>
        <v>60.1077</v>
      </c>
      <c r="P249" s="15">
        <f t="shared" si="28"/>
        <v>0</v>
      </c>
      <c r="Q249" s="17">
        <f>Valores!$B$7*E249</f>
        <v>85</v>
      </c>
      <c r="R249" s="17">
        <f>IF(E249&lt;15,(Valores!$C$6/15*E249),Valores!$C$6)</f>
        <v>138.42453333333333</v>
      </c>
      <c r="S249" s="15">
        <v>0</v>
      </c>
      <c r="T249" s="17">
        <f>Valores!$B$8*E249</f>
        <v>34</v>
      </c>
      <c r="U249" s="15">
        <f t="shared" si="31"/>
        <v>34</v>
      </c>
      <c r="V249" s="15">
        <v>0</v>
      </c>
      <c r="W249" s="15">
        <v>0</v>
      </c>
      <c r="X249" s="24">
        <v>0</v>
      </c>
      <c r="Y249" s="15">
        <f>X249*Valores!$B$2</f>
        <v>0</v>
      </c>
      <c r="Z249" s="15">
        <v>0</v>
      </c>
      <c r="AA249" s="39">
        <f t="shared" si="39"/>
        <v>10.34</v>
      </c>
      <c r="AB249" s="15">
        <f t="shared" si="29"/>
        <v>0</v>
      </c>
      <c r="AC249" s="15">
        <f t="shared" si="42"/>
        <v>8.602666666666666</v>
      </c>
      <c r="AD249" s="24">
        <v>94</v>
      </c>
      <c r="AE249" s="15">
        <f>AD249*Valores!$B$2</f>
        <v>218.174</v>
      </c>
      <c r="AF249" s="31">
        <f t="shared" si="30"/>
        <v>921.3669000000001</v>
      </c>
      <c r="AG249" s="15">
        <v>0</v>
      </c>
      <c r="AH249" s="17">
        <f>Valores!$B$10*E249/30</f>
        <v>49</v>
      </c>
      <c r="AI249" s="17">
        <f>Valores!$C$25*'Escala Docente'!E249</f>
        <v>0</v>
      </c>
      <c r="AJ249" s="15">
        <v>0</v>
      </c>
      <c r="AK249" s="25">
        <f t="shared" si="43"/>
        <v>49</v>
      </c>
      <c r="AL249" s="17">
        <f t="shared" si="44"/>
        <v>763.0593475000001</v>
      </c>
      <c r="AM249" s="43">
        <f>(7.33*E249)+0.01</f>
        <v>14.67</v>
      </c>
      <c r="AN249" s="56"/>
      <c r="AO249" s="56"/>
      <c r="AP249" s="20" t="s">
        <v>487</v>
      </c>
    </row>
    <row r="250" spans="2:42" s="20" customFormat="1" ht="11.25" customHeight="1" thickBot="1">
      <c r="B250" s="20">
        <v>250</v>
      </c>
      <c r="D250" s="57" t="s">
        <v>356</v>
      </c>
      <c r="E250" s="57">
        <v>3</v>
      </c>
      <c r="F250" s="58" t="str">
        <f t="shared" si="45"/>
        <v>Hora Cátedra Enseñanza Media 3 hs Esc Esp</v>
      </c>
      <c r="G250" s="59">
        <f t="shared" si="41"/>
        <v>237</v>
      </c>
      <c r="H250" s="60">
        <f>G250*Valores!$B$2</f>
        <v>550.077</v>
      </c>
      <c r="I250" s="63">
        <v>0</v>
      </c>
      <c r="J250" s="60">
        <f>I250*Valores!$B$2</f>
        <v>0</v>
      </c>
      <c r="K250" s="70">
        <v>0</v>
      </c>
      <c r="L250" s="60">
        <f>K250*Valores!$B$2</f>
        <v>0</v>
      </c>
      <c r="M250" s="70">
        <v>0</v>
      </c>
      <c r="N250" s="60">
        <f>M250*Valores!$B$2</f>
        <v>0</v>
      </c>
      <c r="O250" s="60">
        <f t="shared" si="33"/>
        <v>90.16154999999999</v>
      </c>
      <c r="P250" s="60">
        <f t="shared" si="28"/>
        <v>0</v>
      </c>
      <c r="Q250" s="62">
        <f>Valores!$B$7*E250</f>
        <v>127.5</v>
      </c>
      <c r="R250" s="62">
        <f>IF(E250&lt;15,(Valores!$C$6/15*E250),Valores!$C$6)</f>
        <v>207.6368</v>
      </c>
      <c r="S250" s="60">
        <v>0</v>
      </c>
      <c r="T250" s="62">
        <f>Valores!$B$8*E250</f>
        <v>51</v>
      </c>
      <c r="U250" s="60">
        <f t="shared" si="31"/>
        <v>51</v>
      </c>
      <c r="V250" s="60">
        <v>0</v>
      </c>
      <c r="W250" s="60">
        <v>0</v>
      </c>
      <c r="X250" s="63">
        <v>0</v>
      </c>
      <c r="Y250" s="60">
        <f>X250*Valores!$B$2</f>
        <v>0</v>
      </c>
      <c r="Z250" s="60">
        <v>0</v>
      </c>
      <c r="AA250" s="64">
        <f aca="true" t="shared" si="46" ref="AA250:AA279">(5.17)*E250</f>
        <v>15.51</v>
      </c>
      <c r="AB250" s="60">
        <f t="shared" si="29"/>
        <v>0</v>
      </c>
      <c r="AC250" s="60">
        <f t="shared" si="42"/>
        <v>12.904</v>
      </c>
      <c r="AD250" s="63">
        <v>94</v>
      </c>
      <c r="AE250" s="60">
        <f>AD250*Valores!$B$2</f>
        <v>218.174</v>
      </c>
      <c r="AF250" s="66">
        <f t="shared" si="30"/>
        <v>1272.96335</v>
      </c>
      <c r="AG250" s="60">
        <v>0</v>
      </c>
      <c r="AH250" s="62">
        <f>Valores!$B$10*E250/30</f>
        <v>73.5</v>
      </c>
      <c r="AI250" s="62">
        <f>Valores!$C$25*'Escala Docente'!E250</f>
        <v>0</v>
      </c>
      <c r="AJ250" s="60">
        <v>0</v>
      </c>
      <c r="AK250" s="67">
        <f t="shared" si="43"/>
        <v>73.5</v>
      </c>
      <c r="AL250" s="62">
        <f t="shared" si="44"/>
        <v>1060.04659625</v>
      </c>
      <c r="AM250" s="68">
        <f>(7.33*E250)+0.01</f>
        <v>22.000000000000004</v>
      </c>
      <c r="AN250" s="69"/>
      <c r="AO250" s="69"/>
      <c r="AP250" s="20" t="s">
        <v>487</v>
      </c>
    </row>
    <row r="251" spans="2:42" s="20" customFormat="1" ht="11.25" customHeight="1" thickTop="1">
      <c r="B251" s="20">
        <v>251</v>
      </c>
      <c r="D251" s="20" t="s">
        <v>356</v>
      </c>
      <c r="E251" s="20">
        <v>4</v>
      </c>
      <c r="F251" s="21" t="str">
        <f t="shared" si="45"/>
        <v>Hora Cátedra Enseñanza Media 4 hs Esc Esp</v>
      </c>
      <c r="G251" s="28">
        <f t="shared" si="41"/>
        <v>316</v>
      </c>
      <c r="H251" s="15">
        <f>G251*Valores!$B$2</f>
        <v>733.436</v>
      </c>
      <c r="I251" s="24">
        <v>0</v>
      </c>
      <c r="J251" s="15">
        <f>I251*Valores!$B$2</f>
        <v>0</v>
      </c>
      <c r="K251" s="27">
        <v>0</v>
      </c>
      <c r="L251" s="15">
        <f>K251*Valores!$B$2</f>
        <v>0</v>
      </c>
      <c r="M251" s="27">
        <v>0</v>
      </c>
      <c r="N251" s="15">
        <f>M251*Valores!$B$2</f>
        <v>0</v>
      </c>
      <c r="O251" s="15">
        <f t="shared" si="33"/>
        <v>120.2154</v>
      </c>
      <c r="P251" s="15">
        <f t="shared" si="28"/>
        <v>0</v>
      </c>
      <c r="Q251" s="17">
        <f>Valores!$B$7*E251</f>
        <v>170</v>
      </c>
      <c r="R251" s="17">
        <f>IF(E251&lt;15,(Valores!$C$6/15*E251),Valores!$C$6)</f>
        <v>276.84906666666666</v>
      </c>
      <c r="S251" s="15">
        <v>0</v>
      </c>
      <c r="T251" s="17">
        <f>Valores!$B$8*E251</f>
        <v>68</v>
      </c>
      <c r="U251" s="15">
        <f t="shared" si="31"/>
        <v>68</v>
      </c>
      <c r="V251" s="15">
        <v>0</v>
      </c>
      <c r="W251" s="15">
        <v>0</v>
      </c>
      <c r="X251" s="24">
        <v>0</v>
      </c>
      <c r="Y251" s="15">
        <f>X251*Valores!$B$2</f>
        <v>0</v>
      </c>
      <c r="Z251" s="15">
        <v>0</v>
      </c>
      <c r="AA251" s="39">
        <f t="shared" si="46"/>
        <v>20.68</v>
      </c>
      <c r="AB251" s="15">
        <f t="shared" si="29"/>
        <v>0</v>
      </c>
      <c r="AC251" s="15">
        <f t="shared" si="42"/>
        <v>17.205333333333332</v>
      </c>
      <c r="AD251" s="24">
        <v>94</v>
      </c>
      <c r="AE251" s="15">
        <f>AD251*Valores!$B$2</f>
        <v>218.174</v>
      </c>
      <c r="AF251" s="31">
        <f t="shared" si="30"/>
        <v>1624.5598000000002</v>
      </c>
      <c r="AG251" s="15">
        <v>0</v>
      </c>
      <c r="AH251" s="17">
        <f>Valores!$B$10*E251/30</f>
        <v>98</v>
      </c>
      <c r="AI251" s="17">
        <f>Valores!$C$25*'Escala Docente'!E251</f>
        <v>0</v>
      </c>
      <c r="AJ251" s="15">
        <v>0</v>
      </c>
      <c r="AK251" s="25">
        <f t="shared" si="43"/>
        <v>98</v>
      </c>
      <c r="AL251" s="17">
        <f t="shared" si="44"/>
        <v>1357.0338450000002</v>
      </c>
      <c r="AM251" s="43">
        <f>(7.33*E251)+0.01</f>
        <v>29.330000000000002</v>
      </c>
      <c r="AN251" s="56"/>
      <c r="AO251" s="56"/>
      <c r="AP251" s="20" t="s">
        <v>487</v>
      </c>
    </row>
    <row r="252" spans="2:42" s="20" customFormat="1" ht="11.25" customHeight="1">
      <c r="B252" s="20">
        <v>252</v>
      </c>
      <c r="C252" s="20" t="s">
        <v>478</v>
      </c>
      <c r="D252" s="20" t="s">
        <v>356</v>
      </c>
      <c r="E252" s="20">
        <v>5</v>
      </c>
      <c r="F252" s="21" t="str">
        <f t="shared" si="45"/>
        <v>Hora Cátedra Enseñanza Media 5 hs Esc Esp</v>
      </c>
      <c r="G252" s="28">
        <f t="shared" si="41"/>
        <v>395</v>
      </c>
      <c r="H252" s="15">
        <f>G252*Valores!$B$2</f>
        <v>916.7950000000001</v>
      </c>
      <c r="I252" s="24">
        <v>0</v>
      </c>
      <c r="J252" s="15">
        <f>I252*Valores!$B$2</f>
        <v>0</v>
      </c>
      <c r="K252" s="27">
        <v>0</v>
      </c>
      <c r="L252" s="15">
        <f>K252*Valores!$B$2</f>
        <v>0</v>
      </c>
      <c r="M252" s="27">
        <v>0</v>
      </c>
      <c r="N252" s="15">
        <f>M252*Valores!$B$2</f>
        <v>0</v>
      </c>
      <c r="O252" s="15">
        <f t="shared" si="33"/>
        <v>150.26925</v>
      </c>
      <c r="P252" s="15">
        <f t="shared" si="28"/>
        <v>0</v>
      </c>
      <c r="Q252" s="17">
        <f>Valores!$B$7*E252</f>
        <v>212.5</v>
      </c>
      <c r="R252" s="17">
        <f>IF(E252&lt;15,(Valores!$C$6/15*E252),Valores!$C$6)</f>
        <v>346.0613333333333</v>
      </c>
      <c r="S252" s="15">
        <v>0</v>
      </c>
      <c r="T252" s="17">
        <f>Valores!$B$8*E252</f>
        <v>85</v>
      </c>
      <c r="U252" s="15">
        <f t="shared" si="31"/>
        <v>85</v>
      </c>
      <c r="V252" s="15">
        <v>0</v>
      </c>
      <c r="W252" s="15">
        <v>0</v>
      </c>
      <c r="X252" s="24">
        <v>0</v>
      </c>
      <c r="Y252" s="15">
        <f>X252*Valores!$B$2</f>
        <v>0</v>
      </c>
      <c r="Z252" s="15">
        <v>0</v>
      </c>
      <c r="AA252" s="39">
        <f t="shared" si="46"/>
        <v>25.85</v>
      </c>
      <c r="AB252" s="15">
        <f t="shared" si="29"/>
        <v>0</v>
      </c>
      <c r="AC252" s="15">
        <f t="shared" si="42"/>
        <v>21.506666666666664</v>
      </c>
      <c r="AD252" s="24">
        <v>94</v>
      </c>
      <c r="AE252" s="15">
        <f>AD252*Valores!$B$2</f>
        <v>218.174</v>
      </c>
      <c r="AF252" s="31">
        <f t="shared" si="30"/>
        <v>1976.15625</v>
      </c>
      <c r="AG252" s="15">
        <v>0</v>
      </c>
      <c r="AH252" s="17">
        <f>Valores!$B$10*E252/30</f>
        <v>122.5</v>
      </c>
      <c r="AI252" s="17">
        <f>Valores!$C$25*'Escala Docente'!E252</f>
        <v>0</v>
      </c>
      <c r="AJ252" s="15">
        <v>0</v>
      </c>
      <c r="AK252" s="25">
        <f t="shared" si="43"/>
        <v>122.5</v>
      </c>
      <c r="AL252" s="17">
        <f t="shared" si="44"/>
        <v>1654.02109375</v>
      </c>
      <c r="AM252" s="43">
        <f>(7.33*E252)+0.02</f>
        <v>36.67</v>
      </c>
      <c r="AN252" s="56"/>
      <c r="AO252" s="56"/>
      <c r="AP252" s="20" t="s">
        <v>487</v>
      </c>
    </row>
    <row r="253" spans="2:42" s="20" customFormat="1" ht="11.25" customHeight="1">
      <c r="B253" s="20">
        <v>253</v>
      </c>
      <c r="D253" s="20" t="s">
        <v>356</v>
      </c>
      <c r="E253" s="20">
        <v>6</v>
      </c>
      <c r="F253" s="21" t="str">
        <f t="shared" si="45"/>
        <v>Hora Cátedra Enseñanza Media 6 hs Esc Esp</v>
      </c>
      <c r="G253" s="28">
        <f t="shared" si="41"/>
        <v>474</v>
      </c>
      <c r="H253" s="15">
        <f>G253*Valores!$B$2</f>
        <v>1100.154</v>
      </c>
      <c r="I253" s="24">
        <v>0</v>
      </c>
      <c r="J253" s="15">
        <f>I253*Valores!$B$2</f>
        <v>0</v>
      </c>
      <c r="K253" s="27">
        <v>0</v>
      </c>
      <c r="L253" s="15">
        <f>K253*Valores!$B$2</f>
        <v>0</v>
      </c>
      <c r="M253" s="27">
        <v>0</v>
      </c>
      <c r="N253" s="15">
        <f>M253*Valores!$B$2</f>
        <v>0</v>
      </c>
      <c r="O253" s="15">
        <f t="shared" si="33"/>
        <v>180.32309999999998</v>
      </c>
      <c r="P253" s="15">
        <f t="shared" si="28"/>
        <v>0</v>
      </c>
      <c r="Q253" s="17">
        <f>Valores!$B$7*E253</f>
        <v>255</v>
      </c>
      <c r="R253" s="17">
        <f>IF(E253&lt;15,(Valores!$C$6/15*E253),Valores!$C$6)</f>
        <v>415.2736</v>
      </c>
      <c r="S253" s="15">
        <v>0</v>
      </c>
      <c r="T253" s="17">
        <f>Valores!$B$8*E253</f>
        <v>102</v>
      </c>
      <c r="U253" s="15">
        <f t="shared" si="31"/>
        <v>102</v>
      </c>
      <c r="V253" s="15">
        <v>0</v>
      </c>
      <c r="W253" s="15">
        <v>0</v>
      </c>
      <c r="X253" s="24">
        <v>0</v>
      </c>
      <c r="Y253" s="15">
        <f>X253*Valores!$B$2</f>
        <v>0</v>
      </c>
      <c r="Z253" s="15">
        <v>0</v>
      </c>
      <c r="AA253" s="39">
        <f t="shared" si="46"/>
        <v>31.02</v>
      </c>
      <c r="AB253" s="15">
        <f t="shared" si="29"/>
        <v>0</v>
      </c>
      <c r="AC253" s="15">
        <f t="shared" si="42"/>
        <v>25.808</v>
      </c>
      <c r="AD253" s="24">
        <v>94</v>
      </c>
      <c r="AE253" s="15">
        <f>AD253*Valores!$B$2</f>
        <v>218.174</v>
      </c>
      <c r="AF253" s="31">
        <f t="shared" si="30"/>
        <v>2327.7527</v>
      </c>
      <c r="AG253" s="15">
        <v>0</v>
      </c>
      <c r="AH253" s="17">
        <f>Valores!$B$10*E253/30</f>
        <v>147</v>
      </c>
      <c r="AI253" s="17">
        <f>Valores!$C$25*'Escala Docente'!E253</f>
        <v>0</v>
      </c>
      <c r="AJ253" s="15">
        <v>0</v>
      </c>
      <c r="AK253" s="25">
        <f t="shared" si="43"/>
        <v>147</v>
      </c>
      <c r="AL253" s="17">
        <f t="shared" si="44"/>
        <v>1951.0083425</v>
      </c>
      <c r="AM253" s="43">
        <f>(7.33*E253)+0.02</f>
        <v>44.00000000000001</v>
      </c>
      <c r="AN253" s="56"/>
      <c r="AO253" s="56"/>
      <c r="AP253" s="20" t="s">
        <v>487</v>
      </c>
    </row>
    <row r="254" spans="2:42" s="20" customFormat="1" ht="11.25" customHeight="1">
      <c r="B254" s="20">
        <v>254</v>
      </c>
      <c r="D254" s="20" t="s">
        <v>356</v>
      </c>
      <c r="E254" s="20">
        <v>7</v>
      </c>
      <c r="F254" s="21" t="str">
        <f t="shared" si="45"/>
        <v>Hora Cátedra Enseñanza Media 7 hs Esc Esp</v>
      </c>
      <c r="G254" s="28">
        <f t="shared" si="41"/>
        <v>553</v>
      </c>
      <c r="H254" s="15">
        <f>G254*Valores!$B$2</f>
        <v>1283.5130000000001</v>
      </c>
      <c r="I254" s="24">
        <v>0</v>
      </c>
      <c r="J254" s="15">
        <f>I254*Valores!$B$2</f>
        <v>0</v>
      </c>
      <c r="K254" s="27">
        <v>0</v>
      </c>
      <c r="L254" s="15">
        <f>K254*Valores!$B$2</f>
        <v>0</v>
      </c>
      <c r="M254" s="27">
        <v>0</v>
      </c>
      <c r="N254" s="15">
        <f>M254*Valores!$B$2</f>
        <v>0</v>
      </c>
      <c r="O254" s="15">
        <f t="shared" si="33"/>
        <v>210.37695000000002</v>
      </c>
      <c r="P254" s="15">
        <f t="shared" si="28"/>
        <v>0</v>
      </c>
      <c r="Q254" s="17">
        <f>Valores!$B$7*E254</f>
        <v>297.5</v>
      </c>
      <c r="R254" s="17">
        <f>IF(E254&lt;15,(Valores!$C$6/15*E254),Valores!$C$6)</f>
        <v>484.48586666666665</v>
      </c>
      <c r="S254" s="15">
        <v>0</v>
      </c>
      <c r="T254" s="17">
        <f>Valores!$B$8*E254</f>
        <v>119</v>
      </c>
      <c r="U254" s="15">
        <f t="shared" si="31"/>
        <v>119</v>
      </c>
      <c r="V254" s="15">
        <v>0</v>
      </c>
      <c r="W254" s="15">
        <v>0</v>
      </c>
      <c r="X254" s="24">
        <v>0</v>
      </c>
      <c r="Y254" s="15">
        <f>X254*Valores!$B$2</f>
        <v>0</v>
      </c>
      <c r="Z254" s="15">
        <v>0</v>
      </c>
      <c r="AA254" s="39">
        <f t="shared" si="46"/>
        <v>36.19</v>
      </c>
      <c r="AB254" s="15">
        <f t="shared" si="29"/>
        <v>0</v>
      </c>
      <c r="AC254" s="15">
        <f t="shared" si="42"/>
        <v>30.109333333333332</v>
      </c>
      <c r="AD254" s="24">
        <v>94</v>
      </c>
      <c r="AE254" s="15">
        <f>AD254*Valores!$B$2</f>
        <v>218.174</v>
      </c>
      <c r="AF254" s="31">
        <f t="shared" si="30"/>
        <v>2679.34915</v>
      </c>
      <c r="AG254" s="15">
        <v>0</v>
      </c>
      <c r="AH254" s="17">
        <f>Valores!$B$10*E254/30</f>
        <v>171.5</v>
      </c>
      <c r="AI254" s="17">
        <f>Valores!$C$25*'Escala Docente'!E254</f>
        <v>0</v>
      </c>
      <c r="AJ254" s="15">
        <v>0</v>
      </c>
      <c r="AK254" s="25">
        <f t="shared" si="43"/>
        <v>171.5</v>
      </c>
      <c r="AL254" s="17">
        <f t="shared" si="44"/>
        <v>2247.99559125</v>
      </c>
      <c r="AM254" s="43">
        <f>(7.33*E254)+0.02</f>
        <v>51.330000000000005</v>
      </c>
      <c r="AN254" s="56"/>
      <c r="AO254" s="56"/>
      <c r="AP254" s="20" t="s">
        <v>487</v>
      </c>
    </row>
    <row r="255" spans="2:42" s="20" customFormat="1" ht="11.25" customHeight="1" thickBot="1">
      <c r="B255" s="20">
        <v>255</v>
      </c>
      <c r="D255" s="57" t="s">
        <v>356</v>
      </c>
      <c r="E255" s="57">
        <v>8</v>
      </c>
      <c r="F255" s="58" t="str">
        <f t="shared" si="45"/>
        <v>Hora Cátedra Enseñanza Media 8 hs Esc Esp</v>
      </c>
      <c r="G255" s="59">
        <f t="shared" si="41"/>
        <v>632</v>
      </c>
      <c r="H255" s="60">
        <f>G255*Valores!$B$2</f>
        <v>1466.872</v>
      </c>
      <c r="I255" s="63">
        <v>0</v>
      </c>
      <c r="J255" s="60">
        <f>I255*Valores!$B$2</f>
        <v>0</v>
      </c>
      <c r="K255" s="70">
        <v>0</v>
      </c>
      <c r="L255" s="60">
        <f>K255*Valores!$B$2</f>
        <v>0</v>
      </c>
      <c r="M255" s="70">
        <v>0</v>
      </c>
      <c r="N255" s="60">
        <f>M255*Valores!$B$2</f>
        <v>0</v>
      </c>
      <c r="O255" s="60">
        <f t="shared" si="33"/>
        <v>240.4308</v>
      </c>
      <c r="P255" s="60">
        <f t="shared" si="28"/>
        <v>0</v>
      </c>
      <c r="Q255" s="62">
        <f>Valores!$B$7*E255</f>
        <v>340</v>
      </c>
      <c r="R255" s="62">
        <f>IF(E255&lt;15,(Valores!$C$6/15*E255),Valores!$C$6)</f>
        <v>553.6981333333333</v>
      </c>
      <c r="S255" s="60">
        <v>0</v>
      </c>
      <c r="T255" s="62">
        <f>Valores!$B$8*E255</f>
        <v>136</v>
      </c>
      <c r="U255" s="60">
        <f t="shared" si="31"/>
        <v>136</v>
      </c>
      <c r="V255" s="60">
        <v>0</v>
      </c>
      <c r="W255" s="60">
        <v>0</v>
      </c>
      <c r="X255" s="63">
        <v>0</v>
      </c>
      <c r="Y255" s="60">
        <f>X255*Valores!$B$2</f>
        <v>0</v>
      </c>
      <c r="Z255" s="60">
        <v>0</v>
      </c>
      <c r="AA255" s="64">
        <f t="shared" si="46"/>
        <v>41.36</v>
      </c>
      <c r="AB255" s="60">
        <f t="shared" si="29"/>
        <v>0</v>
      </c>
      <c r="AC255" s="60">
        <f t="shared" si="42"/>
        <v>34.410666666666664</v>
      </c>
      <c r="AD255" s="63">
        <v>94</v>
      </c>
      <c r="AE255" s="60">
        <f>AD255*Valores!$B$2</f>
        <v>218.174</v>
      </c>
      <c r="AF255" s="66">
        <f t="shared" si="30"/>
        <v>3030.9456000000005</v>
      </c>
      <c r="AG255" s="60">
        <v>0</v>
      </c>
      <c r="AH255" s="62">
        <f>Valores!$B$10*E255/30</f>
        <v>196</v>
      </c>
      <c r="AI255" s="62">
        <f>Valores!$C$25*'Escala Docente'!E255</f>
        <v>0</v>
      </c>
      <c r="AJ255" s="60">
        <v>0</v>
      </c>
      <c r="AK255" s="67">
        <f t="shared" si="43"/>
        <v>196</v>
      </c>
      <c r="AL255" s="62">
        <f t="shared" si="44"/>
        <v>2544.9828400000006</v>
      </c>
      <c r="AM255" s="68">
        <f>(7.33*E255)+0.03</f>
        <v>58.67</v>
      </c>
      <c r="AN255" s="69"/>
      <c r="AO255" s="69"/>
      <c r="AP255" s="20" t="s">
        <v>487</v>
      </c>
    </row>
    <row r="256" spans="2:42" s="20" customFormat="1" ht="11.25" customHeight="1" thickTop="1">
      <c r="B256" s="20">
        <v>256</v>
      </c>
      <c r="D256" s="20" t="s">
        <v>356</v>
      </c>
      <c r="E256" s="20">
        <v>9</v>
      </c>
      <c r="F256" s="21" t="str">
        <f t="shared" si="45"/>
        <v>Hora Cátedra Enseñanza Media 9 hs Esc Esp</v>
      </c>
      <c r="G256" s="28">
        <f t="shared" si="41"/>
        <v>711</v>
      </c>
      <c r="H256" s="15">
        <f>G256*Valores!$B$2</f>
        <v>1650.2310000000002</v>
      </c>
      <c r="I256" s="24">
        <v>0</v>
      </c>
      <c r="J256" s="15">
        <f>I256*Valores!$B$2</f>
        <v>0</v>
      </c>
      <c r="K256" s="27">
        <v>0</v>
      </c>
      <c r="L256" s="15">
        <f>K256*Valores!$B$2</f>
        <v>0</v>
      </c>
      <c r="M256" s="27">
        <v>0</v>
      </c>
      <c r="N256" s="15">
        <f>M256*Valores!$B$2</f>
        <v>0</v>
      </c>
      <c r="O256" s="15">
        <f t="shared" si="33"/>
        <v>270.48465000000004</v>
      </c>
      <c r="P256" s="15">
        <f t="shared" si="28"/>
        <v>0</v>
      </c>
      <c r="Q256" s="17">
        <f>Valores!$B$7*E256</f>
        <v>382.5</v>
      </c>
      <c r="R256" s="17">
        <f>IF(E256&lt;15,(Valores!$C$6/15*E256),Valores!$C$6)</f>
        <v>622.9104</v>
      </c>
      <c r="S256" s="15">
        <v>0</v>
      </c>
      <c r="T256" s="17">
        <f>Valores!$B$8*E256</f>
        <v>153</v>
      </c>
      <c r="U256" s="15">
        <f t="shared" si="31"/>
        <v>153</v>
      </c>
      <c r="V256" s="15">
        <v>0</v>
      </c>
      <c r="W256" s="15">
        <v>0</v>
      </c>
      <c r="X256" s="24">
        <v>0</v>
      </c>
      <c r="Y256" s="15">
        <f>X256*Valores!$B$2</f>
        <v>0</v>
      </c>
      <c r="Z256" s="15">
        <v>0</v>
      </c>
      <c r="AA256" s="39">
        <f t="shared" si="46"/>
        <v>46.53</v>
      </c>
      <c r="AB256" s="15">
        <f t="shared" si="29"/>
        <v>0</v>
      </c>
      <c r="AC256" s="15">
        <f t="shared" si="42"/>
        <v>38.711999999999996</v>
      </c>
      <c r="AD256" s="24">
        <v>94</v>
      </c>
      <c r="AE256" s="15">
        <f>AD256*Valores!$B$2</f>
        <v>218.174</v>
      </c>
      <c r="AF256" s="31">
        <f t="shared" si="30"/>
        <v>3382.54205</v>
      </c>
      <c r="AG256" s="15">
        <v>0</v>
      </c>
      <c r="AH256" s="17">
        <f>Valores!$B$10*E256/30</f>
        <v>220.5</v>
      </c>
      <c r="AI256" s="17">
        <f>Valores!$C$25*'Escala Docente'!E256</f>
        <v>0</v>
      </c>
      <c r="AJ256" s="15">
        <v>0</v>
      </c>
      <c r="AK256" s="25">
        <f t="shared" si="43"/>
        <v>220.5</v>
      </c>
      <c r="AL256" s="17">
        <f t="shared" si="44"/>
        <v>2841.9700887500003</v>
      </c>
      <c r="AM256" s="43">
        <f>(7.33*E256)+0.03</f>
        <v>66</v>
      </c>
      <c r="AN256" s="56"/>
      <c r="AO256" s="56"/>
      <c r="AP256" s="20" t="s">
        <v>487</v>
      </c>
    </row>
    <row r="257" spans="2:42" s="20" customFormat="1" ht="11.25" customHeight="1">
      <c r="B257" s="20">
        <v>257</v>
      </c>
      <c r="C257" s="20" t="s">
        <v>478</v>
      </c>
      <c r="D257" s="20" t="s">
        <v>356</v>
      </c>
      <c r="E257" s="20">
        <v>10</v>
      </c>
      <c r="F257" s="21" t="str">
        <f t="shared" si="45"/>
        <v>Hora Cátedra Enseñanza Media 10 hs Esc Esp</v>
      </c>
      <c r="G257" s="28">
        <f t="shared" si="41"/>
        <v>790</v>
      </c>
      <c r="H257" s="15">
        <f>G257*Valores!$B$2</f>
        <v>1833.5900000000001</v>
      </c>
      <c r="I257" s="24">
        <v>0</v>
      </c>
      <c r="J257" s="15">
        <f>I257*Valores!$B$2</f>
        <v>0</v>
      </c>
      <c r="K257" s="27">
        <v>0</v>
      </c>
      <c r="L257" s="15">
        <f>K257*Valores!$B$2</f>
        <v>0</v>
      </c>
      <c r="M257" s="27">
        <v>0</v>
      </c>
      <c r="N257" s="15">
        <f>M257*Valores!$B$2</f>
        <v>0</v>
      </c>
      <c r="O257" s="15">
        <f t="shared" si="33"/>
        <v>300.5385</v>
      </c>
      <c r="P257" s="15">
        <f t="shared" si="28"/>
        <v>0</v>
      </c>
      <c r="Q257" s="17">
        <f>Valores!$B$7*E257</f>
        <v>425</v>
      </c>
      <c r="R257" s="17">
        <f>IF(E257&lt;15,(Valores!$C$6/15*E257),Valores!$C$6)</f>
        <v>692.1226666666666</v>
      </c>
      <c r="S257" s="15">
        <v>0</v>
      </c>
      <c r="T257" s="17">
        <f>Valores!$B$8*E257</f>
        <v>170</v>
      </c>
      <c r="U257" s="15">
        <f t="shared" si="31"/>
        <v>170</v>
      </c>
      <c r="V257" s="15">
        <v>0</v>
      </c>
      <c r="W257" s="15">
        <v>0</v>
      </c>
      <c r="X257" s="24">
        <v>0</v>
      </c>
      <c r="Y257" s="15">
        <f>X257*Valores!$B$2</f>
        <v>0</v>
      </c>
      <c r="Z257" s="15">
        <v>0</v>
      </c>
      <c r="AA257" s="39">
        <f t="shared" si="46"/>
        <v>51.7</v>
      </c>
      <c r="AB257" s="15">
        <f t="shared" si="29"/>
        <v>0</v>
      </c>
      <c r="AC257" s="15">
        <f t="shared" si="42"/>
        <v>43.01333333333333</v>
      </c>
      <c r="AD257" s="24">
        <v>94</v>
      </c>
      <c r="AE257" s="15">
        <f>AD257*Valores!$B$2</f>
        <v>218.174</v>
      </c>
      <c r="AF257" s="31">
        <f t="shared" si="30"/>
        <v>3734.1385</v>
      </c>
      <c r="AG257" s="15">
        <v>0</v>
      </c>
      <c r="AH257" s="17">
        <f>Valores!$B$10*E257/30</f>
        <v>245</v>
      </c>
      <c r="AI257" s="17">
        <f>Valores!$C$25*'Escala Docente'!E257</f>
        <v>0</v>
      </c>
      <c r="AJ257" s="15">
        <v>0</v>
      </c>
      <c r="AK257" s="25">
        <f t="shared" si="43"/>
        <v>245</v>
      </c>
      <c r="AL257" s="17">
        <f t="shared" si="44"/>
        <v>3138.9573375</v>
      </c>
      <c r="AM257" s="43">
        <f>(7.33*E257)+0.03</f>
        <v>73.33</v>
      </c>
      <c r="AN257" s="56"/>
      <c r="AO257" s="56"/>
      <c r="AP257" s="20" t="s">
        <v>487</v>
      </c>
    </row>
    <row r="258" spans="2:42" s="20" customFormat="1" ht="11.25" customHeight="1">
      <c r="B258" s="20">
        <v>258</v>
      </c>
      <c r="D258" s="20" t="s">
        <v>356</v>
      </c>
      <c r="E258" s="20">
        <v>11</v>
      </c>
      <c r="F258" s="21" t="str">
        <f t="shared" si="45"/>
        <v>Hora Cátedra Enseñanza Media 11 hs Esc Esp</v>
      </c>
      <c r="G258" s="28">
        <f t="shared" si="41"/>
        <v>869</v>
      </c>
      <c r="H258" s="15">
        <f>G258*Valores!$B$2</f>
        <v>2016.949</v>
      </c>
      <c r="I258" s="24">
        <v>0</v>
      </c>
      <c r="J258" s="15">
        <f>I258*Valores!$B$2</f>
        <v>0</v>
      </c>
      <c r="K258" s="27">
        <v>0</v>
      </c>
      <c r="L258" s="15">
        <f>K258*Valores!$B$2</f>
        <v>0</v>
      </c>
      <c r="M258" s="27">
        <v>0</v>
      </c>
      <c r="N258" s="15">
        <f>M258*Valores!$B$2</f>
        <v>0</v>
      </c>
      <c r="O258" s="15">
        <f t="shared" si="33"/>
        <v>330.59235</v>
      </c>
      <c r="P258" s="15">
        <f t="shared" si="28"/>
        <v>0</v>
      </c>
      <c r="Q258" s="17">
        <f>Valores!$B$7*E258</f>
        <v>467.5</v>
      </c>
      <c r="R258" s="17">
        <f>IF(E258&lt;15,(Valores!$C$6/15*E258),Valores!$C$6)</f>
        <v>761.3349333333333</v>
      </c>
      <c r="S258" s="15">
        <v>0</v>
      </c>
      <c r="T258" s="17">
        <f>Valores!$B$8*E258</f>
        <v>187</v>
      </c>
      <c r="U258" s="15">
        <f t="shared" si="31"/>
        <v>187</v>
      </c>
      <c r="V258" s="15">
        <v>0</v>
      </c>
      <c r="W258" s="15">
        <v>0</v>
      </c>
      <c r="X258" s="24">
        <v>0</v>
      </c>
      <c r="Y258" s="15">
        <f>X258*Valores!$B$2</f>
        <v>0</v>
      </c>
      <c r="Z258" s="15">
        <v>0</v>
      </c>
      <c r="AA258" s="39">
        <f t="shared" si="46"/>
        <v>56.87</v>
      </c>
      <c r="AB258" s="15">
        <f t="shared" si="29"/>
        <v>0</v>
      </c>
      <c r="AC258" s="15">
        <f t="shared" si="42"/>
        <v>47.31466666666666</v>
      </c>
      <c r="AD258" s="24">
        <v>94</v>
      </c>
      <c r="AE258" s="15">
        <f>AD258*Valores!$B$2</f>
        <v>218.174</v>
      </c>
      <c r="AF258" s="31">
        <f t="shared" si="30"/>
        <v>4085.7349499999996</v>
      </c>
      <c r="AG258" s="15">
        <v>0</v>
      </c>
      <c r="AH258" s="17">
        <f>Valores!$B$10*E258/30</f>
        <v>269.5</v>
      </c>
      <c r="AI258" s="17">
        <f>Valores!$C$25*'Escala Docente'!E258</f>
        <v>0</v>
      </c>
      <c r="AJ258" s="15">
        <v>0</v>
      </c>
      <c r="AK258" s="25">
        <f t="shared" si="43"/>
        <v>269.5</v>
      </c>
      <c r="AL258" s="17">
        <f t="shared" si="44"/>
        <v>3435.9445862499997</v>
      </c>
      <c r="AM258" s="43">
        <f>(7.33*E258)+0.04</f>
        <v>80.67</v>
      </c>
      <c r="AN258" s="56"/>
      <c r="AO258" s="56"/>
      <c r="AP258" s="20" t="s">
        <v>487</v>
      </c>
    </row>
    <row r="259" spans="2:42" s="20" customFormat="1" ht="11.25" customHeight="1">
      <c r="B259" s="20">
        <v>259</v>
      </c>
      <c r="D259" s="20" t="s">
        <v>356</v>
      </c>
      <c r="E259" s="20">
        <v>12</v>
      </c>
      <c r="F259" s="21" t="str">
        <f t="shared" si="45"/>
        <v>Hora Cátedra Enseñanza Media 12 hs Esc Esp</v>
      </c>
      <c r="G259" s="28">
        <f t="shared" si="41"/>
        <v>948</v>
      </c>
      <c r="H259" s="15">
        <f>G259*Valores!$B$2</f>
        <v>2200.308</v>
      </c>
      <c r="I259" s="24">
        <v>0</v>
      </c>
      <c r="J259" s="15">
        <f>I259*Valores!$B$2</f>
        <v>0</v>
      </c>
      <c r="K259" s="27">
        <v>0</v>
      </c>
      <c r="L259" s="15">
        <f>K259*Valores!$B$2</f>
        <v>0</v>
      </c>
      <c r="M259" s="27">
        <v>0</v>
      </c>
      <c r="N259" s="15">
        <f>M259*Valores!$B$2</f>
        <v>0</v>
      </c>
      <c r="O259" s="15">
        <f t="shared" si="33"/>
        <v>360.64619999999996</v>
      </c>
      <c r="P259" s="15">
        <f t="shared" si="28"/>
        <v>0</v>
      </c>
      <c r="Q259" s="17">
        <f>Valores!$B$7*E259</f>
        <v>510</v>
      </c>
      <c r="R259" s="17">
        <f>IF(E259&lt;15,(Valores!$C$6/15*E259),Valores!$C$6)</f>
        <v>830.5472</v>
      </c>
      <c r="S259" s="15">
        <v>0</v>
      </c>
      <c r="T259" s="17">
        <f>Valores!$B$8*E259</f>
        <v>204</v>
      </c>
      <c r="U259" s="15">
        <f t="shared" si="31"/>
        <v>204</v>
      </c>
      <c r="V259" s="15">
        <v>0</v>
      </c>
      <c r="W259" s="15">
        <v>0</v>
      </c>
      <c r="X259" s="24">
        <v>0</v>
      </c>
      <c r="Y259" s="15">
        <f>X259*Valores!$B$2</f>
        <v>0</v>
      </c>
      <c r="Z259" s="15">
        <v>0</v>
      </c>
      <c r="AA259" s="39">
        <f t="shared" si="46"/>
        <v>62.04</v>
      </c>
      <c r="AB259" s="15">
        <f t="shared" si="29"/>
        <v>0</v>
      </c>
      <c r="AC259" s="15">
        <f t="shared" si="42"/>
        <v>51.616</v>
      </c>
      <c r="AD259" s="24">
        <v>94</v>
      </c>
      <c r="AE259" s="15">
        <f>AD259*Valores!$B$2</f>
        <v>218.174</v>
      </c>
      <c r="AF259" s="31">
        <f t="shared" si="30"/>
        <v>4437.3314</v>
      </c>
      <c r="AG259" s="15">
        <v>0</v>
      </c>
      <c r="AH259" s="17">
        <f>Valores!$B$10*E259/30</f>
        <v>294</v>
      </c>
      <c r="AI259" s="17">
        <f>Valores!$C$25*'Escala Docente'!E259</f>
        <v>0</v>
      </c>
      <c r="AJ259" s="15">
        <v>0</v>
      </c>
      <c r="AK259" s="25">
        <f t="shared" si="43"/>
        <v>294</v>
      </c>
      <c r="AL259" s="17">
        <f t="shared" si="44"/>
        <v>3732.9318350000003</v>
      </c>
      <c r="AM259" s="43">
        <f>(7.33*E259)+0.04</f>
        <v>88.00000000000001</v>
      </c>
      <c r="AN259" s="56"/>
      <c r="AO259" s="56"/>
      <c r="AP259" s="20" t="s">
        <v>487</v>
      </c>
    </row>
    <row r="260" spans="2:42" s="20" customFormat="1" ht="11.25" customHeight="1" thickBot="1">
      <c r="B260" s="20">
        <v>260</v>
      </c>
      <c r="D260" s="57" t="s">
        <v>356</v>
      </c>
      <c r="E260" s="57">
        <v>13</v>
      </c>
      <c r="F260" s="58" t="str">
        <f t="shared" si="45"/>
        <v>Hora Cátedra Enseñanza Media 13 hs Esc Esp</v>
      </c>
      <c r="G260" s="59">
        <f t="shared" si="41"/>
        <v>1027</v>
      </c>
      <c r="H260" s="60">
        <f>G260*Valores!$B$2</f>
        <v>2383.6670000000004</v>
      </c>
      <c r="I260" s="63">
        <v>0</v>
      </c>
      <c r="J260" s="60">
        <f>I260*Valores!$B$2</f>
        <v>0</v>
      </c>
      <c r="K260" s="70">
        <v>0</v>
      </c>
      <c r="L260" s="60">
        <f>K260*Valores!$B$2</f>
        <v>0</v>
      </c>
      <c r="M260" s="70">
        <v>0</v>
      </c>
      <c r="N260" s="60">
        <f>M260*Valores!$B$2</f>
        <v>0</v>
      </c>
      <c r="O260" s="60">
        <f t="shared" si="33"/>
        <v>390.70005000000003</v>
      </c>
      <c r="P260" s="60">
        <f t="shared" si="28"/>
        <v>0</v>
      </c>
      <c r="Q260" s="62">
        <f>Valores!$B$7*E260</f>
        <v>552.5</v>
      </c>
      <c r="R260" s="62">
        <f>IF(E260&lt;15,(Valores!$C$6/15*E260),Valores!$C$6)</f>
        <v>899.7594666666666</v>
      </c>
      <c r="S260" s="60">
        <v>0</v>
      </c>
      <c r="T260" s="62">
        <f>Valores!$B$8*E260</f>
        <v>221</v>
      </c>
      <c r="U260" s="60">
        <f t="shared" si="31"/>
        <v>221</v>
      </c>
      <c r="V260" s="60">
        <v>0</v>
      </c>
      <c r="W260" s="60">
        <v>0</v>
      </c>
      <c r="X260" s="63">
        <v>0</v>
      </c>
      <c r="Y260" s="60">
        <f>X260*Valores!$B$2</f>
        <v>0</v>
      </c>
      <c r="Z260" s="60">
        <v>0</v>
      </c>
      <c r="AA260" s="64">
        <f t="shared" si="46"/>
        <v>67.21</v>
      </c>
      <c r="AB260" s="60">
        <f t="shared" si="29"/>
        <v>0</v>
      </c>
      <c r="AC260" s="60">
        <f t="shared" si="42"/>
        <v>55.91733333333333</v>
      </c>
      <c r="AD260" s="63">
        <v>94</v>
      </c>
      <c r="AE260" s="60">
        <f>AD260*Valores!$B$2</f>
        <v>218.174</v>
      </c>
      <c r="AF260" s="66">
        <f t="shared" si="30"/>
        <v>4788.927850000001</v>
      </c>
      <c r="AG260" s="60">
        <v>0</v>
      </c>
      <c r="AH260" s="62">
        <f>Valores!$B$10*E260/30</f>
        <v>318.5</v>
      </c>
      <c r="AI260" s="62">
        <f>Valores!$C$25*'Escala Docente'!E260</f>
        <v>0</v>
      </c>
      <c r="AJ260" s="60">
        <v>0</v>
      </c>
      <c r="AK260" s="67">
        <f t="shared" si="43"/>
        <v>318.5</v>
      </c>
      <c r="AL260" s="62">
        <f t="shared" si="44"/>
        <v>4029.919083750001</v>
      </c>
      <c r="AM260" s="68">
        <f>(7.33*E260)+0.04</f>
        <v>95.33000000000001</v>
      </c>
      <c r="AN260" s="69"/>
      <c r="AO260" s="69"/>
      <c r="AP260" s="20" t="s">
        <v>487</v>
      </c>
    </row>
    <row r="261" spans="2:42" s="20" customFormat="1" ht="11.25" customHeight="1" thickTop="1">
      <c r="B261" s="20">
        <v>261</v>
      </c>
      <c r="D261" s="20" t="s">
        <v>356</v>
      </c>
      <c r="E261" s="20">
        <v>14</v>
      </c>
      <c r="F261" s="21" t="str">
        <f t="shared" si="45"/>
        <v>Hora Cátedra Enseñanza Media 14 hs Esc Esp</v>
      </c>
      <c r="G261" s="28">
        <f t="shared" si="41"/>
        <v>1106</v>
      </c>
      <c r="H261" s="15">
        <f>G261*Valores!$B$2</f>
        <v>2567.0260000000003</v>
      </c>
      <c r="I261" s="24">
        <v>0</v>
      </c>
      <c r="J261" s="15">
        <f>I261*Valores!$B$2</f>
        <v>0</v>
      </c>
      <c r="K261" s="27">
        <v>0</v>
      </c>
      <c r="L261" s="15">
        <f>K261*Valores!$B$2</f>
        <v>0</v>
      </c>
      <c r="M261" s="27">
        <v>0</v>
      </c>
      <c r="N261" s="15">
        <f>M261*Valores!$B$2</f>
        <v>0</v>
      </c>
      <c r="O261" s="15">
        <f t="shared" si="33"/>
        <v>420.75390000000004</v>
      </c>
      <c r="P261" s="15">
        <f t="shared" si="28"/>
        <v>0</v>
      </c>
      <c r="Q261" s="17">
        <f>Valores!$B$7*E261</f>
        <v>595</v>
      </c>
      <c r="R261" s="17">
        <f>IF(E261&lt;15,(Valores!$C$6/15*E261),Valores!$C$6)</f>
        <v>968.9717333333333</v>
      </c>
      <c r="S261" s="15">
        <v>0</v>
      </c>
      <c r="T261" s="17">
        <f>Valores!$B$8*E261</f>
        <v>238</v>
      </c>
      <c r="U261" s="15">
        <f t="shared" si="31"/>
        <v>238</v>
      </c>
      <c r="V261" s="15">
        <v>0</v>
      </c>
      <c r="W261" s="15">
        <v>0</v>
      </c>
      <c r="X261" s="24">
        <v>0</v>
      </c>
      <c r="Y261" s="15">
        <f>X261*Valores!$B$2</f>
        <v>0</v>
      </c>
      <c r="Z261" s="15">
        <v>0</v>
      </c>
      <c r="AA261" s="39">
        <f t="shared" si="46"/>
        <v>72.38</v>
      </c>
      <c r="AB261" s="15">
        <f t="shared" si="29"/>
        <v>0</v>
      </c>
      <c r="AC261" s="15">
        <f t="shared" si="42"/>
        <v>60.218666666666664</v>
      </c>
      <c r="AD261" s="24">
        <v>94</v>
      </c>
      <c r="AE261" s="15">
        <f>AD261*Valores!$B$2</f>
        <v>218.174</v>
      </c>
      <c r="AF261" s="31">
        <f t="shared" si="30"/>
        <v>5140.5243</v>
      </c>
      <c r="AG261" s="15">
        <v>0</v>
      </c>
      <c r="AH261" s="17">
        <f>Valores!$B$10*E261/30</f>
        <v>343</v>
      </c>
      <c r="AI261" s="17">
        <f>Valores!$C$25*'Escala Docente'!E261</f>
        <v>0</v>
      </c>
      <c r="AJ261" s="15">
        <v>0</v>
      </c>
      <c r="AK261" s="25">
        <f t="shared" si="43"/>
        <v>343</v>
      </c>
      <c r="AL261" s="17">
        <f t="shared" si="44"/>
        <v>4326.906332500001</v>
      </c>
      <c r="AM261" s="43">
        <f>(7.33*E261)+0.05</f>
        <v>102.67</v>
      </c>
      <c r="AN261" s="56"/>
      <c r="AO261" s="56"/>
      <c r="AP261" s="20" t="s">
        <v>487</v>
      </c>
    </row>
    <row r="262" spans="2:42" s="20" customFormat="1" ht="11.25" customHeight="1">
      <c r="B262" s="20">
        <v>262</v>
      </c>
      <c r="C262" s="20" t="s">
        <v>478</v>
      </c>
      <c r="D262" s="20" t="s">
        <v>356</v>
      </c>
      <c r="E262" s="20">
        <v>15</v>
      </c>
      <c r="F262" s="21" t="str">
        <f t="shared" si="45"/>
        <v>Hora Cátedra Enseñanza Media 15 hs Esc Esp</v>
      </c>
      <c r="G262" s="28">
        <f t="shared" si="41"/>
        <v>1185</v>
      </c>
      <c r="H262" s="15">
        <f>G262*Valores!$B$2</f>
        <v>2750.385</v>
      </c>
      <c r="I262" s="24">
        <v>0</v>
      </c>
      <c r="J262" s="15">
        <f>I262*Valores!$B$2</f>
        <v>0</v>
      </c>
      <c r="K262" s="27">
        <v>0</v>
      </c>
      <c r="L262" s="15">
        <f>K262*Valores!$B$2</f>
        <v>0</v>
      </c>
      <c r="M262" s="27">
        <v>0</v>
      </c>
      <c r="N262" s="15">
        <f>M262*Valores!$B$2</f>
        <v>0</v>
      </c>
      <c r="O262" s="15">
        <f t="shared" si="33"/>
        <v>450.80775</v>
      </c>
      <c r="P262" s="15">
        <f aca="true" t="shared" si="47" ref="P262:P317">SUM(H262,J262,L262,N262,Y262)*$J$1</f>
        <v>0</v>
      </c>
      <c r="Q262" s="17">
        <f>Valores!$B$7*E262</f>
        <v>637.5</v>
      </c>
      <c r="R262" s="17">
        <f>IF(E262&lt;15,(Valores!$C$6/15*E262),Valores!$C$6)</f>
        <v>1038.184</v>
      </c>
      <c r="S262" s="15">
        <v>0</v>
      </c>
      <c r="T262" s="17">
        <f>Valores!$B$8*E262</f>
        <v>255</v>
      </c>
      <c r="U262" s="15">
        <f t="shared" si="31"/>
        <v>255</v>
      </c>
      <c r="V262" s="15">
        <v>0</v>
      </c>
      <c r="W262" s="15">
        <v>0</v>
      </c>
      <c r="X262" s="24">
        <v>0</v>
      </c>
      <c r="Y262" s="15">
        <f>X262*Valores!$B$2</f>
        <v>0</v>
      </c>
      <c r="Z262" s="15">
        <v>0</v>
      </c>
      <c r="AA262" s="39">
        <f t="shared" si="46"/>
        <v>77.55</v>
      </c>
      <c r="AB262" s="15">
        <f aca="true" t="shared" si="48" ref="AB262:AB317">SUM(H262,J262,L262,Y262)*$H$2/100</f>
        <v>0</v>
      </c>
      <c r="AC262" s="15">
        <f t="shared" si="42"/>
        <v>64.52</v>
      </c>
      <c r="AD262" s="24">
        <v>94</v>
      </c>
      <c r="AE262" s="15">
        <f>AD262*Valores!$B$2</f>
        <v>218.174</v>
      </c>
      <c r="AF262" s="31">
        <f aca="true" t="shared" si="49" ref="AF262:AF317">SUM(H262,J262,L262,N262,O262,P262,Q262,R262,S262,U262,V262,W262,Y262,Z262,AA262,AB262,AC262,AE262)</f>
        <v>5492.120750000001</v>
      </c>
      <c r="AG262" s="15">
        <v>0</v>
      </c>
      <c r="AH262" s="17">
        <f>Valores!$B$10*E262/30</f>
        <v>367.5</v>
      </c>
      <c r="AI262" s="17">
        <f>Valores!$C$25*'Escala Docente'!E262</f>
        <v>0</v>
      </c>
      <c r="AJ262" s="15">
        <v>0</v>
      </c>
      <c r="AK262" s="25">
        <f t="shared" si="43"/>
        <v>367.5</v>
      </c>
      <c r="AL262" s="17">
        <f t="shared" si="44"/>
        <v>4623.893581250001</v>
      </c>
      <c r="AM262" s="43">
        <f>(7.33*E262)+0.05</f>
        <v>110</v>
      </c>
      <c r="AN262" s="56"/>
      <c r="AO262" s="56"/>
      <c r="AP262" s="20" t="s">
        <v>487</v>
      </c>
    </row>
    <row r="263" spans="2:42" s="20" customFormat="1" ht="11.25" customHeight="1">
      <c r="B263" s="20">
        <v>263</v>
      </c>
      <c r="D263" s="20" t="s">
        <v>356</v>
      </c>
      <c r="E263" s="20">
        <v>16</v>
      </c>
      <c r="F263" s="21" t="str">
        <f t="shared" si="45"/>
        <v>Hora Cátedra Enseñanza Media 16 hs Esc Esp</v>
      </c>
      <c r="G263" s="28">
        <f t="shared" si="41"/>
        <v>1264</v>
      </c>
      <c r="H263" s="15">
        <f>G263*Valores!$B$2</f>
        <v>2933.744</v>
      </c>
      <c r="I263" s="24">
        <v>0</v>
      </c>
      <c r="J263" s="15">
        <f>I263*Valores!$B$2</f>
        <v>0</v>
      </c>
      <c r="K263" s="27">
        <v>0</v>
      </c>
      <c r="L263" s="15">
        <f>K263*Valores!$B$2</f>
        <v>0</v>
      </c>
      <c r="M263" s="27">
        <v>0</v>
      </c>
      <c r="N263" s="15">
        <f>M263*Valores!$B$2</f>
        <v>0</v>
      </c>
      <c r="O263" s="15">
        <f t="shared" si="33"/>
        <v>480.8616</v>
      </c>
      <c r="P263" s="15">
        <f t="shared" si="47"/>
        <v>0</v>
      </c>
      <c r="Q263" s="17">
        <f>Valores!$B$7*E263</f>
        <v>680</v>
      </c>
      <c r="R263" s="17">
        <f>IF(E263&lt;15,(Valores!$C$6/15*E263),Valores!$C$6)</f>
        <v>1038.184</v>
      </c>
      <c r="S263" s="15">
        <v>0</v>
      </c>
      <c r="T263" s="17">
        <f>Valores!$B$8*E263</f>
        <v>272</v>
      </c>
      <c r="U263" s="15">
        <f t="shared" si="31"/>
        <v>272</v>
      </c>
      <c r="V263" s="15">
        <v>0</v>
      </c>
      <c r="W263" s="15">
        <v>0</v>
      </c>
      <c r="X263" s="24">
        <v>0</v>
      </c>
      <c r="Y263" s="15">
        <f>X263*Valores!$B$2</f>
        <v>0</v>
      </c>
      <c r="Z263" s="15">
        <v>0</v>
      </c>
      <c r="AA263" s="39">
        <f t="shared" si="46"/>
        <v>82.72</v>
      </c>
      <c r="AB263" s="15">
        <f t="shared" si="48"/>
        <v>0</v>
      </c>
      <c r="AC263" s="15">
        <f t="shared" si="42"/>
        <v>68.82133333333333</v>
      </c>
      <c r="AD263" s="24">
        <v>94</v>
      </c>
      <c r="AE263" s="15">
        <f>AD263*Valores!$B$2</f>
        <v>218.174</v>
      </c>
      <c r="AF263" s="31">
        <f t="shared" si="49"/>
        <v>5774.504933333334</v>
      </c>
      <c r="AG263" s="15">
        <v>0</v>
      </c>
      <c r="AH263" s="17">
        <f>Valores!$B$10*E263/30</f>
        <v>392</v>
      </c>
      <c r="AI263" s="17">
        <f>Valores!$C$25*'Escala Docente'!E263</f>
        <v>0</v>
      </c>
      <c r="AJ263" s="15">
        <v>0</v>
      </c>
      <c r="AK263" s="25">
        <f t="shared" si="43"/>
        <v>392</v>
      </c>
      <c r="AL263" s="17">
        <f t="shared" si="44"/>
        <v>4867.241323333334</v>
      </c>
      <c r="AM263" s="43">
        <f>(7.33*E263)+0.05</f>
        <v>117.33</v>
      </c>
      <c r="AN263" s="56"/>
      <c r="AO263" s="56"/>
      <c r="AP263" s="20" t="s">
        <v>487</v>
      </c>
    </row>
    <row r="264" spans="2:42" s="20" customFormat="1" ht="11.25" customHeight="1">
      <c r="B264" s="20">
        <v>264</v>
      </c>
      <c r="D264" s="20" t="s">
        <v>356</v>
      </c>
      <c r="E264" s="20">
        <v>17</v>
      </c>
      <c r="F264" s="21" t="str">
        <f t="shared" si="45"/>
        <v>Hora Cátedra Enseñanza Media 17 hs Esc Esp</v>
      </c>
      <c r="G264" s="28">
        <f t="shared" si="41"/>
        <v>1343</v>
      </c>
      <c r="H264" s="15">
        <f>G264*Valores!$B$2</f>
        <v>3117.103</v>
      </c>
      <c r="I264" s="24">
        <v>0</v>
      </c>
      <c r="J264" s="15">
        <f>I264*Valores!$B$2</f>
        <v>0</v>
      </c>
      <c r="K264" s="27">
        <v>0</v>
      </c>
      <c r="L264" s="15">
        <f>K264*Valores!$B$2</f>
        <v>0</v>
      </c>
      <c r="M264" s="27">
        <v>0</v>
      </c>
      <c r="N264" s="15">
        <f>M264*Valores!$B$2</f>
        <v>0</v>
      </c>
      <c r="O264" s="15">
        <f aca="true" t="shared" si="50" ref="O264:O311">IF($J$1=0,(SUM(H264,J264,L264,N264,Y264,T264)*0.15),0)</f>
        <v>510.91544999999996</v>
      </c>
      <c r="P264" s="15">
        <f t="shared" si="47"/>
        <v>0</v>
      </c>
      <c r="Q264" s="17">
        <f>Valores!$B$7*E264</f>
        <v>722.5</v>
      </c>
      <c r="R264" s="17">
        <f>IF(E264&lt;15,(Valores!$C$6/15*E264),Valores!$C$6)</f>
        <v>1038.184</v>
      </c>
      <c r="S264" s="15">
        <v>0</v>
      </c>
      <c r="T264" s="17">
        <f>Valores!$B$8*E264</f>
        <v>289</v>
      </c>
      <c r="U264" s="15">
        <f t="shared" si="31"/>
        <v>289</v>
      </c>
      <c r="V264" s="15">
        <v>0</v>
      </c>
      <c r="W264" s="15">
        <v>0</v>
      </c>
      <c r="X264" s="24">
        <v>0</v>
      </c>
      <c r="Y264" s="15">
        <f>X264*Valores!$B$2</f>
        <v>0</v>
      </c>
      <c r="Z264" s="15">
        <v>0</v>
      </c>
      <c r="AA264" s="39">
        <f t="shared" si="46"/>
        <v>87.89</v>
      </c>
      <c r="AB264" s="15">
        <f t="shared" si="48"/>
        <v>0</v>
      </c>
      <c r="AC264" s="15">
        <f t="shared" si="42"/>
        <v>73.12266666666666</v>
      </c>
      <c r="AD264" s="24">
        <v>94</v>
      </c>
      <c r="AE264" s="15">
        <f>AD264*Valores!$B$2</f>
        <v>218.174</v>
      </c>
      <c r="AF264" s="31">
        <f t="shared" si="49"/>
        <v>6056.889116666667</v>
      </c>
      <c r="AG264" s="15">
        <v>0</v>
      </c>
      <c r="AH264" s="17">
        <f>Valores!$B$10*E264/30</f>
        <v>416.5</v>
      </c>
      <c r="AI264" s="17">
        <f>Valores!$C$25*'Escala Docente'!E264</f>
        <v>0</v>
      </c>
      <c r="AJ264" s="15">
        <v>0</v>
      </c>
      <c r="AK264" s="25">
        <f t="shared" si="43"/>
        <v>416.5</v>
      </c>
      <c r="AL264" s="17">
        <f t="shared" si="44"/>
        <v>5110.589065416667</v>
      </c>
      <c r="AM264" s="43">
        <f>(7.33*E264)+0.06</f>
        <v>124.67</v>
      </c>
      <c r="AN264" s="56"/>
      <c r="AO264" s="56"/>
      <c r="AP264" s="20" t="s">
        <v>487</v>
      </c>
    </row>
    <row r="265" spans="2:42" s="20" customFormat="1" ht="11.25" customHeight="1" thickBot="1">
      <c r="B265" s="20">
        <v>265</v>
      </c>
      <c r="D265" s="57" t="s">
        <v>356</v>
      </c>
      <c r="E265" s="57">
        <v>18</v>
      </c>
      <c r="F265" s="58" t="str">
        <f t="shared" si="45"/>
        <v>Hora Cátedra Enseñanza Media 18 hs Esc Esp</v>
      </c>
      <c r="G265" s="59">
        <f t="shared" si="41"/>
        <v>1422</v>
      </c>
      <c r="H265" s="60">
        <f>G265*Valores!$B$2</f>
        <v>3300.4620000000004</v>
      </c>
      <c r="I265" s="63">
        <v>0</v>
      </c>
      <c r="J265" s="60">
        <f>I265*Valores!$B$2</f>
        <v>0</v>
      </c>
      <c r="K265" s="70">
        <v>0</v>
      </c>
      <c r="L265" s="60">
        <f>K265*Valores!$B$2</f>
        <v>0</v>
      </c>
      <c r="M265" s="70">
        <v>0</v>
      </c>
      <c r="N265" s="60">
        <f>M265*Valores!$B$2</f>
        <v>0</v>
      </c>
      <c r="O265" s="60">
        <f t="shared" si="50"/>
        <v>540.9693000000001</v>
      </c>
      <c r="P265" s="60">
        <f t="shared" si="47"/>
        <v>0</v>
      </c>
      <c r="Q265" s="62">
        <f>Valores!$B$7*E265</f>
        <v>765</v>
      </c>
      <c r="R265" s="62">
        <f>IF(E265&lt;15,(Valores!$C$6/15*E265),Valores!$C$6)</f>
        <v>1038.184</v>
      </c>
      <c r="S265" s="60">
        <v>0</v>
      </c>
      <c r="T265" s="62">
        <f>Valores!$B$8*E265</f>
        <v>306</v>
      </c>
      <c r="U265" s="60">
        <f t="shared" si="31"/>
        <v>306</v>
      </c>
      <c r="V265" s="60">
        <v>0</v>
      </c>
      <c r="W265" s="60">
        <v>0</v>
      </c>
      <c r="X265" s="63">
        <v>0</v>
      </c>
      <c r="Y265" s="60">
        <f>X265*Valores!$B$2</f>
        <v>0</v>
      </c>
      <c r="Z265" s="60">
        <v>0</v>
      </c>
      <c r="AA265" s="64">
        <f t="shared" si="46"/>
        <v>93.06</v>
      </c>
      <c r="AB265" s="60">
        <f t="shared" si="48"/>
        <v>0</v>
      </c>
      <c r="AC265" s="60">
        <f t="shared" si="42"/>
        <v>77.42399999999999</v>
      </c>
      <c r="AD265" s="63">
        <v>94</v>
      </c>
      <c r="AE265" s="60">
        <f>AD265*Valores!$B$2</f>
        <v>218.174</v>
      </c>
      <c r="AF265" s="66">
        <f t="shared" si="49"/>
        <v>6339.273300000001</v>
      </c>
      <c r="AG265" s="60">
        <v>0</v>
      </c>
      <c r="AH265" s="62">
        <f>Valores!$B$10*E265/30</f>
        <v>441</v>
      </c>
      <c r="AI265" s="62">
        <f>Valores!$C$25*'Escala Docente'!E265</f>
        <v>0</v>
      </c>
      <c r="AJ265" s="60">
        <v>0</v>
      </c>
      <c r="AK265" s="67">
        <f t="shared" si="43"/>
        <v>441</v>
      </c>
      <c r="AL265" s="62">
        <f t="shared" si="44"/>
        <v>5353.936807500001</v>
      </c>
      <c r="AM265" s="68">
        <f>(7.33*E265)+0.06</f>
        <v>132</v>
      </c>
      <c r="AN265" s="69"/>
      <c r="AO265" s="69"/>
      <c r="AP265" s="20" t="s">
        <v>487</v>
      </c>
    </row>
    <row r="266" spans="2:42" s="20" customFormat="1" ht="11.25" customHeight="1" thickTop="1">
      <c r="B266" s="20">
        <v>266</v>
      </c>
      <c r="D266" s="20" t="s">
        <v>356</v>
      </c>
      <c r="E266" s="20">
        <v>19</v>
      </c>
      <c r="F266" s="21" t="str">
        <f t="shared" si="45"/>
        <v>Hora Cátedra Enseñanza Media 19 hs Esc Esp</v>
      </c>
      <c r="G266" s="28">
        <f t="shared" si="41"/>
        <v>1501</v>
      </c>
      <c r="H266" s="15">
        <f>G266*Valores!$B$2</f>
        <v>3483.8210000000004</v>
      </c>
      <c r="I266" s="24">
        <v>0</v>
      </c>
      <c r="J266" s="15">
        <f>I266*Valores!$B$2</f>
        <v>0</v>
      </c>
      <c r="K266" s="27">
        <v>0</v>
      </c>
      <c r="L266" s="15">
        <f>K266*Valores!$B$2</f>
        <v>0</v>
      </c>
      <c r="M266" s="27">
        <v>0</v>
      </c>
      <c r="N266" s="15">
        <f>M266*Valores!$B$2</f>
        <v>0</v>
      </c>
      <c r="O266" s="15">
        <f t="shared" si="50"/>
        <v>571.02315</v>
      </c>
      <c r="P266" s="15">
        <f t="shared" si="47"/>
        <v>0</v>
      </c>
      <c r="Q266" s="17">
        <f>Valores!$B$7*E266</f>
        <v>807.5</v>
      </c>
      <c r="R266" s="17">
        <f>IF(E266&lt;15,(Valores!$C$6/15*E266),Valores!$C$6)</f>
        <v>1038.184</v>
      </c>
      <c r="S266" s="15">
        <v>0</v>
      </c>
      <c r="T266" s="17">
        <f>Valores!$B$8*E266</f>
        <v>323</v>
      </c>
      <c r="U266" s="15">
        <f t="shared" si="31"/>
        <v>323</v>
      </c>
      <c r="V266" s="15">
        <v>0</v>
      </c>
      <c r="W266" s="15">
        <v>0</v>
      </c>
      <c r="X266" s="24">
        <v>0</v>
      </c>
      <c r="Y266" s="15">
        <f>X266*Valores!$B$2</f>
        <v>0</v>
      </c>
      <c r="Z266" s="15">
        <v>0</v>
      </c>
      <c r="AA266" s="39">
        <f t="shared" si="46"/>
        <v>98.23</v>
      </c>
      <c r="AB266" s="15">
        <f t="shared" si="48"/>
        <v>0</v>
      </c>
      <c r="AC266" s="15">
        <f t="shared" si="42"/>
        <v>81.72533333333332</v>
      </c>
      <c r="AD266" s="24">
        <v>94</v>
      </c>
      <c r="AE266" s="15">
        <f>AD266*Valores!$B$2</f>
        <v>218.174</v>
      </c>
      <c r="AF266" s="31">
        <f t="shared" si="49"/>
        <v>6621.657483333334</v>
      </c>
      <c r="AG266" s="15">
        <v>0</v>
      </c>
      <c r="AH266" s="17">
        <f>Valores!$B$10*E266/30</f>
        <v>465.5</v>
      </c>
      <c r="AI266" s="17">
        <f>Valores!$C$25*'Escala Docente'!E266</f>
        <v>0</v>
      </c>
      <c r="AJ266" s="15">
        <v>0</v>
      </c>
      <c r="AK266" s="25">
        <f t="shared" si="43"/>
        <v>465.5</v>
      </c>
      <c r="AL266" s="17">
        <f t="shared" si="44"/>
        <v>5597.284549583334</v>
      </c>
      <c r="AM266" s="43">
        <f>(7.33*E266)+0.06</f>
        <v>139.33</v>
      </c>
      <c r="AN266" s="56"/>
      <c r="AO266" s="56"/>
      <c r="AP266" s="20" t="s">
        <v>487</v>
      </c>
    </row>
    <row r="267" spans="2:42" s="20" customFormat="1" ht="11.25" customHeight="1">
      <c r="B267" s="20">
        <v>267</v>
      </c>
      <c r="C267" s="20" t="s">
        <v>478</v>
      </c>
      <c r="D267" s="20" t="s">
        <v>356</v>
      </c>
      <c r="E267" s="20">
        <v>20</v>
      </c>
      <c r="F267" s="21" t="str">
        <f t="shared" si="45"/>
        <v>Hora Cátedra Enseñanza Media 20 hs Esc Esp</v>
      </c>
      <c r="G267" s="28">
        <f t="shared" si="41"/>
        <v>1580</v>
      </c>
      <c r="H267" s="15">
        <f>G267*Valores!$B$2</f>
        <v>3667.1800000000003</v>
      </c>
      <c r="I267" s="24">
        <v>0</v>
      </c>
      <c r="J267" s="15">
        <f>I267*Valores!$B$2</f>
        <v>0</v>
      </c>
      <c r="K267" s="27">
        <v>0</v>
      </c>
      <c r="L267" s="15">
        <f>K267*Valores!$B$2</f>
        <v>0</v>
      </c>
      <c r="M267" s="27">
        <v>0</v>
      </c>
      <c r="N267" s="15">
        <f>M267*Valores!$B$2</f>
        <v>0</v>
      </c>
      <c r="O267" s="15">
        <f t="shared" si="50"/>
        <v>601.077</v>
      </c>
      <c r="P267" s="15">
        <f t="shared" si="47"/>
        <v>0</v>
      </c>
      <c r="Q267" s="17">
        <f>Valores!$B$7*E267</f>
        <v>850</v>
      </c>
      <c r="R267" s="17">
        <f>IF(E267&lt;15,(Valores!$C$6/15*E267),Valores!$C$6)</f>
        <v>1038.184</v>
      </c>
      <c r="S267" s="15">
        <v>0</v>
      </c>
      <c r="T267" s="17">
        <f>Valores!$B$8*E267</f>
        <v>340</v>
      </c>
      <c r="U267" s="15">
        <f t="shared" si="31"/>
        <v>340</v>
      </c>
      <c r="V267" s="15">
        <v>0</v>
      </c>
      <c r="W267" s="15">
        <v>0</v>
      </c>
      <c r="X267" s="24">
        <v>0</v>
      </c>
      <c r="Y267" s="15">
        <f>X267*Valores!$B$2</f>
        <v>0</v>
      </c>
      <c r="Z267" s="15">
        <v>0</v>
      </c>
      <c r="AA267" s="39">
        <f t="shared" si="46"/>
        <v>103.4</v>
      </c>
      <c r="AB267" s="15">
        <f t="shared" si="48"/>
        <v>0</v>
      </c>
      <c r="AC267" s="15">
        <f t="shared" si="42"/>
        <v>86.02666666666666</v>
      </c>
      <c r="AD267" s="24">
        <v>94</v>
      </c>
      <c r="AE267" s="15">
        <f>AD267*Valores!$B$2</f>
        <v>218.174</v>
      </c>
      <c r="AF267" s="31">
        <f t="shared" si="49"/>
        <v>6904.041666666667</v>
      </c>
      <c r="AG267" s="15">
        <v>0</v>
      </c>
      <c r="AH267" s="17">
        <f>Valores!$B$10*E267/30</f>
        <v>490</v>
      </c>
      <c r="AI267" s="17">
        <f>Valores!$C$25*'Escala Docente'!E267</f>
        <v>0</v>
      </c>
      <c r="AJ267" s="15">
        <v>0</v>
      </c>
      <c r="AK267" s="25">
        <f t="shared" si="43"/>
        <v>490</v>
      </c>
      <c r="AL267" s="17">
        <f t="shared" si="44"/>
        <v>5840.632291666667</v>
      </c>
      <c r="AM267" s="43">
        <f aca="true" t="shared" si="51" ref="AM267:AM274">(7.33*E267)+0.07</f>
        <v>146.67</v>
      </c>
      <c r="AN267" s="56"/>
      <c r="AO267" s="56"/>
      <c r="AP267" s="20" t="s">
        <v>487</v>
      </c>
    </row>
    <row r="268" spans="2:42" s="20" customFormat="1" ht="11.25" customHeight="1">
      <c r="B268" s="20">
        <v>268</v>
      </c>
      <c r="D268" s="20" t="s">
        <v>356</v>
      </c>
      <c r="E268" s="20">
        <v>21</v>
      </c>
      <c r="F268" s="21" t="str">
        <f t="shared" si="45"/>
        <v>Hora Cátedra Enseñanza Media 21 hs Esc Esp</v>
      </c>
      <c r="G268" s="28">
        <f t="shared" si="41"/>
        <v>1659</v>
      </c>
      <c r="H268" s="15">
        <f>G268*Valores!$B$2</f>
        <v>3850.539</v>
      </c>
      <c r="I268" s="24">
        <v>0</v>
      </c>
      <c r="J268" s="15">
        <f>I268*Valores!$B$2</f>
        <v>0</v>
      </c>
      <c r="K268" s="27">
        <v>0</v>
      </c>
      <c r="L268" s="15">
        <f>K268*Valores!$B$2</f>
        <v>0</v>
      </c>
      <c r="M268" s="27">
        <v>0</v>
      </c>
      <c r="N268" s="15">
        <f>M268*Valores!$B$2</f>
        <v>0</v>
      </c>
      <c r="O268" s="15">
        <f t="shared" si="50"/>
        <v>631.1308500000001</v>
      </c>
      <c r="P268" s="15">
        <f t="shared" si="47"/>
        <v>0</v>
      </c>
      <c r="Q268" s="17">
        <f>Valores!$B$7*E268</f>
        <v>892.5</v>
      </c>
      <c r="R268" s="17">
        <f>IF(E268&lt;15,(Valores!$C$6/15*E268),Valores!$C$6)</f>
        <v>1038.184</v>
      </c>
      <c r="S268" s="15">
        <v>0</v>
      </c>
      <c r="T268" s="17">
        <f>Valores!$B$8*E268</f>
        <v>357</v>
      </c>
      <c r="U268" s="15">
        <f t="shared" si="31"/>
        <v>357</v>
      </c>
      <c r="V268" s="15">
        <v>0</v>
      </c>
      <c r="W268" s="15">
        <v>0</v>
      </c>
      <c r="X268" s="24">
        <v>0</v>
      </c>
      <c r="Y268" s="15">
        <f>X268*Valores!$B$2</f>
        <v>0</v>
      </c>
      <c r="Z268" s="15">
        <v>0</v>
      </c>
      <c r="AA268" s="39">
        <f t="shared" si="46"/>
        <v>108.57</v>
      </c>
      <c r="AB268" s="15">
        <f t="shared" si="48"/>
        <v>0</v>
      </c>
      <c r="AC268" s="15">
        <f t="shared" si="42"/>
        <v>90.32799999999999</v>
      </c>
      <c r="AD268" s="24">
        <v>94</v>
      </c>
      <c r="AE268" s="15">
        <f>AD268*Valores!$B$2</f>
        <v>218.174</v>
      </c>
      <c r="AF268" s="31">
        <f t="shared" si="49"/>
        <v>7186.4258500000005</v>
      </c>
      <c r="AG268" s="15">
        <v>0</v>
      </c>
      <c r="AH268" s="17">
        <f>Valores!$B$10*E268/30</f>
        <v>514.5</v>
      </c>
      <c r="AI268" s="17">
        <f>Valores!$C$25*'Escala Docente'!E268</f>
        <v>0</v>
      </c>
      <c r="AJ268" s="15">
        <v>0</v>
      </c>
      <c r="AK268" s="25">
        <f t="shared" si="43"/>
        <v>514.5</v>
      </c>
      <c r="AL268" s="17">
        <f t="shared" si="44"/>
        <v>6083.980033750001</v>
      </c>
      <c r="AM268" s="43">
        <f t="shared" si="51"/>
        <v>154</v>
      </c>
      <c r="AN268" s="56"/>
      <c r="AO268" s="56"/>
      <c r="AP268" s="20" t="s">
        <v>487</v>
      </c>
    </row>
    <row r="269" spans="2:42" s="20" customFormat="1" ht="11.25" customHeight="1">
      <c r="B269" s="20">
        <v>269</v>
      </c>
      <c r="D269" s="20" t="s">
        <v>356</v>
      </c>
      <c r="E269" s="20">
        <v>22</v>
      </c>
      <c r="F269" s="21" t="str">
        <f t="shared" si="45"/>
        <v>Hora Cátedra Enseñanza Media 22 hs Esc Esp</v>
      </c>
      <c r="G269" s="28">
        <f t="shared" si="41"/>
        <v>1738</v>
      </c>
      <c r="H269" s="15">
        <f>G269*Valores!$B$2</f>
        <v>4033.898</v>
      </c>
      <c r="I269" s="24">
        <v>0</v>
      </c>
      <c r="J269" s="15">
        <f>I269*Valores!$B$2</f>
        <v>0</v>
      </c>
      <c r="K269" s="27">
        <v>0</v>
      </c>
      <c r="L269" s="15">
        <f>K269*Valores!$B$2</f>
        <v>0</v>
      </c>
      <c r="M269" s="27">
        <v>0</v>
      </c>
      <c r="N269" s="15">
        <f>M269*Valores!$B$2</f>
        <v>0</v>
      </c>
      <c r="O269" s="15">
        <f t="shared" si="50"/>
        <v>661.1847</v>
      </c>
      <c r="P269" s="15">
        <f t="shared" si="47"/>
        <v>0</v>
      </c>
      <c r="Q269" s="17">
        <f>Valores!$B$7*E269</f>
        <v>935</v>
      </c>
      <c r="R269" s="17">
        <f>IF(E269&lt;15,(Valores!$C$6/15*E269),Valores!$C$6)</f>
        <v>1038.184</v>
      </c>
      <c r="S269" s="15">
        <v>0</v>
      </c>
      <c r="T269" s="17">
        <f>Valores!$B$8*E269</f>
        <v>374</v>
      </c>
      <c r="U269" s="15">
        <f t="shared" si="31"/>
        <v>374</v>
      </c>
      <c r="V269" s="15">
        <v>0</v>
      </c>
      <c r="W269" s="15">
        <v>0</v>
      </c>
      <c r="X269" s="24">
        <v>0</v>
      </c>
      <c r="Y269" s="15">
        <f>X269*Valores!$B$2</f>
        <v>0</v>
      </c>
      <c r="Z269" s="15">
        <v>0</v>
      </c>
      <c r="AA269" s="39">
        <f t="shared" si="46"/>
        <v>113.74</v>
      </c>
      <c r="AB269" s="15">
        <f t="shared" si="48"/>
        <v>0</v>
      </c>
      <c r="AC269" s="15">
        <f t="shared" si="42"/>
        <v>94.62933333333332</v>
      </c>
      <c r="AD269" s="24">
        <v>94</v>
      </c>
      <c r="AE269" s="15">
        <f>AD269*Valores!$B$2</f>
        <v>218.174</v>
      </c>
      <c r="AF269" s="31">
        <f t="shared" si="49"/>
        <v>7468.810033333333</v>
      </c>
      <c r="AG269" s="15">
        <v>0</v>
      </c>
      <c r="AH269" s="17">
        <f>Valores!$B$10*E269/30</f>
        <v>539</v>
      </c>
      <c r="AI269" s="17">
        <f>Valores!$C$25*'Escala Docente'!E269</f>
        <v>0</v>
      </c>
      <c r="AJ269" s="15">
        <v>0</v>
      </c>
      <c r="AK269" s="25">
        <f t="shared" si="43"/>
        <v>539</v>
      </c>
      <c r="AL269" s="17">
        <f t="shared" si="44"/>
        <v>6327.327775833333</v>
      </c>
      <c r="AM269" s="43">
        <f t="shared" si="51"/>
        <v>161.32999999999998</v>
      </c>
      <c r="AN269" s="56"/>
      <c r="AO269" s="56"/>
      <c r="AP269" s="20" t="s">
        <v>487</v>
      </c>
    </row>
    <row r="270" spans="2:42" s="20" customFormat="1" ht="11.25" customHeight="1" thickBot="1">
      <c r="B270" s="20">
        <v>270</v>
      </c>
      <c r="D270" s="57" t="s">
        <v>356</v>
      </c>
      <c r="E270" s="57">
        <v>23</v>
      </c>
      <c r="F270" s="58" t="str">
        <f t="shared" si="45"/>
        <v>Hora Cátedra Enseñanza Media 23 hs Esc Esp</v>
      </c>
      <c r="G270" s="59">
        <f t="shared" si="41"/>
        <v>1817</v>
      </c>
      <c r="H270" s="60">
        <f>G270*Valores!$B$2</f>
        <v>4217.2570000000005</v>
      </c>
      <c r="I270" s="63">
        <v>0</v>
      </c>
      <c r="J270" s="60">
        <f>I270*Valores!$B$2</f>
        <v>0</v>
      </c>
      <c r="K270" s="70">
        <v>0</v>
      </c>
      <c r="L270" s="60">
        <f>K270*Valores!$B$2</f>
        <v>0</v>
      </c>
      <c r="M270" s="70">
        <v>0</v>
      </c>
      <c r="N270" s="60">
        <f>M270*Valores!$B$2</f>
        <v>0</v>
      </c>
      <c r="O270" s="60">
        <f t="shared" si="50"/>
        <v>691.23855</v>
      </c>
      <c r="P270" s="60">
        <f t="shared" si="47"/>
        <v>0</v>
      </c>
      <c r="Q270" s="62">
        <f>Valores!$B$7*E270</f>
        <v>977.5</v>
      </c>
      <c r="R270" s="62">
        <f>IF(E270&lt;15,(Valores!$C$6/15*E270),Valores!$C$6)</f>
        <v>1038.184</v>
      </c>
      <c r="S270" s="60">
        <v>0</v>
      </c>
      <c r="T270" s="62">
        <f>Valores!$B$8*E270</f>
        <v>391</v>
      </c>
      <c r="U270" s="60">
        <f t="shared" si="31"/>
        <v>391</v>
      </c>
      <c r="V270" s="60">
        <v>0</v>
      </c>
      <c r="W270" s="60">
        <v>0</v>
      </c>
      <c r="X270" s="63">
        <v>0</v>
      </c>
      <c r="Y270" s="60">
        <f>X270*Valores!$B$2</f>
        <v>0</v>
      </c>
      <c r="Z270" s="60">
        <v>0</v>
      </c>
      <c r="AA270" s="64">
        <f t="shared" si="46"/>
        <v>118.91</v>
      </c>
      <c r="AB270" s="60">
        <f t="shared" si="48"/>
        <v>0</v>
      </c>
      <c r="AC270" s="60">
        <f t="shared" si="42"/>
        <v>98.93066666666665</v>
      </c>
      <c r="AD270" s="63">
        <v>94</v>
      </c>
      <c r="AE270" s="60">
        <f>AD270*Valores!$B$2</f>
        <v>218.174</v>
      </c>
      <c r="AF270" s="66">
        <f t="shared" si="49"/>
        <v>7751.194216666668</v>
      </c>
      <c r="AG270" s="60">
        <v>0</v>
      </c>
      <c r="AH270" s="62">
        <f>Valores!$B$10*E270/30</f>
        <v>563.5</v>
      </c>
      <c r="AI270" s="62">
        <f>Valores!$C$25*'Escala Docente'!E270</f>
        <v>0</v>
      </c>
      <c r="AJ270" s="60">
        <v>0</v>
      </c>
      <c r="AK270" s="67">
        <f t="shared" si="43"/>
        <v>563.5</v>
      </c>
      <c r="AL270" s="62">
        <f t="shared" si="44"/>
        <v>6570.675517916668</v>
      </c>
      <c r="AM270" s="68">
        <f t="shared" si="51"/>
        <v>168.66</v>
      </c>
      <c r="AN270" s="69"/>
      <c r="AO270" s="69"/>
      <c r="AP270" s="20" t="s">
        <v>487</v>
      </c>
    </row>
    <row r="271" spans="2:42" s="20" customFormat="1" ht="11.25" customHeight="1" thickTop="1">
      <c r="B271" s="20">
        <v>271</v>
      </c>
      <c r="D271" s="20" t="s">
        <v>356</v>
      </c>
      <c r="E271" s="20">
        <v>24</v>
      </c>
      <c r="F271" s="21" t="str">
        <f t="shared" si="45"/>
        <v>Hora Cátedra Enseñanza Media 24 hs Esc Esp</v>
      </c>
      <c r="G271" s="28">
        <f t="shared" si="41"/>
        <v>1896</v>
      </c>
      <c r="H271" s="15">
        <f>G271*Valores!$B$2</f>
        <v>4400.616</v>
      </c>
      <c r="I271" s="24">
        <v>0</v>
      </c>
      <c r="J271" s="15">
        <f>I271*Valores!$B$2</f>
        <v>0</v>
      </c>
      <c r="K271" s="27">
        <v>0</v>
      </c>
      <c r="L271" s="15">
        <f>K271*Valores!$B$2</f>
        <v>0</v>
      </c>
      <c r="M271" s="27">
        <v>0</v>
      </c>
      <c r="N271" s="15">
        <f>M271*Valores!$B$2</f>
        <v>0</v>
      </c>
      <c r="O271" s="15">
        <f t="shared" si="50"/>
        <v>721.2923999999999</v>
      </c>
      <c r="P271" s="15">
        <f t="shared" si="47"/>
        <v>0</v>
      </c>
      <c r="Q271" s="17">
        <f>Valores!$B$7*E271</f>
        <v>1020</v>
      </c>
      <c r="R271" s="17">
        <f>IF(E271&lt;15,(Valores!$C$6/15*E271),Valores!$C$6)</f>
        <v>1038.184</v>
      </c>
      <c r="S271" s="15">
        <v>0</v>
      </c>
      <c r="T271" s="17">
        <f>Valores!$B$8*E271</f>
        <v>408</v>
      </c>
      <c r="U271" s="15">
        <f t="shared" si="31"/>
        <v>408</v>
      </c>
      <c r="V271" s="15">
        <v>0</v>
      </c>
      <c r="W271" s="15">
        <v>0</v>
      </c>
      <c r="X271" s="24">
        <v>0</v>
      </c>
      <c r="Y271" s="15">
        <f>X271*Valores!$B$2</f>
        <v>0</v>
      </c>
      <c r="Z271" s="15">
        <v>0</v>
      </c>
      <c r="AA271" s="39">
        <f t="shared" si="46"/>
        <v>124.08</v>
      </c>
      <c r="AB271" s="15">
        <f t="shared" si="48"/>
        <v>0</v>
      </c>
      <c r="AC271" s="15">
        <f t="shared" si="42"/>
        <v>103.232</v>
      </c>
      <c r="AD271" s="24">
        <v>94</v>
      </c>
      <c r="AE271" s="15">
        <f>AD271*Valores!$B$2</f>
        <v>218.174</v>
      </c>
      <c r="AF271" s="31">
        <f t="shared" si="49"/>
        <v>8033.5784</v>
      </c>
      <c r="AG271" s="15">
        <v>0</v>
      </c>
      <c r="AH271" s="17">
        <f>Valores!$B$10*E271/30</f>
        <v>588</v>
      </c>
      <c r="AI271" s="17">
        <f>Valores!$C$25*'Escala Docente'!E271</f>
        <v>0</v>
      </c>
      <c r="AJ271" s="15">
        <v>0</v>
      </c>
      <c r="AK271" s="25">
        <f t="shared" si="43"/>
        <v>588</v>
      </c>
      <c r="AL271" s="17">
        <f t="shared" si="44"/>
        <v>6814.023260000001</v>
      </c>
      <c r="AM271" s="43">
        <f t="shared" si="51"/>
        <v>175.99</v>
      </c>
      <c r="AN271" s="56"/>
      <c r="AO271" s="56"/>
      <c r="AP271" s="20" t="s">
        <v>487</v>
      </c>
    </row>
    <row r="272" spans="2:42" s="20" customFormat="1" ht="11.25" customHeight="1">
      <c r="B272" s="20">
        <v>272</v>
      </c>
      <c r="C272" s="20" t="s">
        <v>478</v>
      </c>
      <c r="D272" s="20" t="s">
        <v>356</v>
      </c>
      <c r="E272" s="20">
        <v>25</v>
      </c>
      <c r="F272" s="21" t="str">
        <f t="shared" si="45"/>
        <v>Hora Cátedra Enseñanza Media 25 hs Esc Esp</v>
      </c>
      <c r="G272" s="28">
        <f t="shared" si="41"/>
        <v>1975</v>
      </c>
      <c r="H272" s="15">
        <f>G272*Valores!$B$2</f>
        <v>4583.975</v>
      </c>
      <c r="I272" s="24">
        <v>0</v>
      </c>
      <c r="J272" s="15">
        <f>I272*Valores!$B$2</f>
        <v>0</v>
      </c>
      <c r="K272" s="27">
        <v>0</v>
      </c>
      <c r="L272" s="15">
        <f>K272*Valores!$B$2</f>
        <v>0</v>
      </c>
      <c r="M272" s="27">
        <v>0</v>
      </c>
      <c r="N272" s="15">
        <f>M272*Valores!$B$2</f>
        <v>0</v>
      </c>
      <c r="O272" s="15">
        <f t="shared" si="50"/>
        <v>751.34625</v>
      </c>
      <c r="P272" s="15">
        <f t="shared" si="47"/>
        <v>0</v>
      </c>
      <c r="Q272" s="17">
        <f>Valores!$B$7*E272</f>
        <v>1062.5</v>
      </c>
      <c r="R272" s="17">
        <f>IF(E272&lt;15,(Valores!$C$6/15*E272),Valores!$C$6)</f>
        <v>1038.184</v>
      </c>
      <c r="S272" s="15">
        <v>0</v>
      </c>
      <c r="T272" s="17">
        <f>Valores!$B$8*E272</f>
        <v>425</v>
      </c>
      <c r="U272" s="15">
        <f t="shared" si="31"/>
        <v>425</v>
      </c>
      <c r="V272" s="15">
        <v>0</v>
      </c>
      <c r="W272" s="15">
        <v>0</v>
      </c>
      <c r="X272" s="24">
        <v>0</v>
      </c>
      <c r="Y272" s="15">
        <f>X272*Valores!$B$2</f>
        <v>0</v>
      </c>
      <c r="Z272" s="15">
        <v>0</v>
      </c>
      <c r="AA272" s="39">
        <f t="shared" si="46"/>
        <v>129.25</v>
      </c>
      <c r="AB272" s="15">
        <f t="shared" si="48"/>
        <v>0</v>
      </c>
      <c r="AC272" s="15">
        <f t="shared" si="42"/>
        <v>107.53333333333333</v>
      </c>
      <c r="AD272" s="24">
        <v>94</v>
      </c>
      <c r="AE272" s="15">
        <f>AD272*Valores!$B$2</f>
        <v>218.174</v>
      </c>
      <c r="AF272" s="31">
        <f t="shared" si="49"/>
        <v>8315.962583333336</v>
      </c>
      <c r="AG272" s="15">
        <v>0</v>
      </c>
      <c r="AH272" s="17">
        <f>Valores!$B$10*E272/30</f>
        <v>612.5</v>
      </c>
      <c r="AI272" s="17">
        <f>Valores!$C$25*'Escala Docente'!E272</f>
        <v>0</v>
      </c>
      <c r="AJ272" s="15">
        <v>0</v>
      </c>
      <c r="AK272" s="25">
        <f t="shared" si="43"/>
        <v>612.5</v>
      </c>
      <c r="AL272" s="17">
        <f t="shared" si="44"/>
        <v>7057.371002083335</v>
      </c>
      <c r="AM272" s="43">
        <f t="shared" si="51"/>
        <v>183.32</v>
      </c>
      <c r="AN272" s="56"/>
      <c r="AO272" s="56"/>
      <c r="AP272" s="20" t="s">
        <v>487</v>
      </c>
    </row>
    <row r="273" spans="2:42" s="20" customFormat="1" ht="11.25" customHeight="1">
      <c r="B273" s="20">
        <v>273</v>
      </c>
      <c r="D273" s="20" t="s">
        <v>356</v>
      </c>
      <c r="E273" s="20">
        <v>26</v>
      </c>
      <c r="F273" s="21" t="str">
        <f t="shared" si="45"/>
        <v>Hora Cátedra Enseñanza Media 26 hs Esc Esp</v>
      </c>
      <c r="G273" s="28">
        <f t="shared" si="41"/>
        <v>2054</v>
      </c>
      <c r="H273" s="15">
        <f>G273*Valores!$B$2</f>
        <v>4767.334000000001</v>
      </c>
      <c r="I273" s="24">
        <v>0</v>
      </c>
      <c r="J273" s="15">
        <f>I273*Valores!$B$2</f>
        <v>0</v>
      </c>
      <c r="K273" s="27">
        <v>0</v>
      </c>
      <c r="L273" s="15">
        <f>K273*Valores!$B$2</f>
        <v>0</v>
      </c>
      <c r="M273" s="27">
        <v>0</v>
      </c>
      <c r="N273" s="15">
        <f>M273*Valores!$B$2</f>
        <v>0</v>
      </c>
      <c r="O273" s="15">
        <f t="shared" si="50"/>
        <v>781.4001000000001</v>
      </c>
      <c r="P273" s="15">
        <f t="shared" si="47"/>
        <v>0</v>
      </c>
      <c r="Q273" s="17">
        <f>Valores!$B$7*E273</f>
        <v>1105</v>
      </c>
      <c r="R273" s="17">
        <f>IF(E273&lt;15,(Valores!$C$6/15*E273),Valores!$C$6)</f>
        <v>1038.184</v>
      </c>
      <c r="S273" s="15">
        <v>0</v>
      </c>
      <c r="T273" s="17">
        <f>Valores!$B$8*E273</f>
        <v>442</v>
      </c>
      <c r="U273" s="15">
        <f t="shared" si="31"/>
        <v>442</v>
      </c>
      <c r="V273" s="15">
        <v>0</v>
      </c>
      <c r="W273" s="15">
        <v>0</v>
      </c>
      <c r="X273" s="24">
        <v>0</v>
      </c>
      <c r="Y273" s="15">
        <f>X273*Valores!$B$2</f>
        <v>0</v>
      </c>
      <c r="Z273" s="15">
        <v>0</v>
      </c>
      <c r="AA273" s="39">
        <f t="shared" si="46"/>
        <v>134.42</v>
      </c>
      <c r="AB273" s="15">
        <f t="shared" si="48"/>
        <v>0</v>
      </c>
      <c r="AC273" s="15">
        <f t="shared" si="42"/>
        <v>111.83466666666666</v>
      </c>
      <c r="AD273" s="24">
        <v>94</v>
      </c>
      <c r="AE273" s="15">
        <f>AD273*Valores!$B$2</f>
        <v>218.174</v>
      </c>
      <c r="AF273" s="31">
        <f t="shared" si="49"/>
        <v>8598.34676666667</v>
      </c>
      <c r="AG273" s="15">
        <v>0</v>
      </c>
      <c r="AH273" s="17">
        <f>Valores!$B$10*E273/30</f>
        <v>637</v>
      </c>
      <c r="AI273" s="17">
        <f>Valores!$C$25*'Escala Docente'!E273</f>
        <v>0</v>
      </c>
      <c r="AJ273" s="15">
        <v>0</v>
      </c>
      <c r="AK273" s="25">
        <f t="shared" si="43"/>
        <v>637</v>
      </c>
      <c r="AL273" s="17">
        <f t="shared" si="44"/>
        <v>7300.718744166669</v>
      </c>
      <c r="AM273" s="43">
        <f t="shared" si="51"/>
        <v>190.65</v>
      </c>
      <c r="AN273" s="56"/>
      <c r="AO273" s="56"/>
      <c r="AP273" s="20" t="s">
        <v>487</v>
      </c>
    </row>
    <row r="274" spans="2:42" s="20" customFormat="1" ht="11.25" customHeight="1">
      <c r="B274" s="20">
        <v>274</v>
      </c>
      <c r="D274" s="20" t="s">
        <v>356</v>
      </c>
      <c r="E274" s="20">
        <v>27</v>
      </c>
      <c r="F274" s="21" t="str">
        <f t="shared" si="45"/>
        <v>Hora Cátedra Enseñanza Media 27 hs Esc Esp</v>
      </c>
      <c r="G274" s="28">
        <f t="shared" si="41"/>
        <v>2133</v>
      </c>
      <c r="H274" s="15">
        <f>G274*Valores!$B$2</f>
        <v>4950.693</v>
      </c>
      <c r="I274" s="24">
        <v>0</v>
      </c>
      <c r="J274" s="15">
        <f>I274*Valores!$B$2</f>
        <v>0</v>
      </c>
      <c r="K274" s="27">
        <v>0</v>
      </c>
      <c r="L274" s="15">
        <f>K274*Valores!$B$2</f>
        <v>0</v>
      </c>
      <c r="M274" s="27">
        <v>0</v>
      </c>
      <c r="N274" s="15">
        <f>M274*Valores!$B$2</f>
        <v>0</v>
      </c>
      <c r="O274" s="15">
        <f t="shared" si="50"/>
        <v>811.45395</v>
      </c>
      <c r="P274" s="15">
        <f t="shared" si="47"/>
        <v>0</v>
      </c>
      <c r="Q274" s="17">
        <f>Valores!$B$7*E274</f>
        <v>1147.5</v>
      </c>
      <c r="R274" s="17">
        <f>IF(E274&lt;15,(Valores!$C$6/15*E274),Valores!$C$6)</f>
        <v>1038.184</v>
      </c>
      <c r="S274" s="15">
        <v>0</v>
      </c>
      <c r="T274" s="17">
        <f>Valores!$B$8*E274</f>
        <v>459</v>
      </c>
      <c r="U274" s="15">
        <f t="shared" si="31"/>
        <v>459</v>
      </c>
      <c r="V274" s="15">
        <v>0</v>
      </c>
      <c r="W274" s="15">
        <v>0</v>
      </c>
      <c r="X274" s="24">
        <v>0</v>
      </c>
      <c r="Y274" s="15">
        <f>X274*Valores!$B$2</f>
        <v>0</v>
      </c>
      <c r="Z274" s="15">
        <v>0</v>
      </c>
      <c r="AA274" s="39">
        <f t="shared" si="46"/>
        <v>139.59</v>
      </c>
      <c r="AB274" s="15">
        <f t="shared" si="48"/>
        <v>0</v>
      </c>
      <c r="AC274" s="15">
        <f t="shared" si="42"/>
        <v>116.136</v>
      </c>
      <c r="AD274" s="24">
        <v>94</v>
      </c>
      <c r="AE274" s="15">
        <f>AD274*Valores!$B$2</f>
        <v>218.174</v>
      </c>
      <c r="AF274" s="31">
        <f t="shared" si="49"/>
        <v>8880.730950000001</v>
      </c>
      <c r="AG274" s="15">
        <v>0</v>
      </c>
      <c r="AH274" s="17">
        <f>Valores!$B$10*E274/30</f>
        <v>661.5</v>
      </c>
      <c r="AI274" s="17">
        <f>Valores!$C$25*'Escala Docente'!E274</f>
        <v>0</v>
      </c>
      <c r="AJ274" s="15">
        <v>0</v>
      </c>
      <c r="AK274" s="25">
        <f t="shared" si="43"/>
        <v>661.5</v>
      </c>
      <c r="AL274" s="17">
        <f t="shared" si="44"/>
        <v>7544.066486250001</v>
      </c>
      <c r="AM274" s="43">
        <f t="shared" si="51"/>
        <v>197.98</v>
      </c>
      <c r="AN274" s="56"/>
      <c r="AO274" s="56"/>
      <c r="AP274" s="20" t="s">
        <v>487</v>
      </c>
    </row>
    <row r="275" spans="2:42" s="20" customFormat="1" ht="11.25" customHeight="1" thickBot="1">
      <c r="B275" s="20">
        <v>275</v>
      </c>
      <c r="D275" s="57" t="s">
        <v>356</v>
      </c>
      <c r="E275" s="57">
        <v>28</v>
      </c>
      <c r="F275" s="58" t="str">
        <f t="shared" si="45"/>
        <v>Hora Cátedra Enseñanza Media 28 hs Esc Esp</v>
      </c>
      <c r="G275" s="59">
        <f t="shared" si="41"/>
        <v>2212</v>
      </c>
      <c r="H275" s="60">
        <f>G275*Valores!$B$2</f>
        <v>5134.052000000001</v>
      </c>
      <c r="I275" s="63">
        <v>0</v>
      </c>
      <c r="J275" s="60">
        <f>I275*Valores!$B$2</f>
        <v>0</v>
      </c>
      <c r="K275" s="70">
        <v>0</v>
      </c>
      <c r="L275" s="60">
        <f>K275*Valores!$B$2</f>
        <v>0</v>
      </c>
      <c r="M275" s="70">
        <v>0</v>
      </c>
      <c r="N275" s="60">
        <f>M275*Valores!$B$2</f>
        <v>0</v>
      </c>
      <c r="O275" s="60">
        <f t="shared" si="50"/>
        <v>841.5078000000001</v>
      </c>
      <c r="P275" s="60">
        <f t="shared" si="47"/>
        <v>0</v>
      </c>
      <c r="Q275" s="62">
        <f>Valores!$B$7*E275</f>
        <v>1190</v>
      </c>
      <c r="R275" s="62">
        <f>IF(E275&lt;15,(Valores!$C$6/15*E275),Valores!$C$6)</f>
        <v>1038.184</v>
      </c>
      <c r="S275" s="60">
        <v>0</v>
      </c>
      <c r="T275" s="62">
        <f>Valores!$B$8*E275</f>
        <v>476</v>
      </c>
      <c r="U275" s="60">
        <f t="shared" si="31"/>
        <v>476</v>
      </c>
      <c r="V275" s="60">
        <v>0</v>
      </c>
      <c r="W275" s="60">
        <v>0</v>
      </c>
      <c r="X275" s="63">
        <v>0</v>
      </c>
      <c r="Y275" s="60">
        <f>X275*Valores!$B$2</f>
        <v>0</v>
      </c>
      <c r="Z275" s="60">
        <v>0</v>
      </c>
      <c r="AA275" s="64">
        <f t="shared" si="46"/>
        <v>144.76</v>
      </c>
      <c r="AB275" s="60">
        <f t="shared" si="48"/>
        <v>0</v>
      </c>
      <c r="AC275" s="60">
        <f t="shared" si="42"/>
        <v>120.43733333333333</v>
      </c>
      <c r="AD275" s="63">
        <v>94</v>
      </c>
      <c r="AE275" s="60">
        <f>AD275*Valores!$B$2</f>
        <v>218.174</v>
      </c>
      <c r="AF275" s="66">
        <f t="shared" si="49"/>
        <v>9163.115133333335</v>
      </c>
      <c r="AG275" s="60">
        <v>0</v>
      </c>
      <c r="AH275" s="62">
        <f>Valores!$B$10*E275/30</f>
        <v>686</v>
      </c>
      <c r="AI275" s="62">
        <f>Valores!$C$25*'Escala Docente'!E275</f>
        <v>0</v>
      </c>
      <c r="AJ275" s="60">
        <v>0</v>
      </c>
      <c r="AK275" s="67">
        <f t="shared" si="43"/>
        <v>686</v>
      </c>
      <c r="AL275" s="62">
        <f t="shared" si="44"/>
        <v>7787.414228333335</v>
      </c>
      <c r="AM275" s="68">
        <f>(7.33*E275)+0.09</f>
        <v>205.33</v>
      </c>
      <c r="AN275" s="69"/>
      <c r="AO275" s="69"/>
      <c r="AP275" s="20" t="s">
        <v>487</v>
      </c>
    </row>
    <row r="276" spans="2:42" s="20" customFormat="1" ht="11.25" customHeight="1" thickTop="1">
      <c r="B276" s="20">
        <v>276</v>
      </c>
      <c r="D276" s="20" t="s">
        <v>356</v>
      </c>
      <c r="E276" s="20">
        <v>29</v>
      </c>
      <c r="F276" s="21" t="str">
        <f t="shared" si="45"/>
        <v>Hora Cátedra Enseñanza Media 29 hs Esc Esp</v>
      </c>
      <c r="G276" s="28">
        <f t="shared" si="41"/>
        <v>2291</v>
      </c>
      <c r="H276" s="15">
        <f>G276*Valores!$B$2</f>
        <v>5317.411</v>
      </c>
      <c r="I276" s="24">
        <v>0</v>
      </c>
      <c r="J276" s="15">
        <f>I276*Valores!$B$2</f>
        <v>0</v>
      </c>
      <c r="K276" s="27">
        <v>0</v>
      </c>
      <c r="L276" s="15">
        <f>K276*Valores!$B$2</f>
        <v>0</v>
      </c>
      <c r="M276" s="27">
        <v>0</v>
      </c>
      <c r="N276" s="15">
        <f>M276*Valores!$B$2</f>
        <v>0</v>
      </c>
      <c r="O276" s="15">
        <f t="shared" si="50"/>
        <v>871.56165</v>
      </c>
      <c r="P276" s="15">
        <f t="shared" si="47"/>
        <v>0</v>
      </c>
      <c r="Q276" s="17">
        <f>Valores!$B$7*E276</f>
        <v>1232.5</v>
      </c>
      <c r="R276" s="17">
        <f>IF(E276&lt;15,(Valores!$C$6/15*E276),Valores!$C$6)</f>
        <v>1038.184</v>
      </c>
      <c r="S276" s="15">
        <v>0</v>
      </c>
      <c r="T276" s="17">
        <f>Valores!$B$8*E276</f>
        <v>493</v>
      </c>
      <c r="U276" s="15">
        <f t="shared" si="31"/>
        <v>493</v>
      </c>
      <c r="V276" s="15">
        <v>0</v>
      </c>
      <c r="W276" s="15">
        <v>0</v>
      </c>
      <c r="X276" s="24">
        <v>0</v>
      </c>
      <c r="Y276" s="15">
        <f>X276*Valores!$B$2</f>
        <v>0</v>
      </c>
      <c r="Z276" s="15">
        <v>0</v>
      </c>
      <c r="AA276" s="39">
        <f t="shared" si="46"/>
        <v>149.93</v>
      </c>
      <c r="AB276" s="15">
        <f t="shared" si="48"/>
        <v>0</v>
      </c>
      <c r="AC276" s="15">
        <f t="shared" si="42"/>
        <v>124.73866666666666</v>
      </c>
      <c r="AD276" s="24">
        <v>94</v>
      </c>
      <c r="AE276" s="15">
        <f>AD276*Valores!$B$2</f>
        <v>218.174</v>
      </c>
      <c r="AF276" s="31">
        <f t="shared" si="49"/>
        <v>9445.499316666666</v>
      </c>
      <c r="AG276" s="15">
        <v>0</v>
      </c>
      <c r="AH276" s="17">
        <f>Valores!$B$10*E276/30</f>
        <v>710.5</v>
      </c>
      <c r="AI276" s="17">
        <f>Valores!$C$25*'Escala Docente'!E276</f>
        <v>0</v>
      </c>
      <c r="AJ276" s="15">
        <v>0</v>
      </c>
      <c r="AK276" s="25">
        <f t="shared" si="43"/>
        <v>710.5</v>
      </c>
      <c r="AL276" s="17">
        <f t="shared" si="44"/>
        <v>8030.761970416666</v>
      </c>
      <c r="AM276" s="43">
        <f>(7.33*E276)+0.09</f>
        <v>212.66</v>
      </c>
      <c r="AN276" s="56"/>
      <c r="AO276" s="56"/>
      <c r="AP276" s="20" t="s">
        <v>487</v>
      </c>
    </row>
    <row r="277" spans="2:42" s="20" customFormat="1" ht="11.25" customHeight="1">
      <c r="B277" s="20">
        <v>277</v>
      </c>
      <c r="C277" s="20" t="s">
        <v>478</v>
      </c>
      <c r="D277" s="20" t="s">
        <v>356</v>
      </c>
      <c r="E277" s="20">
        <v>30</v>
      </c>
      <c r="F277" s="21" t="str">
        <f t="shared" si="45"/>
        <v>Hora Cátedra Enseñanza Media 30 hs Esc Esp</v>
      </c>
      <c r="G277" s="28">
        <f t="shared" si="41"/>
        <v>2370</v>
      </c>
      <c r="H277" s="15">
        <f>G277*Valores!$B$2</f>
        <v>5500.77</v>
      </c>
      <c r="I277" s="24">
        <v>0</v>
      </c>
      <c r="J277" s="15">
        <f>I277*Valores!$B$2</f>
        <v>0</v>
      </c>
      <c r="K277" s="27">
        <v>0</v>
      </c>
      <c r="L277" s="15">
        <f>K277*Valores!$B$2</f>
        <v>0</v>
      </c>
      <c r="M277" s="27">
        <v>0</v>
      </c>
      <c r="N277" s="15">
        <f>M277*Valores!$B$2</f>
        <v>0</v>
      </c>
      <c r="O277" s="15">
        <f t="shared" si="50"/>
        <v>901.6155</v>
      </c>
      <c r="P277" s="15">
        <f t="shared" si="47"/>
        <v>0</v>
      </c>
      <c r="Q277" s="17">
        <f>Valores!$B$7*E277</f>
        <v>1275</v>
      </c>
      <c r="R277" s="17">
        <f>IF(E277&lt;15,(Valores!$C$6/15*E277),Valores!$C$6)</f>
        <v>1038.184</v>
      </c>
      <c r="S277" s="15">
        <v>0</v>
      </c>
      <c r="T277" s="17">
        <f>Valores!$B$8*E277</f>
        <v>510</v>
      </c>
      <c r="U277" s="15">
        <f t="shared" si="31"/>
        <v>510</v>
      </c>
      <c r="V277" s="15">
        <v>0</v>
      </c>
      <c r="W277" s="15">
        <v>0</v>
      </c>
      <c r="X277" s="24">
        <v>0</v>
      </c>
      <c r="Y277" s="15">
        <f>X277*Valores!$B$2</f>
        <v>0</v>
      </c>
      <c r="Z277" s="15">
        <v>0</v>
      </c>
      <c r="AA277" s="39">
        <f t="shared" si="46"/>
        <v>155.1</v>
      </c>
      <c r="AB277" s="15">
        <f t="shared" si="48"/>
        <v>0</v>
      </c>
      <c r="AC277" s="15">
        <f t="shared" si="42"/>
        <v>129.04</v>
      </c>
      <c r="AD277" s="24">
        <v>94</v>
      </c>
      <c r="AE277" s="15">
        <f>AD277*Valores!$B$2</f>
        <v>218.174</v>
      </c>
      <c r="AF277" s="31">
        <f t="shared" si="49"/>
        <v>9727.883500000002</v>
      </c>
      <c r="AG277" s="15">
        <v>0</v>
      </c>
      <c r="AH277" s="17">
        <f>Valores!$B$10*E277/30</f>
        <v>735</v>
      </c>
      <c r="AI277" s="17">
        <f>Valores!$C$25*'Escala Docente'!E277</f>
        <v>0</v>
      </c>
      <c r="AJ277" s="15">
        <v>0</v>
      </c>
      <c r="AK277" s="25">
        <f t="shared" si="43"/>
        <v>735</v>
      </c>
      <c r="AL277" s="17">
        <f t="shared" si="44"/>
        <v>8274.109712500001</v>
      </c>
      <c r="AM277" s="43">
        <f>(7.33*E277)+0.1</f>
        <v>220</v>
      </c>
      <c r="AN277" s="56"/>
      <c r="AO277" s="56"/>
      <c r="AP277" s="20" t="s">
        <v>487</v>
      </c>
    </row>
    <row r="278" spans="2:42" s="20" customFormat="1" ht="11.25" customHeight="1">
      <c r="B278" s="20">
        <v>278</v>
      </c>
      <c r="D278" s="20" t="s">
        <v>356</v>
      </c>
      <c r="E278" s="20">
        <v>31</v>
      </c>
      <c r="F278" s="21" t="str">
        <f t="shared" si="45"/>
        <v>Hora Cátedra Enseñanza Media 31 hs Esc Esp</v>
      </c>
      <c r="G278" s="28">
        <f t="shared" si="41"/>
        <v>2449</v>
      </c>
      <c r="H278" s="15">
        <f>G278*Valores!$B$2</f>
        <v>5684.129000000001</v>
      </c>
      <c r="I278" s="24">
        <v>0</v>
      </c>
      <c r="J278" s="15">
        <f>I278*Valores!$B$2</f>
        <v>0</v>
      </c>
      <c r="K278" s="27">
        <v>0</v>
      </c>
      <c r="L278" s="15">
        <f>K278*Valores!$B$2</f>
        <v>0</v>
      </c>
      <c r="M278" s="27">
        <v>0</v>
      </c>
      <c r="N278" s="15">
        <f>M278*Valores!$B$2</f>
        <v>0</v>
      </c>
      <c r="O278" s="15">
        <f t="shared" si="50"/>
        <v>931.6693500000001</v>
      </c>
      <c r="P278" s="15">
        <f t="shared" si="47"/>
        <v>0</v>
      </c>
      <c r="Q278" s="17">
        <f>Valores!$B$7*E278</f>
        <v>1317.5</v>
      </c>
      <c r="R278" s="17">
        <f>IF(E278&lt;15,(Valores!$C$6/15*E278),Valores!$C$6)</f>
        <v>1038.184</v>
      </c>
      <c r="S278" s="15">
        <v>0</v>
      </c>
      <c r="T278" s="17">
        <f>Valores!$B$8*E278</f>
        <v>527</v>
      </c>
      <c r="U278" s="15">
        <f t="shared" si="31"/>
        <v>527</v>
      </c>
      <c r="V278" s="15">
        <v>0</v>
      </c>
      <c r="W278" s="15">
        <v>0</v>
      </c>
      <c r="X278" s="24">
        <v>0</v>
      </c>
      <c r="Y278" s="15">
        <f>X278*Valores!$B$2</f>
        <v>0</v>
      </c>
      <c r="Z278" s="15">
        <v>0</v>
      </c>
      <c r="AA278" s="39">
        <f t="shared" si="46"/>
        <v>160.27</v>
      </c>
      <c r="AB278" s="15">
        <f t="shared" si="48"/>
        <v>0</v>
      </c>
      <c r="AC278" s="15">
        <f>129.04/30*E277</f>
        <v>129.04</v>
      </c>
      <c r="AD278" s="24">
        <v>94</v>
      </c>
      <c r="AE278" s="15">
        <f>AD278*Valores!$B$2</f>
        <v>218.174</v>
      </c>
      <c r="AF278" s="31">
        <f t="shared" si="49"/>
        <v>10005.966350000002</v>
      </c>
      <c r="AG278" s="15">
        <v>0</v>
      </c>
      <c r="AH278" s="17">
        <f>Valores!$B$10*E278/30</f>
        <v>759.5</v>
      </c>
      <c r="AI278" s="17">
        <f>Valores!$C$25*'Escala Docente'!E278</f>
        <v>0</v>
      </c>
      <c r="AJ278" s="15">
        <v>0</v>
      </c>
      <c r="AK278" s="25">
        <f t="shared" si="43"/>
        <v>759.5</v>
      </c>
      <c r="AL278" s="17">
        <f t="shared" si="44"/>
        <v>8514.123921250002</v>
      </c>
      <c r="AM278" s="43">
        <v>220</v>
      </c>
      <c r="AN278" s="56"/>
      <c r="AO278" s="56"/>
      <c r="AP278" s="20" t="s">
        <v>487</v>
      </c>
    </row>
    <row r="279" spans="2:42" s="20" customFormat="1" ht="11.25" customHeight="1">
      <c r="B279" s="20">
        <v>279</v>
      </c>
      <c r="D279" s="20" t="s">
        <v>357</v>
      </c>
      <c r="E279" s="20">
        <v>1</v>
      </c>
      <c r="F279" s="21" t="s">
        <v>358</v>
      </c>
      <c r="G279" s="28">
        <v>79</v>
      </c>
      <c r="H279" s="15">
        <f>G279*Valores!$B$2</f>
        <v>183.359</v>
      </c>
      <c r="I279" s="24">
        <v>0</v>
      </c>
      <c r="J279" s="15">
        <f>I279*Valores!$B$2</f>
        <v>0</v>
      </c>
      <c r="K279" s="27">
        <v>0</v>
      </c>
      <c r="L279" s="15">
        <f>K279*Valores!$B$2</f>
        <v>0</v>
      </c>
      <c r="M279" s="27">
        <v>0</v>
      </c>
      <c r="N279" s="15">
        <f>M279*Valores!$B$2</f>
        <v>0</v>
      </c>
      <c r="O279" s="15">
        <f t="shared" si="50"/>
        <v>30.05385</v>
      </c>
      <c r="P279" s="15">
        <f t="shared" si="47"/>
        <v>0</v>
      </c>
      <c r="Q279" s="17">
        <f>Valores!$B$7*E279</f>
        <v>42.5</v>
      </c>
      <c r="R279" s="17">
        <f>IF(E279&lt;15,(Valores!$C$6/15*E279),Valores!$C$6)</f>
        <v>69.21226666666666</v>
      </c>
      <c r="S279" s="15">
        <v>0</v>
      </c>
      <c r="T279" s="17">
        <f>Valores!$B$8*E279</f>
        <v>17</v>
      </c>
      <c r="U279" s="15">
        <f t="shared" si="31"/>
        <v>17</v>
      </c>
      <c r="V279" s="15">
        <v>0</v>
      </c>
      <c r="W279" s="15">
        <v>0</v>
      </c>
      <c r="X279" s="24">
        <v>0</v>
      </c>
      <c r="Y279" s="15">
        <f>X279*Valores!$B$2</f>
        <v>0</v>
      </c>
      <c r="Z279" s="15">
        <v>0</v>
      </c>
      <c r="AA279" s="39">
        <f t="shared" si="46"/>
        <v>5.17</v>
      </c>
      <c r="AB279" s="15">
        <f t="shared" si="48"/>
        <v>0</v>
      </c>
      <c r="AC279" s="15">
        <f>129.04/30</f>
        <v>4.301333333333333</v>
      </c>
      <c r="AD279" s="16">
        <v>0</v>
      </c>
      <c r="AE279" s="15">
        <f>AD279*Valores!$B$2</f>
        <v>0</v>
      </c>
      <c r="AF279" s="31">
        <f t="shared" si="49"/>
        <v>351.59645000000006</v>
      </c>
      <c r="AG279" s="15">
        <v>0</v>
      </c>
      <c r="AH279" s="17">
        <f>IF(E279&lt;31,Valores!$B$10*E279/30,Valores!$B$10*30/30)</f>
        <v>24.5</v>
      </c>
      <c r="AI279" s="17">
        <v>0</v>
      </c>
      <c r="AJ279" s="15">
        <v>0</v>
      </c>
      <c r="AK279" s="25">
        <f t="shared" si="32"/>
        <v>24.5</v>
      </c>
      <c r="AL279" s="17">
        <f t="shared" si="34"/>
        <v>296.98724875000005</v>
      </c>
      <c r="AM279" s="43">
        <v>7.33</v>
      </c>
      <c r="AN279" s="56"/>
      <c r="AO279" s="56">
        <v>4</v>
      </c>
      <c r="AP279" s="20" t="s">
        <v>487</v>
      </c>
    </row>
    <row r="280" spans="2:42" s="20" customFormat="1" ht="11.25" customHeight="1" thickBot="1">
      <c r="B280" s="20">
        <v>280</v>
      </c>
      <c r="D280" s="57" t="s">
        <v>457</v>
      </c>
      <c r="E280" s="57"/>
      <c r="F280" s="58" t="s">
        <v>461</v>
      </c>
      <c r="G280" s="72">
        <v>192</v>
      </c>
      <c r="H280" s="60">
        <f>G280*Valores!$B$2</f>
        <v>445.63200000000006</v>
      </c>
      <c r="I280" s="63">
        <v>0</v>
      </c>
      <c r="J280" s="60">
        <f>I280*Valores!$B$2</f>
        <v>0</v>
      </c>
      <c r="K280" s="70">
        <v>0</v>
      </c>
      <c r="L280" s="60">
        <f>K280*Valores!$B$2</f>
        <v>0</v>
      </c>
      <c r="M280" s="70">
        <v>0</v>
      </c>
      <c r="N280" s="60">
        <f>M280*Valores!$B$2</f>
        <v>0</v>
      </c>
      <c r="O280" s="60">
        <f t="shared" si="50"/>
        <v>66.8448</v>
      </c>
      <c r="P280" s="60">
        <f t="shared" si="47"/>
        <v>0</v>
      </c>
      <c r="Q280" s="62">
        <v>0</v>
      </c>
      <c r="R280" s="62">
        <v>0</v>
      </c>
      <c r="S280" s="60">
        <v>0</v>
      </c>
      <c r="T280" s="62">
        <v>0</v>
      </c>
      <c r="U280" s="60">
        <f t="shared" si="31"/>
        <v>0</v>
      </c>
      <c r="V280" s="60">
        <v>0</v>
      </c>
      <c r="W280" s="60">
        <v>0</v>
      </c>
      <c r="X280" s="63">
        <v>0</v>
      </c>
      <c r="Y280" s="60">
        <v>0</v>
      </c>
      <c r="Z280" s="60">
        <v>0</v>
      </c>
      <c r="AA280" s="64">
        <v>0</v>
      </c>
      <c r="AB280" s="60">
        <f t="shared" si="48"/>
        <v>0</v>
      </c>
      <c r="AC280" s="60">
        <v>0</v>
      </c>
      <c r="AD280" s="65">
        <v>0</v>
      </c>
      <c r="AE280" s="60">
        <v>0</v>
      </c>
      <c r="AF280" s="66">
        <f t="shared" si="49"/>
        <v>512.4768</v>
      </c>
      <c r="AG280" s="60">
        <v>0</v>
      </c>
      <c r="AH280" s="60">
        <v>0</v>
      </c>
      <c r="AI280" s="62"/>
      <c r="AJ280" s="60">
        <v>0</v>
      </c>
      <c r="AK280" s="67">
        <f t="shared" si="32"/>
        <v>0</v>
      </c>
      <c r="AL280" s="62">
        <f t="shared" si="34"/>
        <v>397.16952000000003</v>
      </c>
      <c r="AM280" s="68"/>
      <c r="AN280" s="69"/>
      <c r="AO280" s="69"/>
      <c r="AP280" s="20" t="s">
        <v>487</v>
      </c>
    </row>
    <row r="281" spans="2:42" s="20" customFormat="1" ht="11.25" customHeight="1" thickTop="1">
      <c r="B281" s="20">
        <v>281</v>
      </c>
      <c r="F281" s="21" t="s">
        <v>359</v>
      </c>
      <c r="G281" s="28">
        <f>G37+I37+K37</f>
        <v>4792</v>
      </c>
      <c r="H281" s="15">
        <f>H37+J37+L37</f>
        <v>11122.232</v>
      </c>
      <c r="I281" s="24">
        <v>0</v>
      </c>
      <c r="J281" s="15">
        <f>I281*Valores!$B$2</f>
        <v>0</v>
      </c>
      <c r="K281" s="27">
        <v>0</v>
      </c>
      <c r="L281" s="15">
        <f>K281*Valores!$B$2</f>
        <v>0</v>
      </c>
      <c r="M281" s="27">
        <v>0</v>
      </c>
      <c r="N281" s="15">
        <f>M281*Valores!$B$2</f>
        <v>0</v>
      </c>
      <c r="O281" s="15">
        <f t="shared" si="50"/>
        <v>1781.5847999999999</v>
      </c>
      <c r="P281" s="15">
        <f t="shared" si="47"/>
        <v>0</v>
      </c>
      <c r="Q281" s="17">
        <f>Q37</f>
        <v>1685</v>
      </c>
      <c r="R281" s="17">
        <f>R37</f>
        <v>1038.184</v>
      </c>
      <c r="S281" s="17">
        <f>S37</f>
        <v>0</v>
      </c>
      <c r="T281" s="15">
        <f>T37</f>
        <v>755</v>
      </c>
      <c r="U281" s="17">
        <f aca="true" t="shared" si="52" ref="U281:AA281">U37</f>
        <v>755</v>
      </c>
      <c r="V281" s="17">
        <f t="shared" si="52"/>
        <v>0</v>
      </c>
      <c r="W281" s="17">
        <f t="shared" si="52"/>
        <v>0</v>
      </c>
      <c r="X281" s="17">
        <f t="shared" si="52"/>
        <v>0</v>
      </c>
      <c r="Y281" s="17">
        <f t="shared" si="52"/>
        <v>0</v>
      </c>
      <c r="Z281" s="17">
        <f t="shared" si="52"/>
        <v>0</v>
      </c>
      <c r="AA281" s="39">
        <f t="shared" si="52"/>
        <v>129.04</v>
      </c>
      <c r="AB281" s="15">
        <f t="shared" si="48"/>
        <v>0</v>
      </c>
      <c r="AC281" s="26">
        <f>AC37</f>
        <v>129.04</v>
      </c>
      <c r="AD281" s="17">
        <f>AD37</f>
        <v>0</v>
      </c>
      <c r="AE281" s="17">
        <f>AE37</f>
        <v>0</v>
      </c>
      <c r="AF281" s="31">
        <f t="shared" si="49"/>
        <v>16640.0808</v>
      </c>
      <c r="AG281" s="15">
        <v>0</v>
      </c>
      <c r="AH281" s="17">
        <f>AH37</f>
        <v>0</v>
      </c>
      <c r="AI281" s="17">
        <v>0</v>
      </c>
      <c r="AJ281" s="17">
        <v>0</v>
      </c>
      <c r="AK281" s="25">
        <f t="shared" si="32"/>
        <v>0</v>
      </c>
      <c r="AL281" s="17">
        <f t="shared" si="34"/>
        <v>12896.06262</v>
      </c>
      <c r="AM281" s="43"/>
      <c r="AN281" s="56"/>
      <c r="AO281" s="56"/>
      <c r="AP281" s="20" t="s">
        <v>486</v>
      </c>
    </row>
    <row r="282" spans="2:42" s="20" customFormat="1" ht="11.25" customHeight="1">
      <c r="B282" s="20">
        <v>282</v>
      </c>
      <c r="C282" s="20" t="s">
        <v>478</v>
      </c>
      <c r="F282" s="21" t="s">
        <v>360</v>
      </c>
      <c r="G282" s="28">
        <f>G83+I83+G286</f>
        <v>2363</v>
      </c>
      <c r="H282" s="15">
        <f>G282*Valores!$B$2</f>
        <v>5484.523</v>
      </c>
      <c r="I282" s="24">
        <v>0</v>
      </c>
      <c r="J282" s="15">
        <f>I282*Valores!$B$2</f>
        <v>0</v>
      </c>
      <c r="K282" s="27">
        <v>0</v>
      </c>
      <c r="L282" s="15">
        <f>K282*Valores!$B$2</f>
        <v>0</v>
      </c>
      <c r="M282" s="27">
        <v>0</v>
      </c>
      <c r="N282" s="15">
        <f>M282*Valores!$B$2</f>
        <v>0</v>
      </c>
      <c r="O282" s="15">
        <f t="shared" si="50"/>
        <v>935.92845</v>
      </c>
      <c r="P282" s="15">
        <f t="shared" si="47"/>
        <v>0</v>
      </c>
      <c r="Q282" s="17">
        <f>Q83+Q286</f>
        <v>1185</v>
      </c>
      <c r="R282" s="17">
        <f>R83</f>
        <v>1038.184</v>
      </c>
      <c r="S282" s="17">
        <f>S83+S286</f>
        <v>870</v>
      </c>
      <c r="T282" s="17">
        <f>T83</f>
        <v>755</v>
      </c>
      <c r="U282" s="17">
        <f>U83+U286</f>
        <v>755</v>
      </c>
      <c r="V282" s="15">
        <v>0</v>
      </c>
      <c r="W282" s="15">
        <v>0</v>
      </c>
      <c r="X282" s="24">
        <v>0</v>
      </c>
      <c r="Y282" s="15">
        <f>X282*Valores!$B$2</f>
        <v>0</v>
      </c>
      <c r="Z282" s="15">
        <v>0</v>
      </c>
      <c r="AA282" s="39">
        <f>AA83</f>
        <v>129.04</v>
      </c>
      <c r="AB282" s="15">
        <f t="shared" si="48"/>
        <v>0</v>
      </c>
      <c r="AC282" s="26">
        <f>AC83</f>
        <v>129.04</v>
      </c>
      <c r="AD282" s="16">
        <v>0</v>
      </c>
      <c r="AE282" s="15">
        <f>AD282*Valores!$B$2</f>
        <v>0</v>
      </c>
      <c r="AF282" s="31">
        <f t="shared" si="49"/>
        <v>10526.715450000002</v>
      </c>
      <c r="AG282" s="15">
        <f>AG83</f>
        <v>0</v>
      </c>
      <c r="AH282" s="17">
        <f>AH83</f>
        <v>373.03438500000004</v>
      </c>
      <c r="AI282" s="17">
        <v>0</v>
      </c>
      <c r="AJ282" s="15">
        <v>0</v>
      </c>
      <c r="AK282" s="25">
        <f t="shared" si="32"/>
        <v>373.03438500000004</v>
      </c>
      <c r="AL282" s="17">
        <f t="shared" si="34"/>
        <v>8531.238858750003</v>
      </c>
      <c r="AM282" s="43"/>
      <c r="AN282" s="56"/>
      <c r="AO282" s="56"/>
      <c r="AP282" s="20" t="s">
        <v>486</v>
      </c>
    </row>
    <row r="283" spans="2:42" s="20" customFormat="1" ht="11.25" customHeight="1">
      <c r="B283" s="20">
        <v>283</v>
      </c>
      <c r="F283" s="21" t="s">
        <v>361</v>
      </c>
      <c r="G283" s="28">
        <f>(G50+I50+G222)</f>
        <v>3258</v>
      </c>
      <c r="H283" s="15">
        <f>G283*Valores!$B$2</f>
        <v>7561.818</v>
      </c>
      <c r="I283" s="24">
        <v>0</v>
      </c>
      <c r="J283" s="15">
        <f>I283*Valores!$B$2</f>
        <v>0</v>
      </c>
      <c r="K283" s="27">
        <v>0</v>
      </c>
      <c r="L283" s="15">
        <f>K283*Valores!$B$2</f>
        <v>0</v>
      </c>
      <c r="M283" s="27">
        <v>0</v>
      </c>
      <c r="N283" s="15">
        <f>M283*Valores!$B$2</f>
        <v>0</v>
      </c>
      <c r="O283" s="15">
        <f t="shared" si="50"/>
        <v>1262.8227</v>
      </c>
      <c r="P283" s="15">
        <f t="shared" si="47"/>
        <v>0</v>
      </c>
      <c r="Q283" s="15">
        <f>Q50+Q222</f>
        <v>1440</v>
      </c>
      <c r="R283" s="17">
        <f>Valores!$C$6</f>
        <v>1038.184</v>
      </c>
      <c r="S283" s="15">
        <f>S50+S222</f>
        <v>870</v>
      </c>
      <c r="T283" s="15">
        <f>T50+T222</f>
        <v>857</v>
      </c>
      <c r="U283" s="15">
        <f aca="true" t="shared" si="53" ref="U283:U317">T283*(1+$J$1)</f>
        <v>857</v>
      </c>
      <c r="V283" s="15">
        <v>0</v>
      </c>
      <c r="W283" s="15">
        <v>0</v>
      </c>
      <c r="X283" s="24">
        <v>0</v>
      </c>
      <c r="Y283" s="15">
        <f>X283*Valores!$B$2</f>
        <v>0</v>
      </c>
      <c r="Z283" s="15">
        <v>0</v>
      </c>
      <c r="AA283" s="39">
        <f>AA50+AA222</f>
        <v>160.06</v>
      </c>
      <c r="AB283" s="15">
        <f t="shared" si="48"/>
        <v>0</v>
      </c>
      <c r="AC283" s="15">
        <f>AC50</f>
        <v>129.04</v>
      </c>
      <c r="AD283" s="16">
        <v>0</v>
      </c>
      <c r="AE283" s="15">
        <f>AD283*Valores!$B$2</f>
        <v>0</v>
      </c>
      <c r="AF283" s="31">
        <f t="shared" si="49"/>
        <v>13318.9247</v>
      </c>
      <c r="AG283" s="15">
        <v>0</v>
      </c>
      <c r="AH283" s="39">
        <f>AH50+AH222</f>
        <v>487</v>
      </c>
      <c r="AI283" s="39">
        <v>0</v>
      </c>
      <c r="AJ283" s="15">
        <v>0</v>
      </c>
      <c r="AK283" s="25">
        <f t="shared" si="32"/>
        <v>487</v>
      </c>
      <c r="AL283" s="17">
        <f t="shared" si="34"/>
        <v>10809.1666425</v>
      </c>
      <c r="AM283" s="43"/>
      <c r="AN283" s="56"/>
      <c r="AO283" s="56"/>
      <c r="AP283" s="20" t="s">
        <v>486</v>
      </c>
    </row>
    <row r="284" spans="2:42" ht="11.25" customHeight="1">
      <c r="B284" s="20">
        <v>284</v>
      </c>
      <c r="C284" s="20"/>
      <c r="D284" s="85"/>
      <c r="E284" s="86">
        <v>1</v>
      </c>
      <c r="F284" s="19" t="s">
        <v>420</v>
      </c>
      <c r="G284" s="32">
        <v>566</v>
      </c>
      <c r="H284" s="15">
        <f>G284*Valores!$B$2</f>
        <v>1313.6860000000001</v>
      </c>
      <c r="I284" s="24">
        <v>0</v>
      </c>
      <c r="J284" s="15">
        <f>I284*Valores!$B$2</f>
        <v>0</v>
      </c>
      <c r="K284" s="27">
        <v>0</v>
      </c>
      <c r="L284" s="15">
        <f>K284*Valores!$B$2</f>
        <v>0</v>
      </c>
      <c r="M284" s="27">
        <v>0</v>
      </c>
      <c r="N284" s="15">
        <f>M284*Valores!$B$2</f>
        <v>0</v>
      </c>
      <c r="O284" s="15">
        <f t="shared" si="50"/>
        <v>197.05290000000002</v>
      </c>
      <c r="P284" s="15">
        <f t="shared" si="47"/>
        <v>0</v>
      </c>
      <c r="Q284" s="17">
        <v>0</v>
      </c>
      <c r="R284" s="17">
        <v>0</v>
      </c>
      <c r="S284" s="15">
        <v>0</v>
      </c>
      <c r="T284" s="17">
        <v>0</v>
      </c>
      <c r="U284" s="15">
        <f t="shared" si="53"/>
        <v>0</v>
      </c>
      <c r="V284" s="15">
        <v>0</v>
      </c>
      <c r="W284" s="15">
        <v>0</v>
      </c>
      <c r="X284" s="24">
        <v>0</v>
      </c>
      <c r="Y284" s="15">
        <v>0</v>
      </c>
      <c r="Z284" s="15">
        <v>0</v>
      </c>
      <c r="AA284" s="39">
        <v>0</v>
      </c>
      <c r="AB284" s="15">
        <f t="shared" si="48"/>
        <v>0</v>
      </c>
      <c r="AC284" s="15">
        <v>0</v>
      </c>
      <c r="AD284" s="16">
        <v>0</v>
      </c>
      <c r="AE284" s="15">
        <v>0</v>
      </c>
      <c r="AF284" s="31">
        <f t="shared" si="49"/>
        <v>1510.7389000000003</v>
      </c>
      <c r="AG284" s="15">
        <v>0</v>
      </c>
      <c r="AH284" s="15">
        <v>0</v>
      </c>
      <c r="AI284" s="15">
        <v>0</v>
      </c>
      <c r="AJ284" s="15">
        <v>0</v>
      </c>
      <c r="AK284" s="25">
        <f t="shared" si="32"/>
        <v>0</v>
      </c>
      <c r="AL284" s="17">
        <f t="shared" si="34"/>
        <v>1170.8226475000004</v>
      </c>
      <c r="AP284" s="20" t="s">
        <v>487</v>
      </c>
    </row>
    <row r="285" spans="2:42" ht="11.25" customHeight="1" thickBot="1">
      <c r="B285" s="20">
        <v>285</v>
      </c>
      <c r="C285" s="20"/>
      <c r="D285" s="73"/>
      <c r="E285" s="87">
        <v>1</v>
      </c>
      <c r="F285" s="74" t="s">
        <v>421</v>
      </c>
      <c r="G285" s="72">
        <v>399</v>
      </c>
      <c r="H285" s="60">
        <f>G285*Valores!$B$2</f>
        <v>926.0790000000001</v>
      </c>
      <c r="I285" s="63">
        <v>0</v>
      </c>
      <c r="J285" s="60">
        <f>I285*Valores!$B$2</f>
        <v>0</v>
      </c>
      <c r="K285" s="70">
        <v>0</v>
      </c>
      <c r="L285" s="60">
        <f>K285*Valores!$B$2</f>
        <v>0</v>
      </c>
      <c r="M285" s="70">
        <v>0</v>
      </c>
      <c r="N285" s="60">
        <f>M285*Valores!$B$2</f>
        <v>0</v>
      </c>
      <c r="O285" s="60">
        <f t="shared" si="50"/>
        <v>138.91185000000002</v>
      </c>
      <c r="P285" s="60">
        <f t="shared" si="47"/>
        <v>0</v>
      </c>
      <c r="Q285" s="62">
        <v>0</v>
      </c>
      <c r="R285" s="62">
        <v>0</v>
      </c>
      <c r="S285" s="60">
        <v>0</v>
      </c>
      <c r="T285" s="62">
        <v>0</v>
      </c>
      <c r="U285" s="60">
        <f t="shared" si="53"/>
        <v>0</v>
      </c>
      <c r="V285" s="60">
        <v>0</v>
      </c>
      <c r="W285" s="60">
        <v>0</v>
      </c>
      <c r="X285" s="63">
        <v>0</v>
      </c>
      <c r="Y285" s="60">
        <v>0</v>
      </c>
      <c r="Z285" s="60">
        <v>0</v>
      </c>
      <c r="AA285" s="64">
        <v>0</v>
      </c>
      <c r="AB285" s="60">
        <f t="shared" si="48"/>
        <v>0</v>
      </c>
      <c r="AC285" s="60">
        <v>0</v>
      </c>
      <c r="AD285" s="65">
        <v>0</v>
      </c>
      <c r="AE285" s="60">
        <v>0</v>
      </c>
      <c r="AF285" s="66">
        <f t="shared" si="49"/>
        <v>1064.9908500000001</v>
      </c>
      <c r="AG285" s="60">
        <v>0</v>
      </c>
      <c r="AH285" s="60">
        <v>0</v>
      </c>
      <c r="AI285" s="60">
        <v>0</v>
      </c>
      <c r="AJ285" s="60">
        <v>0</v>
      </c>
      <c r="AK285" s="67">
        <f t="shared" si="32"/>
        <v>0</v>
      </c>
      <c r="AL285" s="62">
        <f t="shared" si="34"/>
        <v>825.3679087500001</v>
      </c>
      <c r="AM285" s="75"/>
      <c r="AN285" s="73"/>
      <c r="AO285" s="73"/>
      <c r="AP285" s="20" t="s">
        <v>487</v>
      </c>
    </row>
    <row r="286" spans="2:42" ht="11.25" customHeight="1" thickTop="1">
      <c r="B286" s="20">
        <v>286</v>
      </c>
      <c r="C286" s="20"/>
      <c r="E286" s="86">
        <v>1</v>
      </c>
      <c r="F286" s="19" t="s">
        <v>422</v>
      </c>
      <c r="G286" s="32">
        <v>148</v>
      </c>
      <c r="H286" s="15">
        <f>G286*Valores!$B$2</f>
        <v>343.50800000000004</v>
      </c>
      <c r="I286" s="24">
        <v>0</v>
      </c>
      <c r="J286" s="15">
        <f>I286*Valores!$B$2</f>
        <v>0</v>
      </c>
      <c r="K286" s="27">
        <v>0</v>
      </c>
      <c r="L286" s="15">
        <f>K286*Valores!$B$2</f>
        <v>0</v>
      </c>
      <c r="M286" s="27">
        <v>0</v>
      </c>
      <c r="N286" s="15">
        <f>M286*Valores!$B$2</f>
        <v>0</v>
      </c>
      <c r="O286" s="15">
        <f t="shared" si="50"/>
        <v>51.5262</v>
      </c>
      <c r="P286" s="15">
        <f t="shared" si="47"/>
        <v>0</v>
      </c>
      <c r="Q286" s="17">
        <v>0</v>
      </c>
      <c r="R286" s="17">
        <v>0</v>
      </c>
      <c r="S286" s="15">
        <v>0</v>
      </c>
      <c r="T286" s="17">
        <v>0</v>
      </c>
      <c r="U286" s="15">
        <f t="shared" si="53"/>
        <v>0</v>
      </c>
      <c r="V286" s="15">
        <v>0</v>
      </c>
      <c r="W286" s="15">
        <v>0</v>
      </c>
      <c r="X286" s="24">
        <v>0</v>
      </c>
      <c r="Y286" s="15">
        <v>0</v>
      </c>
      <c r="Z286" s="15">
        <v>0</v>
      </c>
      <c r="AA286" s="39">
        <v>0</v>
      </c>
      <c r="AB286" s="15">
        <f t="shared" si="48"/>
        <v>0</v>
      </c>
      <c r="AC286" s="15">
        <v>0</v>
      </c>
      <c r="AD286" s="16">
        <v>0</v>
      </c>
      <c r="AE286" s="15">
        <v>0</v>
      </c>
      <c r="AF286" s="31">
        <f t="shared" si="49"/>
        <v>395.03420000000006</v>
      </c>
      <c r="AG286" s="15">
        <v>0</v>
      </c>
      <c r="AH286" s="15">
        <v>0</v>
      </c>
      <c r="AI286" s="15">
        <v>0</v>
      </c>
      <c r="AJ286" s="15">
        <v>0</v>
      </c>
      <c r="AK286" s="25">
        <f t="shared" si="32"/>
        <v>0</v>
      </c>
      <c r="AL286" s="17">
        <f t="shared" si="34"/>
        <v>306.15150500000004</v>
      </c>
      <c r="AP286" s="20" t="s">
        <v>487</v>
      </c>
    </row>
    <row r="287" spans="2:42" ht="11.25" customHeight="1">
      <c r="B287" s="20">
        <v>287</v>
      </c>
      <c r="C287" s="20" t="s">
        <v>478</v>
      </c>
      <c r="D287" s="22"/>
      <c r="E287" s="86">
        <v>1</v>
      </c>
      <c r="F287" s="19" t="s">
        <v>423</v>
      </c>
      <c r="G287" s="32">
        <v>80</v>
      </c>
      <c r="H287" s="15">
        <f>G287*Valores!$B$2</f>
        <v>185.68</v>
      </c>
      <c r="I287" s="24">
        <v>0</v>
      </c>
      <c r="J287" s="15">
        <f>I287*Valores!$B$2</f>
        <v>0</v>
      </c>
      <c r="K287" s="27">
        <v>0</v>
      </c>
      <c r="L287" s="15">
        <f>K287*Valores!$B$2</f>
        <v>0</v>
      </c>
      <c r="M287" s="27">
        <v>0</v>
      </c>
      <c r="N287" s="15">
        <f>M287*Valores!$B$2</f>
        <v>0</v>
      </c>
      <c r="O287" s="15">
        <f t="shared" si="50"/>
        <v>27.852</v>
      </c>
      <c r="P287" s="15">
        <f t="shared" si="47"/>
        <v>0</v>
      </c>
      <c r="Q287" s="17">
        <v>0</v>
      </c>
      <c r="R287" s="17">
        <v>0</v>
      </c>
      <c r="S287" s="15">
        <v>0</v>
      </c>
      <c r="T287" s="17">
        <v>0</v>
      </c>
      <c r="U287" s="15">
        <f t="shared" si="53"/>
        <v>0</v>
      </c>
      <c r="V287" s="15">
        <v>0</v>
      </c>
      <c r="W287" s="15">
        <v>0</v>
      </c>
      <c r="X287" s="24">
        <v>0</v>
      </c>
      <c r="Y287" s="15">
        <v>0</v>
      </c>
      <c r="Z287" s="15">
        <v>0</v>
      </c>
      <c r="AA287" s="39">
        <v>0</v>
      </c>
      <c r="AB287" s="15">
        <f t="shared" si="48"/>
        <v>0</v>
      </c>
      <c r="AC287" s="15">
        <v>0</v>
      </c>
      <c r="AD287" s="16">
        <v>0</v>
      </c>
      <c r="AE287" s="15">
        <v>0</v>
      </c>
      <c r="AF287" s="31">
        <f t="shared" si="49"/>
        <v>213.532</v>
      </c>
      <c r="AG287" s="15">
        <v>0</v>
      </c>
      <c r="AH287" s="15">
        <v>0</v>
      </c>
      <c r="AI287" s="15">
        <v>0</v>
      </c>
      <c r="AJ287" s="15">
        <v>0</v>
      </c>
      <c r="AK287" s="25">
        <f t="shared" si="32"/>
        <v>0</v>
      </c>
      <c r="AL287" s="17">
        <f t="shared" si="34"/>
        <v>165.4873</v>
      </c>
      <c r="AP287" s="20" t="s">
        <v>487</v>
      </c>
    </row>
    <row r="288" spans="2:42" ht="11.25" customHeight="1">
      <c r="B288" s="20">
        <v>288</v>
      </c>
      <c r="C288" s="20"/>
      <c r="E288" s="86">
        <v>1</v>
      </c>
      <c r="F288" s="19" t="s">
        <v>424</v>
      </c>
      <c r="G288" s="32">
        <v>160</v>
      </c>
      <c r="H288" s="15">
        <f>G288*Valores!$B$2</f>
        <v>371.36</v>
      </c>
      <c r="I288" s="24">
        <v>0</v>
      </c>
      <c r="J288" s="15">
        <f>I288*Valores!$B$2</f>
        <v>0</v>
      </c>
      <c r="K288" s="27">
        <v>0</v>
      </c>
      <c r="L288" s="15">
        <f>K288*Valores!$B$2</f>
        <v>0</v>
      </c>
      <c r="M288" s="27">
        <v>0</v>
      </c>
      <c r="N288" s="15">
        <f>M288*Valores!$B$2</f>
        <v>0</v>
      </c>
      <c r="O288" s="15">
        <f t="shared" si="50"/>
        <v>55.704</v>
      </c>
      <c r="P288" s="15">
        <f t="shared" si="47"/>
        <v>0</v>
      </c>
      <c r="Q288" s="17">
        <v>0</v>
      </c>
      <c r="R288" s="17">
        <v>0</v>
      </c>
      <c r="S288" s="15">
        <v>0</v>
      </c>
      <c r="T288" s="17">
        <v>0</v>
      </c>
      <c r="U288" s="15">
        <f t="shared" si="53"/>
        <v>0</v>
      </c>
      <c r="V288" s="15">
        <v>0</v>
      </c>
      <c r="W288" s="15">
        <v>0</v>
      </c>
      <c r="X288" s="24">
        <v>0</v>
      </c>
      <c r="Y288" s="15">
        <v>0</v>
      </c>
      <c r="Z288" s="15">
        <v>0</v>
      </c>
      <c r="AA288" s="39">
        <v>0</v>
      </c>
      <c r="AB288" s="15">
        <f t="shared" si="48"/>
        <v>0</v>
      </c>
      <c r="AC288" s="15">
        <v>0</v>
      </c>
      <c r="AD288" s="16">
        <v>0</v>
      </c>
      <c r="AE288" s="15">
        <v>0</v>
      </c>
      <c r="AF288" s="31">
        <f t="shared" si="49"/>
        <v>427.064</v>
      </c>
      <c r="AG288" s="15">
        <v>0</v>
      </c>
      <c r="AH288" s="15">
        <v>0</v>
      </c>
      <c r="AI288" s="15">
        <v>0</v>
      </c>
      <c r="AJ288" s="15">
        <v>0</v>
      </c>
      <c r="AK288" s="25">
        <f t="shared" si="32"/>
        <v>0</v>
      </c>
      <c r="AL288" s="17">
        <f t="shared" si="34"/>
        <v>330.9746</v>
      </c>
      <c r="AP288" s="20" t="s">
        <v>487</v>
      </c>
    </row>
    <row r="289" spans="2:42" ht="11.25" customHeight="1">
      <c r="B289" s="20">
        <v>289</v>
      </c>
      <c r="C289" s="20"/>
      <c r="E289" s="86">
        <v>1</v>
      </c>
      <c r="F289" s="19" t="s">
        <v>425</v>
      </c>
      <c r="G289" s="32">
        <v>240</v>
      </c>
      <c r="H289" s="15">
        <f>G289*Valores!$B$2</f>
        <v>557.0400000000001</v>
      </c>
      <c r="I289" s="24">
        <v>0</v>
      </c>
      <c r="J289" s="15">
        <f>I289*Valores!$B$2</f>
        <v>0</v>
      </c>
      <c r="K289" s="27">
        <v>0</v>
      </c>
      <c r="L289" s="15">
        <f>K289*Valores!$B$2</f>
        <v>0</v>
      </c>
      <c r="M289" s="27">
        <v>0</v>
      </c>
      <c r="N289" s="15">
        <f>M289*Valores!$B$2</f>
        <v>0</v>
      </c>
      <c r="O289" s="15">
        <f t="shared" si="50"/>
        <v>83.55600000000001</v>
      </c>
      <c r="P289" s="15">
        <f t="shared" si="47"/>
        <v>0</v>
      </c>
      <c r="Q289" s="17">
        <v>0</v>
      </c>
      <c r="R289" s="17">
        <v>0</v>
      </c>
      <c r="S289" s="15">
        <v>0</v>
      </c>
      <c r="T289" s="17">
        <v>0</v>
      </c>
      <c r="U289" s="15">
        <f t="shared" si="53"/>
        <v>0</v>
      </c>
      <c r="V289" s="15">
        <v>0</v>
      </c>
      <c r="W289" s="15">
        <v>0</v>
      </c>
      <c r="X289" s="24">
        <v>0</v>
      </c>
      <c r="Y289" s="15">
        <v>0</v>
      </c>
      <c r="Z289" s="15">
        <v>0</v>
      </c>
      <c r="AA289" s="39">
        <v>0</v>
      </c>
      <c r="AB289" s="15">
        <f t="shared" si="48"/>
        <v>0</v>
      </c>
      <c r="AC289" s="15">
        <v>0</v>
      </c>
      <c r="AD289" s="16">
        <v>0</v>
      </c>
      <c r="AE289" s="15">
        <v>0</v>
      </c>
      <c r="AF289" s="31">
        <f t="shared" si="49"/>
        <v>640.5960000000001</v>
      </c>
      <c r="AG289" s="15">
        <v>0</v>
      </c>
      <c r="AH289" s="15">
        <v>0</v>
      </c>
      <c r="AI289" s="15">
        <v>0</v>
      </c>
      <c r="AJ289" s="15">
        <v>0</v>
      </c>
      <c r="AK289" s="25">
        <f t="shared" si="32"/>
        <v>0</v>
      </c>
      <c r="AL289" s="17">
        <f t="shared" si="34"/>
        <v>496.4619000000001</v>
      </c>
      <c r="AP289" s="20" t="s">
        <v>487</v>
      </c>
    </row>
    <row r="290" spans="2:42" ht="11.25" customHeight="1" thickBot="1">
      <c r="B290" s="20">
        <v>290</v>
      </c>
      <c r="C290" s="20"/>
      <c r="D290" s="76"/>
      <c r="E290" s="87">
        <v>1</v>
      </c>
      <c r="F290" s="74" t="s">
        <v>426</v>
      </c>
      <c r="G290" s="72">
        <v>320</v>
      </c>
      <c r="H290" s="60">
        <f>G290*Valores!$B$2</f>
        <v>742.72</v>
      </c>
      <c r="I290" s="63">
        <v>0</v>
      </c>
      <c r="J290" s="60">
        <f>I290*Valores!$B$2</f>
        <v>0</v>
      </c>
      <c r="K290" s="70">
        <v>0</v>
      </c>
      <c r="L290" s="60">
        <f>K290*Valores!$B$2</f>
        <v>0</v>
      </c>
      <c r="M290" s="70">
        <v>0</v>
      </c>
      <c r="N290" s="60">
        <f>M290*Valores!$B$2</f>
        <v>0</v>
      </c>
      <c r="O290" s="60">
        <f t="shared" si="50"/>
        <v>111.408</v>
      </c>
      <c r="P290" s="60">
        <f t="shared" si="47"/>
        <v>0</v>
      </c>
      <c r="Q290" s="62">
        <v>0</v>
      </c>
      <c r="R290" s="62">
        <v>0</v>
      </c>
      <c r="S290" s="60">
        <v>0</v>
      </c>
      <c r="T290" s="62">
        <v>0</v>
      </c>
      <c r="U290" s="60">
        <f t="shared" si="53"/>
        <v>0</v>
      </c>
      <c r="V290" s="60">
        <v>0</v>
      </c>
      <c r="W290" s="60">
        <v>0</v>
      </c>
      <c r="X290" s="63">
        <v>0</v>
      </c>
      <c r="Y290" s="60">
        <v>0</v>
      </c>
      <c r="Z290" s="60">
        <v>0</v>
      </c>
      <c r="AA290" s="64">
        <v>0</v>
      </c>
      <c r="AB290" s="60">
        <f t="shared" si="48"/>
        <v>0</v>
      </c>
      <c r="AC290" s="60">
        <v>0</v>
      </c>
      <c r="AD290" s="65">
        <v>0</v>
      </c>
      <c r="AE290" s="60">
        <v>0</v>
      </c>
      <c r="AF290" s="66">
        <f t="shared" si="49"/>
        <v>854.128</v>
      </c>
      <c r="AG290" s="60">
        <v>0</v>
      </c>
      <c r="AH290" s="60">
        <v>0</v>
      </c>
      <c r="AI290" s="60">
        <v>0</v>
      </c>
      <c r="AJ290" s="60">
        <v>0</v>
      </c>
      <c r="AK290" s="67">
        <f t="shared" si="32"/>
        <v>0</v>
      </c>
      <c r="AL290" s="62">
        <f t="shared" si="34"/>
        <v>661.9492</v>
      </c>
      <c r="AM290" s="75"/>
      <c r="AN290" s="73"/>
      <c r="AO290" s="73"/>
      <c r="AP290" s="20" t="s">
        <v>487</v>
      </c>
    </row>
    <row r="291" spans="2:42" ht="11.25" customHeight="1" thickTop="1">
      <c r="B291" s="20">
        <v>291</v>
      </c>
      <c r="C291" s="20"/>
      <c r="E291" s="86">
        <v>1</v>
      </c>
      <c r="F291" s="19" t="s">
        <v>427</v>
      </c>
      <c r="G291" s="32">
        <v>400</v>
      </c>
      <c r="H291" s="15">
        <f>G291*Valores!$B$2</f>
        <v>928.4000000000001</v>
      </c>
      <c r="I291" s="24">
        <v>0</v>
      </c>
      <c r="J291" s="15">
        <f>I291*Valores!$B$2</f>
        <v>0</v>
      </c>
      <c r="K291" s="27">
        <v>0</v>
      </c>
      <c r="L291" s="15">
        <f>K291*Valores!$B$2</f>
        <v>0</v>
      </c>
      <c r="M291" s="27">
        <v>0</v>
      </c>
      <c r="N291" s="15">
        <f>M291*Valores!$B$2</f>
        <v>0</v>
      </c>
      <c r="O291" s="15">
        <f t="shared" si="50"/>
        <v>139.26000000000002</v>
      </c>
      <c r="P291" s="15">
        <f t="shared" si="47"/>
        <v>0</v>
      </c>
      <c r="Q291" s="17">
        <v>0</v>
      </c>
      <c r="R291" s="17">
        <v>0</v>
      </c>
      <c r="S291" s="15">
        <v>0</v>
      </c>
      <c r="T291" s="17">
        <v>0</v>
      </c>
      <c r="U291" s="15">
        <f t="shared" si="53"/>
        <v>0</v>
      </c>
      <c r="V291" s="15">
        <v>0</v>
      </c>
      <c r="W291" s="15">
        <v>0</v>
      </c>
      <c r="X291" s="24">
        <v>0</v>
      </c>
      <c r="Y291" s="15">
        <v>0</v>
      </c>
      <c r="Z291" s="15">
        <v>0</v>
      </c>
      <c r="AA291" s="39">
        <v>0</v>
      </c>
      <c r="AB291" s="15">
        <f t="shared" si="48"/>
        <v>0</v>
      </c>
      <c r="AC291" s="15">
        <v>0</v>
      </c>
      <c r="AD291" s="16">
        <v>0</v>
      </c>
      <c r="AE291" s="15">
        <v>0</v>
      </c>
      <c r="AF291" s="31">
        <f t="shared" si="49"/>
        <v>1067.66</v>
      </c>
      <c r="AG291" s="15">
        <v>0</v>
      </c>
      <c r="AH291" s="15">
        <v>0</v>
      </c>
      <c r="AI291" s="15">
        <v>0</v>
      </c>
      <c r="AJ291" s="15">
        <v>0</v>
      </c>
      <c r="AK291" s="25">
        <f t="shared" si="32"/>
        <v>0</v>
      </c>
      <c r="AL291" s="17">
        <f t="shared" si="34"/>
        <v>827.4365000000001</v>
      </c>
      <c r="AP291" s="20" t="s">
        <v>487</v>
      </c>
    </row>
    <row r="292" spans="2:42" ht="11.25" customHeight="1">
      <c r="B292" s="20">
        <v>292</v>
      </c>
      <c r="C292" s="20" t="s">
        <v>478</v>
      </c>
      <c r="E292" s="86">
        <v>1</v>
      </c>
      <c r="F292" s="19" t="s">
        <v>428</v>
      </c>
      <c r="G292" s="32">
        <v>480</v>
      </c>
      <c r="H292" s="15">
        <f>G292*Valores!$B$2</f>
        <v>1114.0800000000002</v>
      </c>
      <c r="I292" s="24">
        <v>0</v>
      </c>
      <c r="J292" s="15">
        <f>I292*Valores!$B$2</f>
        <v>0</v>
      </c>
      <c r="K292" s="27">
        <v>0</v>
      </c>
      <c r="L292" s="15">
        <f>K292*Valores!$B$2</f>
        <v>0</v>
      </c>
      <c r="M292" s="27">
        <v>0</v>
      </c>
      <c r="N292" s="15">
        <f>M292*Valores!$B$2</f>
        <v>0</v>
      </c>
      <c r="O292" s="15">
        <f t="shared" si="50"/>
        <v>167.11200000000002</v>
      </c>
      <c r="P292" s="15">
        <f t="shared" si="47"/>
        <v>0</v>
      </c>
      <c r="Q292" s="17">
        <v>0</v>
      </c>
      <c r="R292" s="17">
        <v>0</v>
      </c>
      <c r="S292" s="15">
        <v>0</v>
      </c>
      <c r="T292" s="17">
        <v>0</v>
      </c>
      <c r="U292" s="15">
        <f t="shared" si="53"/>
        <v>0</v>
      </c>
      <c r="V292" s="15">
        <v>0</v>
      </c>
      <c r="W292" s="15">
        <v>0</v>
      </c>
      <c r="X292" s="24">
        <v>0</v>
      </c>
      <c r="Y292" s="15">
        <v>0</v>
      </c>
      <c r="Z292" s="15">
        <v>0</v>
      </c>
      <c r="AA292" s="39">
        <v>0</v>
      </c>
      <c r="AB292" s="15">
        <f t="shared" si="48"/>
        <v>0</v>
      </c>
      <c r="AC292" s="15">
        <v>0</v>
      </c>
      <c r="AD292" s="16">
        <v>0</v>
      </c>
      <c r="AE292" s="15">
        <v>0</v>
      </c>
      <c r="AF292" s="31">
        <f t="shared" si="49"/>
        <v>1281.1920000000002</v>
      </c>
      <c r="AG292" s="15">
        <v>0</v>
      </c>
      <c r="AH292" s="15">
        <v>0</v>
      </c>
      <c r="AI292" s="15">
        <v>0</v>
      </c>
      <c r="AJ292" s="15">
        <v>0</v>
      </c>
      <c r="AK292" s="25">
        <f t="shared" si="32"/>
        <v>0</v>
      </c>
      <c r="AL292" s="17">
        <f t="shared" si="34"/>
        <v>992.9238000000003</v>
      </c>
      <c r="AP292" s="20" t="s">
        <v>487</v>
      </c>
    </row>
    <row r="293" spans="2:42" ht="11.25" customHeight="1">
      <c r="B293" s="20">
        <v>293</v>
      </c>
      <c r="C293" s="20"/>
      <c r="E293" s="86">
        <v>1</v>
      </c>
      <c r="F293" s="19" t="s">
        <v>429</v>
      </c>
      <c r="G293" s="32">
        <v>560</v>
      </c>
      <c r="H293" s="15">
        <f>G293*Valores!$B$2</f>
        <v>1299.76</v>
      </c>
      <c r="I293" s="24">
        <v>0</v>
      </c>
      <c r="J293" s="15">
        <f>I293*Valores!$B$2</f>
        <v>0</v>
      </c>
      <c r="K293" s="27">
        <v>0</v>
      </c>
      <c r="L293" s="15">
        <f>K293*Valores!$B$2</f>
        <v>0</v>
      </c>
      <c r="M293" s="27">
        <v>0</v>
      </c>
      <c r="N293" s="15">
        <f>M293*Valores!$B$2</f>
        <v>0</v>
      </c>
      <c r="O293" s="15">
        <f t="shared" si="50"/>
        <v>194.964</v>
      </c>
      <c r="P293" s="15">
        <f t="shared" si="47"/>
        <v>0</v>
      </c>
      <c r="Q293" s="17">
        <v>0</v>
      </c>
      <c r="R293" s="17">
        <v>0</v>
      </c>
      <c r="S293" s="15">
        <v>0</v>
      </c>
      <c r="T293" s="17">
        <v>0</v>
      </c>
      <c r="U293" s="15">
        <f t="shared" si="53"/>
        <v>0</v>
      </c>
      <c r="V293" s="15">
        <v>0</v>
      </c>
      <c r="W293" s="15">
        <v>0</v>
      </c>
      <c r="X293" s="24">
        <v>0</v>
      </c>
      <c r="Y293" s="15">
        <v>0</v>
      </c>
      <c r="Z293" s="15">
        <v>0</v>
      </c>
      <c r="AA293" s="39">
        <v>0</v>
      </c>
      <c r="AB293" s="15">
        <f t="shared" si="48"/>
        <v>0</v>
      </c>
      <c r="AC293" s="15">
        <v>0</v>
      </c>
      <c r="AD293" s="16">
        <v>0</v>
      </c>
      <c r="AE293" s="15">
        <v>0</v>
      </c>
      <c r="AF293" s="31">
        <f t="shared" si="49"/>
        <v>1494.724</v>
      </c>
      <c r="AG293" s="15">
        <v>0</v>
      </c>
      <c r="AH293" s="15">
        <v>0</v>
      </c>
      <c r="AI293" s="15">
        <v>0</v>
      </c>
      <c r="AJ293" s="15">
        <v>0</v>
      </c>
      <c r="AK293" s="25">
        <f t="shared" si="32"/>
        <v>0</v>
      </c>
      <c r="AL293" s="17">
        <f t="shared" si="34"/>
        <v>1158.4111</v>
      </c>
      <c r="AP293" s="20" t="s">
        <v>487</v>
      </c>
    </row>
    <row r="294" spans="2:42" ht="11.25" customHeight="1">
      <c r="B294" s="20">
        <v>294</v>
      </c>
      <c r="C294" s="20"/>
      <c r="E294" s="86">
        <v>1</v>
      </c>
      <c r="F294" s="19" t="s">
        <v>430</v>
      </c>
      <c r="G294" s="32">
        <v>640</v>
      </c>
      <c r="H294" s="15">
        <f>G294*Valores!$B$2</f>
        <v>1485.44</v>
      </c>
      <c r="I294" s="24">
        <v>0</v>
      </c>
      <c r="J294" s="15">
        <f>I294*Valores!$B$2</f>
        <v>0</v>
      </c>
      <c r="K294" s="27">
        <v>0</v>
      </c>
      <c r="L294" s="15">
        <f>K294*Valores!$B$2</f>
        <v>0</v>
      </c>
      <c r="M294" s="27">
        <v>0</v>
      </c>
      <c r="N294" s="15">
        <f>M294*Valores!$B$2</f>
        <v>0</v>
      </c>
      <c r="O294" s="15">
        <f t="shared" si="50"/>
        <v>222.816</v>
      </c>
      <c r="P294" s="15">
        <f t="shared" si="47"/>
        <v>0</v>
      </c>
      <c r="Q294" s="17">
        <v>0</v>
      </c>
      <c r="R294" s="17">
        <v>0</v>
      </c>
      <c r="S294" s="15">
        <v>0</v>
      </c>
      <c r="T294" s="17">
        <v>0</v>
      </c>
      <c r="U294" s="15">
        <f t="shared" si="53"/>
        <v>0</v>
      </c>
      <c r="V294" s="15">
        <v>0</v>
      </c>
      <c r="W294" s="15">
        <v>0</v>
      </c>
      <c r="X294" s="24">
        <v>0</v>
      </c>
      <c r="Y294" s="15">
        <v>0</v>
      </c>
      <c r="Z294" s="15">
        <v>0</v>
      </c>
      <c r="AA294" s="39">
        <v>0</v>
      </c>
      <c r="AB294" s="15">
        <f t="shared" si="48"/>
        <v>0</v>
      </c>
      <c r="AC294" s="15">
        <v>0</v>
      </c>
      <c r="AD294" s="16">
        <v>0</v>
      </c>
      <c r="AE294" s="15">
        <v>0</v>
      </c>
      <c r="AF294" s="31">
        <f t="shared" si="49"/>
        <v>1708.256</v>
      </c>
      <c r="AG294" s="15">
        <v>0</v>
      </c>
      <c r="AH294" s="15">
        <v>0</v>
      </c>
      <c r="AI294" s="15">
        <v>0</v>
      </c>
      <c r="AJ294" s="15">
        <v>0</v>
      </c>
      <c r="AK294" s="25">
        <f aca="true" t="shared" si="54" ref="AK294:AK317">SUM(AH294:AJ294)</f>
        <v>0</v>
      </c>
      <c r="AL294" s="17">
        <f t="shared" si="34"/>
        <v>1323.8984</v>
      </c>
      <c r="AP294" s="20" t="s">
        <v>487</v>
      </c>
    </row>
    <row r="295" spans="2:42" ht="11.25" customHeight="1" thickBot="1">
      <c r="B295" s="20">
        <v>295</v>
      </c>
      <c r="C295" s="20"/>
      <c r="D295" s="76"/>
      <c r="E295" s="87">
        <v>1</v>
      </c>
      <c r="F295" s="74" t="s">
        <v>431</v>
      </c>
      <c r="G295" s="72">
        <v>720</v>
      </c>
      <c r="H295" s="60">
        <f>G295*Valores!$B$2</f>
        <v>1671.1200000000001</v>
      </c>
      <c r="I295" s="63">
        <v>0</v>
      </c>
      <c r="J295" s="60">
        <f>I295*Valores!$B$2</f>
        <v>0</v>
      </c>
      <c r="K295" s="70">
        <v>0</v>
      </c>
      <c r="L295" s="60">
        <f>K295*Valores!$B$2</f>
        <v>0</v>
      </c>
      <c r="M295" s="70">
        <v>0</v>
      </c>
      <c r="N295" s="60">
        <f>M295*Valores!$B$2</f>
        <v>0</v>
      </c>
      <c r="O295" s="60">
        <f t="shared" si="50"/>
        <v>250.668</v>
      </c>
      <c r="P295" s="60">
        <f t="shared" si="47"/>
        <v>0</v>
      </c>
      <c r="Q295" s="62">
        <v>0</v>
      </c>
      <c r="R295" s="62">
        <v>0</v>
      </c>
      <c r="S295" s="60">
        <v>0</v>
      </c>
      <c r="T295" s="62">
        <v>0</v>
      </c>
      <c r="U295" s="60">
        <f t="shared" si="53"/>
        <v>0</v>
      </c>
      <c r="V295" s="60">
        <v>0</v>
      </c>
      <c r="W295" s="60">
        <v>0</v>
      </c>
      <c r="X295" s="63">
        <v>0</v>
      </c>
      <c r="Y295" s="60">
        <v>0</v>
      </c>
      <c r="Z295" s="60">
        <v>0</v>
      </c>
      <c r="AA295" s="64">
        <v>0</v>
      </c>
      <c r="AB295" s="60">
        <f t="shared" si="48"/>
        <v>0</v>
      </c>
      <c r="AC295" s="60">
        <v>0</v>
      </c>
      <c r="AD295" s="65">
        <v>0</v>
      </c>
      <c r="AE295" s="60">
        <v>0</v>
      </c>
      <c r="AF295" s="66">
        <f t="shared" si="49"/>
        <v>1921.788</v>
      </c>
      <c r="AG295" s="60">
        <v>0</v>
      </c>
      <c r="AH295" s="60">
        <v>0</v>
      </c>
      <c r="AI295" s="60">
        <v>0</v>
      </c>
      <c r="AJ295" s="60">
        <v>0</v>
      </c>
      <c r="AK295" s="67">
        <f t="shared" si="54"/>
        <v>0</v>
      </c>
      <c r="AL295" s="62">
        <f aca="true" t="shared" si="55" ref="AL295:AL317">(AF295*0.775)+AK295</f>
        <v>1489.3857</v>
      </c>
      <c r="AM295" s="75"/>
      <c r="AN295" s="73"/>
      <c r="AO295" s="73"/>
      <c r="AP295" s="20" t="s">
        <v>487</v>
      </c>
    </row>
    <row r="296" spans="2:42" ht="11.25" customHeight="1" thickTop="1">
      <c r="B296" s="20">
        <v>296</v>
      </c>
      <c r="C296" s="20"/>
      <c r="E296" s="86">
        <v>1</v>
      </c>
      <c r="F296" s="19" t="s">
        <v>432</v>
      </c>
      <c r="G296" s="32">
        <v>800</v>
      </c>
      <c r="H296" s="15">
        <f>G296*Valores!$B$2</f>
        <v>1856.8000000000002</v>
      </c>
      <c r="I296" s="24">
        <v>0</v>
      </c>
      <c r="J296" s="15">
        <f>I296*Valores!$B$2</f>
        <v>0</v>
      </c>
      <c r="K296" s="27">
        <v>0</v>
      </c>
      <c r="L296" s="15">
        <f>K296*Valores!$B$2</f>
        <v>0</v>
      </c>
      <c r="M296" s="27">
        <v>0</v>
      </c>
      <c r="N296" s="15">
        <f>M296*Valores!$B$2</f>
        <v>0</v>
      </c>
      <c r="O296" s="15">
        <f t="shared" si="50"/>
        <v>278.52000000000004</v>
      </c>
      <c r="P296" s="15">
        <f t="shared" si="47"/>
        <v>0</v>
      </c>
      <c r="Q296" s="17">
        <v>0</v>
      </c>
      <c r="R296" s="17">
        <v>0</v>
      </c>
      <c r="S296" s="15">
        <v>0</v>
      </c>
      <c r="T296" s="17">
        <v>0</v>
      </c>
      <c r="U296" s="15">
        <f t="shared" si="53"/>
        <v>0</v>
      </c>
      <c r="V296" s="15">
        <v>0</v>
      </c>
      <c r="W296" s="15">
        <v>0</v>
      </c>
      <c r="X296" s="24">
        <v>0</v>
      </c>
      <c r="Y296" s="15">
        <v>0</v>
      </c>
      <c r="Z296" s="15">
        <v>0</v>
      </c>
      <c r="AA296" s="39">
        <v>0</v>
      </c>
      <c r="AB296" s="15">
        <f t="shared" si="48"/>
        <v>0</v>
      </c>
      <c r="AC296" s="15">
        <v>0</v>
      </c>
      <c r="AD296" s="16">
        <v>0</v>
      </c>
      <c r="AE296" s="15">
        <v>0</v>
      </c>
      <c r="AF296" s="31">
        <f t="shared" si="49"/>
        <v>2135.32</v>
      </c>
      <c r="AG296" s="15">
        <v>0</v>
      </c>
      <c r="AH296" s="15">
        <v>0</v>
      </c>
      <c r="AI296" s="15">
        <v>0</v>
      </c>
      <c r="AJ296" s="15">
        <v>0</v>
      </c>
      <c r="AK296" s="25">
        <f t="shared" si="54"/>
        <v>0</v>
      </c>
      <c r="AL296" s="17">
        <f t="shared" si="55"/>
        <v>1654.8730000000003</v>
      </c>
      <c r="AP296" s="20" t="s">
        <v>487</v>
      </c>
    </row>
    <row r="297" spans="2:42" ht="11.25" customHeight="1">
      <c r="B297" s="20">
        <v>297</v>
      </c>
      <c r="C297" s="20" t="s">
        <v>478</v>
      </c>
      <c r="E297" s="86">
        <v>1</v>
      </c>
      <c r="F297" s="19" t="s">
        <v>433</v>
      </c>
      <c r="G297" s="32">
        <v>880</v>
      </c>
      <c r="H297" s="15">
        <f>G297*Valores!$B$2</f>
        <v>2042.4800000000002</v>
      </c>
      <c r="I297" s="24">
        <v>0</v>
      </c>
      <c r="J297" s="15">
        <f>I297*Valores!$B$2</f>
        <v>0</v>
      </c>
      <c r="K297" s="27">
        <v>0</v>
      </c>
      <c r="L297" s="15">
        <f>K297*Valores!$B$2</f>
        <v>0</v>
      </c>
      <c r="M297" s="27">
        <v>0</v>
      </c>
      <c r="N297" s="15">
        <f>M297*Valores!$B$2</f>
        <v>0</v>
      </c>
      <c r="O297" s="15">
        <f t="shared" si="50"/>
        <v>306.372</v>
      </c>
      <c r="P297" s="15">
        <f t="shared" si="47"/>
        <v>0</v>
      </c>
      <c r="Q297" s="17">
        <v>0</v>
      </c>
      <c r="R297" s="17">
        <v>0</v>
      </c>
      <c r="S297" s="15">
        <v>0</v>
      </c>
      <c r="T297" s="17">
        <v>0</v>
      </c>
      <c r="U297" s="15">
        <f t="shared" si="53"/>
        <v>0</v>
      </c>
      <c r="V297" s="15">
        <v>0</v>
      </c>
      <c r="W297" s="15">
        <v>0</v>
      </c>
      <c r="X297" s="24">
        <v>0</v>
      </c>
      <c r="Y297" s="15">
        <v>0</v>
      </c>
      <c r="Z297" s="15">
        <v>0</v>
      </c>
      <c r="AA297" s="39">
        <v>0</v>
      </c>
      <c r="AB297" s="15">
        <f t="shared" si="48"/>
        <v>0</v>
      </c>
      <c r="AC297" s="15">
        <v>0</v>
      </c>
      <c r="AD297" s="16">
        <v>0</v>
      </c>
      <c r="AE297" s="15">
        <v>0</v>
      </c>
      <c r="AF297" s="31">
        <f t="shared" si="49"/>
        <v>2348.8520000000003</v>
      </c>
      <c r="AG297" s="15">
        <v>0</v>
      </c>
      <c r="AH297" s="15">
        <v>0</v>
      </c>
      <c r="AI297" s="15">
        <v>0</v>
      </c>
      <c r="AJ297" s="15">
        <v>0</v>
      </c>
      <c r="AK297" s="25">
        <f t="shared" si="54"/>
        <v>0</v>
      </c>
      <c r="AL297" s="17">
        <f t="shared" si="55"/>
        <v>1820.3603000000003</v>
      </c>
      <c r="AP297" s="20" t="s">
        <v>487</v>
      </c>
    </row>
    <row r="298" spans="2:42" ht="11.25" customHeight="1">
      <c r="B298" s="20">
        <v>298</v>
      </c>
      <c r="C298" s="20"/>
      <c r="E298" s="86">
        <v>1</v>
      </c>
      <c r="F298" s="19" t="s">
        <v>434</v>
      </c>
      <c r="G298" s="32">
        <v>960</v>
      </c>
      <c r="H298" s="15">
        <f>G298*Valores!$B$2</f>
        <v>2228.1600000000003</v>
      </c>
      <c r="I298" s="24">
        <v>0</v>
      </c>
      <c r="J298" s="15">
        <f>I298*Valores!$B$2</f>
        <v>0</v>
      </c>
      <c r="K298" s="27">
        <v>0</v>
      </c>
      <c r="L298" s="15">
        <f>K298*Valores!$B$2</f>
        <v>0</v>
      </c>
      <c r="M298" s="27">
        <v>0</v>
      </c>
      <c r="N298" s="15">
        <f>M298*Valores!$B$2</f>
        <v>0</v>
      </c>
      <c r="O298" s="15">
        <f t="shared" si="50"/>
        <v>334.22400000000005</v>
      </c>
      <c r="P298" s="15">
        <f t="shared" si="47"/>
        <v>0</v>
      </c>
      <c r="Q298" s="17">
        <v>0</v>
      </c>
      <c r="R298" s="17">
        <v>0</v>
      </c>
      <c r="S298" s="15">
        <v>0</v>
      </c>
      <c r="T298" s="17">
        <v>0</v>
      </c>
      <c r="U298" s="15">
        <f t="shared" si="53"/>
        <v>0</v>
      </c>
      <c r="V298" s="15">
        <v>0</v>
      </c>
      <c r="W298" s="15">
        <v>0</v>
      </c>
      <c r="X298" s="24">
        <v>0</v>
      </c>
      <c r="Y298" s="15">
        <v>0</v>
      </c>
      <c r="Z298" s="15">
        <v>0</v>
      </c>
      <c r="AA298" s="39">
        <v>0</v>
      </c>
      <c r="AB298" s="15">
        <f t="shared" si="48"/>
        <v>0</v>
      </c>
      <c r="AC298" s="15">
        <v>0</v>
      </c>
      <c r="AD298" s="16">
        <v>0</v>
      </c>
      <c r="AE298" s="15">
        <v>0</v>
      </c>
      <c r="AF298" s="31">
        <f t="shared" si="49"/>
        <v>2562.3840000000005</v>
      </c>
      <c r="AG298" s="15">
        <v>0</v>
      </c>
      <c r="AH298" s="15">
        <v>0</v>
      </c>
      <c r="AI298" s="15">
        <v>0</v>
      </c>
      <c r="AJ298" s="15">
        <v>0</v>
      </c>
      <c r="AK298" s="25">
        <f t="shared" si="54"/>
        <v>0</v>
      </c>
      <c r="AL298" s="17">
        <f t="shared" si="55"/>
        <v>1985.8476000000005</v>
      </c>
      <c r="AP298" s="20" t="s">
        <v>487</v>
      </c>
    </row>
    <row r="299" spans="2:42" ht="11.25" customHeight="1">
      <c r="B299" s="20">
        <v>299</v>
      </c>
      <c r="C299" s="20"/>
      <c r="E299" s="86">
        <v>1</v>
      </c>
      <c r="F299" s="19" t="s">
        <v>435</v>
      </c>
      <c r="G299" s="32">
        <v>1040</v>
      </c>
      <c r="H299" s="15">
        <f>G299*Valores!$B$2</f>
        <v>2413.84</v>
      </c>
      <c r="I299" s="24">
        <v>0</v>
      </c>
      <c r="J299" s="15">
        <f>I299*Valores!$B$2</f>
        <v>0</v>
      </c>
      <c r="K299" s="27">
        <v>0</v>
      </c>
      <c r="L299" s="15">
        <f>K299*Valores!$B$2</f>
        <v>0</v>
      </c>
      <c r="M299" s="27">
        <v>0</v>
      </c>
      <c r="N299" s="15">
        <f>M299*Valores!$B$2</f>
        <v>0</v>
      </c>
      <c r="O299" s="15">
        <f t="shared" si="50"/>
        <v>362.076</v>
      </c>
      <c r="P299" s="15">
        <f t="shared" si="47"/>
        <v>0</v>
      </c>
      <c r="Q299" s="17">
        <v>0</v>
      </c>
      <c r="R299" s="17">
        <v>0</v>
      </c>
      <c r="S299" s="15">
        <v>0</v>
      </c>
      <c r="T299" s="17">
        <v>0</v>
      </c>
      <c r="U299" s="15">
        <f t="shared" si="53"/>
        <v>0</v>
      </c>
      <c r="V299" s="15">
        <v>0</v>
      </c>
      <c r="W299" s="15">
        <v>0</v>
      </c>
      <c r="X299" s="24">
        <v>0</v>
      </c>
      <c r="Y299" s="15">
        <v>0</v>
      </c>
      <c r="Z299" s="15">
        <v>0</v>
      </c>
      <c r="AA299" s="39">
        <v>0</v>
      </c>
      <c r="AB299" s="15">
        <f t="shared" si="48"/>
        <v>0</v>
      </c>
      <c r="AC299" s="15">
        <v>0</v>
      </c>
      <c r="AD299" s="16">
        <v>0</v>
      </c>
      <c r="AE299" s="15">
        <v>0</v>
      </c>
      <c r="AF299" s="31">
        <f t="shared" si="49"/>
        <v>2775.916</v>
      </c>
      <c r="AG299" s="15">
        <v>0</v>
      </c>
      <c r="AH299" s="15">
        <v>0</v>
      </c>
      <c r="AI299" s="15">
        <v>0</v>
      </c>
      <c r="AJ299" s="15">
        <v>0</v>
      </c>
      <c r="AK299" s="25">
        <f t="shared" si="54"/>
        <v>0</v>
      </c>
      <c r="AL299" s="17">
        <f t="shared" si="55"/>
        <v>2151.3349000000003</v>
      </c>
      <c r="AP299" s="20" t="s">
        <v>487</v>
      </c>
    </row>
    <row r="300" spans="2:42" ht="11.25" customHeight="1" thickBot="1">
      <c r="B300" s="20">
        <v>300</v>
      </c>
      <c r="C300" s="20"/>
      <c r="D300" s="76"/>
      <c r="E300" s="87">
        <v>1</v>
      </c>
      <c r="F300" s="74" t="s">
        <v>436</v>
      </c>
      <c r="G300" s="72">
        <v>1120</v>
      </c>
      <c r="H300" s="60">
        <f>G300*Valores!$B$2</f>
        <v>2599.52</v>
      </c>
      <c r="I300" s="63">
        <v>0</v>
      </c>
      <c r="J300" s="60">
        <f>I300*Valores!$B$2</f>
        <v>0</v>
      </c>
      <c r="K300" s="70">
        <v>0</v>
      </c>
      <c r="L300" s="60">
        <f>K300*Valores!$B$2</f>
        <v>0</v>
      </c>
      <c r="M300" s="70">
        <v>0</v>
      </c>
      <c r="N300" s="60">
        <f>M300*Valores!$B$2</f>
        <v>0</v>
      </c>
      <c r="O300" s="60">
        <f t="shared" si="50"/>
        <v>389.928</v>
      </c>
      <c r="P300" s="60">
        <f t="shared" si="47"/>
        <v>0</v>
      </c>
      <c r="Q300" s="62">
        <v>0</v>
      </c>
      <c r="R300" s="62">
        <v>0</v>
      </c>
      <c r="S300" s="60">
        <v>0</v>
      </c>
      <c r="T300" s="62">
        <v>0</v>
      </c>
      <c r="U300" s="60">
        <f t="shared" si="53"/>
        <v>0</v>
      </c>
      <c r="V300" s="60">
        <v>0</v>
      </c>
      <c r="W300" s="60">
        <v>0</v>
      </c>
      <c r="X300" s="63">
        <v>0</v>
      </c>
      <c r="Y300" s="60">
        <v>0</v>
      </c>
      <c r="Z300" s="60">
        <v>0</v>
      </c>
      <c r="AA300" s="64">
        <v>0</v>
      </c>
      <c r="AB300" s="60">
        <f t="shared" si="48"/>
        <v>0</v>
      </c>
      <c r="AC300" s="60">
        <v>0</v>
      </c>
      <c r="AD300" s="65">
        <v>0</v>
      </c>
      <c r="AE300" s="60">
        <v>0</v>
      </c>
      <c r="AF300" s="66">
        <f t="shared" si="49"/>
        <v>2989.448</v>
      </c>
      <c r="AG300" s="60">
        <v>0</v>
      </c>
      <c r="AH300" s="60">
        <v>0</v>
      </c>
      <c r="AI300" s="60">
        <v>0</v>
      </c>
      <c r="AJ300" s="60">
        <v>0</v>
      </c>
      <c r="AK300" s="67">
        <f t="shared" si="54"/>
        <v>0</v>
      </c>
      <c r="AL300" s="62">
        <f t="shared" si="55"/>
        <v>2316.8222</v>
      </c>
      <c r="AM300" s="75"/>
      <c r="AN300" s="73"/>
      <c r="AO300" s="73"/>
      <c r="AP300" s="20" t="s">
        <v>487</v>
      </c>
    </row>
    <row r="301" spans="2:42" ht="11.25" customHeight="1" thickTop="1">
      <c r="B301" s="20">
        <v>301</v>
      </c>
      <c r="C301" s="20"/>
      <c r="E301" s="86">
        <v>1</v>
      </c>
      <c r="F301" s="19" t="s">
        <v>437</v>
      </c>
      <c r="G301" s="32">
        <v>1200</v>
      </c>
      <c r="H301" s="15">
        <f>G301*Valores!$B$2</f>
        <v>2785.2000000000003</v>
      </c>
      <c r="I301" s="24">
        <v>0</v>
      </c>
      <c r="J301" s="15">
        <f>I301*Valores!$B$2</f>
        <v>0</v>
      </c>
      <c r="K301" s="27">
        <v>0</v>
      </c>
      <c r="L301" s="15">
        <f>K301*Valores!$B$2</f>
        <v>0</v>
      </c>
      <c r="M301" s="27">
        <v>0</v>
      </c>
      <c r="N301" s="15">
        <f>M301*Valores!$B$2</f>
        <v>0</v>
      </c>
      <c r="O301" s="15">
        <f t="shared" si="50"/>
        <v>417.78000000000003</v>
      </c>
      <c r="P301" s="15">
        <f t="shared" si="47"/>
        <v>0</v>
      </c>
      <c r="Q301" s="17">
        <v>0</v>
      </c>
      <c r="R301" s="17">
        <v>0</v>
      </c>
      <c r="S301" s="15">
        <v>0</v>
      </c>
      <c r="T301" s="17">
        <v>0</v>
      </c>
      <c r="U301" s="15">
        <f t="shared" si="53"/>
        <v>0</v>
      </c>
      <c r="V301" s="15">
        <v>0</v>
      </c>
      <c r="W301" s="15">
        <v>0</v>
      </c>
      <c r="X301" s="24">
        <v>0</v>
      </c>
      <c r="Y301" s="15">
        <v>0</v>
      </c>
      <c r="Z301" s="15">
        <v>0</v>
      </c>
      <c r="AA301" s="39">
        <v>0</v>
      </c>
      <c r="AB301" s="15">
        <f t="shared" si="48"/>
        <v>0</v>
      </c>
      <c r="AC301" s="15">
        <v>0</v>
      </c>
      <c r="AD301" s="16">
        <v>0</v>
      </c>
      <c r="AE301" s="15">
        <v>0</v>
      </c>
      <c r="AF301" s="31">
        <f t="shared" si="49"/>
        <v>3202.9800000000005</v>
      </c>
      <c r="AG301" s="15">
        <v>0</v>
      </c>
      <c r="AH301" s="15">
        <v>0</v>
      </c>
      <c r="AI301" s="15">
        <v>0</v>
      </c>
      <c r="AJ301" s="15">
        <v>0</v>
      </c>
      <c r="AK301" s="25">
        <f t="shared" si="54"/>
        <v>0</v>
      </c>
      <c r="AL301" s="17">
        <f t="shared" si="55"/>
        <v>2482.3095000000003</v>
      </c>
      <c r="AP301" s="20" t="s">
        <v>487</v>
      </c>
    </row>
    <row r="302" spans="2:42" ht="11.25" customHeight="1">
      <c r="B302" s="20">
        <v>302</v>
      </c>
      <c r="C302" s="20" t="s">
        <v>478</v>
      </c>
      <c r="E302" s="86">
        <v>1</v>
      </c>
      <c r="F302" s="19" t="s">
        <v>438</v>
      </c>
      <c r="G302" s="32">
        <v>1280</v>
      </c>
      <c r="H302" s="15">
        <f>G302*Valores!$B$2</f>
        <v>2970.88</v>
      </c>
      <c r="I302" s="24">
        <v>0</v>
      </c>
      <c r="J302" s="15">
        <f>I302*Valores!$B$2</f>
        <v>0</v>
      </c>
      <c r="K302" s="27">
        <v>0</v>
      </c>
      <c r="L302" s="15">
        <f>K302*Valores!$B$2</f>
        <v>0</v>
      </c>
      <c r="M302" s="27">
        <v>0</v>
      </c>
      <c r="N302" s="15">
        <f>M302*Valores!$B$2</f>
        <v>0</v>
      </c>
      <c r="O302" s="15">
        <f t="shared" si="50"/>
        <v>445.632</v>
      </c>
      <c r="P302" s="15">
        <f t="shared" si="47"/>
        <v>0</v>
      </c>
      <c r="Q302" s="17">
        <v>0</v>
      </c>
      <c r="R302" s="17">
        <v>0</v>
      </c>
      <c r="S302" s="15">
        <v>0</v>
      </c>
      <c r="T302" s="17">
        <v>0</v>
      </c>
      <c r="U302" s="15">
        <f t="shared" si="53"/>
        <v>0</v>
      </c>
      <c r="V302" s="15">
        <v>0</v>
      </c>
      <c r="W302" s="15">
        <v>0</v>
      </c>
      <c r="X302" s="24">
        <v>0</v>
      </c>
      <c r="Y302" s="15">
        <v>0</v>
      </c>
      <c r="Z302" s="15">
        <v>0</v>
      </c>
      <c r="AA302" s="39">
        <v>0</v>
      </c>
      <c r="AB302" s="15">
        <f t="shared" si="48"/>
        <v>0</v>
      </c>
      <c r="AC302" s="15">
        <v>0</v>
      </c>
      <c r="AD302" s="16">
        <v>0</v>
      </c>
      <c r="AE302" s="15">
        <v>0</v>
      </c>
      <c r="AF302" s="31">
        <f t="shared" si="49"/>
        <v>3416.512</v>
      </c>
      <c r="AG302" s="15">
        <v>0</v>
      </c>
      <c r="AH302" s="15">
        <v>0</v>
      </c>
      <c r="AI302" s="15">
        <v>0</v>
      </c>
      <c r="AJ302" s="15">
        <v>0</v>
      </c>
      <c r="AK302" s="25">
        <f t="shared" si="54"/>
        <v>0</v>
      </c>
      <c r="AL302" s="17">
        <f t="shared" si="55"/>
        <v>2647.7968</v>
      </c>
      <c r="AP302" s="20" t="s">
        <v>487</v>
      </c>
    </row>
    <row r="303" spans="2:42" ht="11.25" customHeight="1">
      <c r="B303" s="20">
        <v>303</v>
      </c>
      <c r="C303" s="20"/>
      <c r="E303" s="86">
        <v>1</v>
      </c>
      <c r="F303" s="19" t="s">
        <v>439</v>
      </c>
      <c r="G303" s="32">
        <v>91</v>
      </c>
      <c r="H303" s="15">
        <f>G303*Valores!$B$2</f>
        <v>211.211</v>
      </c>
      <c r="I303" s="24">
        <v>0</v>
      </c>
      <c r="J303" s="15">
        <f>I303*Valores!$B$2</f>
        <v>0</v>
      </c>
      <c r="K303" s="27">
        <v>0</v>
      </c>
      <c r="L303" s="15">
        <f>K303*Valores!$B$2</f>
        <v>0</v>
      </c>
      <c r="M303" s="27">
        <v>0</v>
      </c>
      <c r="N303" s="15">
        <f>M303*Valores!$B$2</f>
        <v>0</v>
      </c>
      <c r="O303" s="15">
        <f t="shared" si="50"/>
        <v>31.68165</v>
      </c>
      <c r="P303" s="15">
        <f t="shared" si="47"/>
        <v>0</v>
      </c>
      <c r="Q303" s="17">
        <v>0</v>
      </c>
      <c r="R303" s="17">
        <v>0</v>
      </c>
      <c r="S303" s="15">
        <v>0</v>
      </c>
      <c r="T303" s="17">
        <v>0</v>
      </c>
      <c r="U303" s="15">
        <f t="shared" si="53"/>
        <v>0</v>
      </c>
      <c r="V303" s="15">
        <v>0</v>
      </c>
      <c r="W303" s="15">
        <v>0</v>
      </c>
      <c r="X303" s="24">
        <v>0</v>
      </c>
      <c r="Y303" s="15">
        <v>0</v>
      </c>
      <c r="Z303" s="15">
        <v>0</v>
      </c>
      <c r="AA303" s="39">
        <v>0</v>
      </c>
      <c r="AB303" s="15">
        <f t="shared" si="48"/>
        <v>0</v>
      </c>
      <c r="AC303" s="15">
        <v>0</v>
      </c>
      <c r="AD303" s="16">
        <v>0</v>
      </c>
      <c r="AE303" s="15">
        <v>0</v>
      </c>
      <c r="AF303" s="31">
        <f t="shared" si="49"/>
        <v>242.89265</v>
      </c>
      <c r="AG303" s="15">
        <v>0</v>
      </c>
      <c r="AH303" s="15">
        <v>0</v>
      </c>
      <c r="AI303" s="15">
        <v>0</v>
      </c>
      <c r="AJ303" s="15">
        <v>0</v>
      </c>
      <c r="AK303" s="25">
        <f t="shared" si="54"/>
        <v>0</v>
      </c>
      <c r="AL303" s="17">
        <f t="shared" si="55"/>
        <v>188.24180375</v>
      </c>
      <c r="AP303" s="20" t="s">
        <v>486</v>
      </c>
    </row>
    <row r="304" spans="2:42" ht="11.25" customHeight="1">
      <c r="B304" s="20">
        <v>304</v>
      </c>
      <c r="C304" s="20"/>
      <c r="E304" s="86">
        <v>1</v>
      </c>
      <c r="F304" s="19" t="s">
        <v>440</v>
      </c>
      <c r="G304" s="32">
        <v>133</v>
      </c>
      <c r="H304" s="15">
        <f>G304*Valores!$B$2</f>
        <v>308.69300000000004</v>
      </c>
      <c r="I304" s="24">
        <v>0</v>
      </c>
      <c r="J304" s="15">
        <f>I304*Valores!$B$2</f>
        <v>0</v>
      </c>
      <c r="K304" s="27">
        <v>0</v>
      </c>
      <c r="L304" s="15">
        <f>K304*Valores!$B$2</f>
        <v>0</v>
      </c>
      <c r="M304" s="27">
        <v>0</v>
      </c>
      <c r="N304" s="15">
        <f>M304*Valores!$B$2</f>
        <v>0</v>
      </c>
      <c r="O304" s="15">
        <f t="shared" si="50"/>
        <v>46.30395000000001</v>
      </c>
      <c r="P304" s="15">
        <f t="shared" si="47"/>
        <v>0</v>
      </c>
      <c r="Q304" s="17">
        <v>0</v>
      </c>
      <c r="R304" s="17">
        <v>0</v>
      </c>
      <c r="S304" s="15">
        <v>0</v>
      </c>
      <c r="T304" s="17">
        <v>0</v>
      </c>
      <c r="U304" s="15">
        <f t="shared" si="53"/>
        <v>0</v>
      </c>
      <c r="V304" s="15">
        <v>0</v>
      </c>
      <c r="W304" s="15">
        <v>0</v>
      </c>
      <c r="X304" s="24">
        <v>0</v>
      </c>
      <c r="Y304" s="15">
        <v>0</v>
      </c>
      <c r="Z304" s="15">
        <v>0</v>
      </c>
      <c r="AA304" s="39">
        <v>0</v>
      </c>
      <c r="AB304" s="15">
        <f t="shared" si="48"/>
        <v>0</v>
      </c>
      <c r="AC304" s="15">
        <v>0</v>
      </c>
      <c r="AD304" s="16">
        <v>0</v>
      </c>
      <c r="AE304" s="15">
        <v>0</v>
      </c>
      <c r="AF304" s="31">
        <f t="shared" si="49"/>
        <v>354.99695</v>
      </c>
      <c r="AG304" s="15">
        <v>0</v>
      </c>
      <c r="AH304" s="15">
        <v>0</v>
      </c>
      <c r="AI304" s="15">
        <v>0</v>
      </c>
      <c r="AJ304" s="15">
        <v>0</v>
      </c>
      <c r="AK304" s="25">
        <f t="shared" si="54"/>
        <v>0</v>
      </c>
      <c r="AL304" s="17">
        <f t="shared" si="55"/>
        <v>275.12263625</v>
      </c>
      <c r="AP304" s="20" t="s">
        <v>486</v>
      </c>
    </row>
    <row r="305" spans="2:42" ht="11.25" customHeight="1" thickBot="1">
      <c r="B305" s="20">
        <v>305</v>
      </c>
      <c r="C305" s="20"/>
      <c r="D305" s="76"/>
      <c r="E305" s="87">
        <v>1</v>
      </c>
      <c r="F305" s="74" t="s">
        <v>441</v>
      </c>
      <c r="G305" s="72">
        <v>124</v>
      </c>
      <c r="H305" s="60">
        <f>G305*Valores!$B$2</f>
        <v>287.80400000000003</v>
      </c>
      <c r="I305" s="63">
        <v>0</v>
      </c>
      <c r="J305" s="60">
        <f>I305*Valores!$B$2</f>
        <v>0</v>
      </c>
      <c r="K305" s="70">
        <v>0</v>
      </c>
      <c r="L305" s="60">
        <f>K305*Valores!$B$2</f>
        <v>0</v>
      </c>
      <c r="M305" s="70">
        <v>0</v>
      </c>
      <c r="N305" s="60">
        <f>M305*Valores!$B$2</f>
        <v>0</v>
      </c>
      <c r="O305" s="60">
        <f t="shared" si="50"/>
        <v>43.1706</v>
      </c>
      <c r="P305" s="60">
        <f t="shared" si="47"/>
        <v>0</v>
      </c>
      <c r="Q305" s="62">
        <v>0</v>
      </c>
      <c r="R305" s="62">
        <v>0</v>
      </c>
      <c r="S305" s="60">
        <v>0</v>
      </c>
      <c r="T305" s="62">
        <v>0</v>
      </c>
      <c r="U305" s="60">
        <f t="shared" si="53"/>
        <v>0</v>
      </c>
      <c r="V305" s="60">
        <v>0</v>
      </c>
      <c r="W305" s="60">
        <v>0</v>
      </c>
      <c r="X305" s="63">
        <v>0</v>
      </c>
      <c r="Y305" s="60">
        <v>0</v>
      </c>
      <c r="Z305" s="60">
        <v>0</v>
      </c>
      <c r="AA305" s="64">
        <v>0</v>
      </c>
      <c r="AB305" s="60">
        <f t="shared" si="48"/>
        <v>0</v>
      </c>
      <c r="AC305" s="60">
        <v>0</v>
      </c>
      <c r="AD305" s="65">
        <v>0</v>
      </c>
      <c r="AE305" s="60">
        <v>0</v>
      </c>
      <c r="AF305" s="66">
        <f t="shared" si="49"/>
        <v>330.9746</v>
      </c>
      <c r="AG305" s="60">
        <v>0</v>
      </c>
      <c r="AH305" s="60">
        <v>0</v>
      </c>
      <c r="AI305" s="60">
        <v>0</v>
      </c>
      <c r="AJ305" s="60">
        <v>0</v>
      </c>
      <c r="AK305" s="67">
        <f t="shared" si="54"/>
        <v>0</v>
      </c>
      <c r="AL305" s="62">
        <f t="shared" si="55"/>
        <v>256.505315</v>
      </c>
      <c r="AM305" s="75"/>
      <c r="AN305" s="73"/>
      <c r="AO305" s="73"/>
      <c r="AP305" s="20" t="s">
        <v>486</v>
      </c>
    </row>
    <row r="306" spans="2:42" ht="11.25" customHeight="1" thickTop="1">
      <c r="B306" s="20">
        <v>306</v>
      </c>
      <c r="C306" s="20"/>
      <c r="E306" s="86">
        <v>1</v>
      </c>
      <c r="F306" s="19" t="s">
        <v>442</v>
      </c>
      <c r="G306" s="32">
        <v>433</v>
      </c>
      <c r="H306" s="15">
        <f>G306*Valores!$B$2</f>
        <v>1004.993</v>
      </c>
      <c r="I306" s="24">
        <v>0</v>
      </c>
      <c r="J306" s="15">
        <f>I306*Valores!$B$2</f>
        <v>0</v>
      </c>
      <c r="K306" s="27">
        <v>0</v>
      </c>
      <c r="L306" s="15">
        <f>K306*Valores!$B$2</f>
        <v>0</v>
      </c>
      <c r="M306" s="27">
        <v>0</v>
      </c>
      <c r="N306" s="15">
        <f>M306*Valores!$B$2</f>
        <v>0</v>
      </c>
      <c r="O306" s="15">
        <f t="shared" si="50"/>
        <v>150.74895</v>
      </c>
      <c r="P306" s="15">
        <f t="shared" si="47"/>
        <v>0</v>
      </c>
      <c r="Q306" s="17">
        <v>0</v>
      </c>
      <c r="R306" s="17">
        <v>0</v>
      </c>
      <c r="S306" s="15">
        <v>0</v>
      </c>
      <c r="T306" s="17">
        <v>0</v>
      </c>
      <c r="U306" s="15">
        <f t="shared" si="53"/>
        <v>0</v>
      </c>
      <c r="V306" s="15">
        <v>0</v>
      </c>
      <c r="W306" s="15">
        <v>0</v>
      </c>
      <c r="X306" s="24">
        <v>0</v>
      </c>
      <c r="Y306" s="15">
        <v>0</v>
      </c>
      <c r="Z306" s="15">
        <v>0</v>
      </c>
      <c r="AA306" s="39">
        <v>0</v>
      </c>
      <c r="AB306" s="15">
        <f t="shared" si="48"/>
        <v>0</v>
      </c>
      <c r="AC306" s="15">
        <v>0</v>
      </c>
      <c r="AD306" s="16">
        <v>0</v>
      </c>
      <c r="AE306" s="15">
        <v>0</v>
      </c>
      <c r="AF306" s="31">
        <f t="shared" si="49"/>
        <v>1155.74195</v>
      </c>
      <c r="AG306" s="15">
        <v>0</v>
      </c>
      <c r="AH306" s="15">
        <v>0</v>
      </c>
      <c r="AI306" s="15">
        <v>0</v>
      </c>
      <c r="AJ306" s="15">
        <v>0</v>
      </c>
      <c r="AK306" s="25">
        <f t="shared" si="54"/>
        <v>0</v>
      </c>
      <c r="AL306" s="17">
        <f t="shared" si="55"/>
        <v>895.7000112500001</v>
      </c>
      <c r="AP306" s="20" t="s">
        <v>486</v>
      </c>
    </row>
    <row r="307" spans="2:42" ht="11.25" customHeight="1">
      <c r="B307" s="20">
        <v>307</v>
      </c>
      <c r="C307" s="20" t="s">
        <v>478</v>
      </c>
      <c r="E307" s="86">
        <v>1</v>
      </c>
      <c r="F307" s="19" t="s">
        <v>443</v>
      </c>
      <c r="G307" s="32">
        <v>410</v>
      </c>
      <c r="H307" s="15">
        <f>G307*Valores!$B$2</f>
        <v>951.6100000000001</v>
      </c>
      <c r="I307" s="24">
        <v>0</v>
      </c>
      <c r="J307" s="15">
        <f>I307*Valores!$B$2</f>
        <v>0</v>
      </c>
      <c r="K307" s="27">
        <v>0</v>
      </c>
      <c r="L307" s="15">
        <f>K307*Valores!$B$2</f>
        <v>0</v>
      </c>
      <c r="M307" s="27">
        <v>0</v>
      </c>
      <c r="N307" s="15">
        <f>M307*Valores!$B$2</f>
        <v>0</v>
      </c>
      <c r="O307" s="15">
        <f t="shared" si="50"/>
        <v>142.7415</v>
      </c>
      <c r="P307" s="15">
        <f t="shared" si="47"/>
        <v>0</v>
      </c>
      <c r="Q307" s="17">
        <v>0</v>
      </c>
      <c r="R307" s="17">
        <v>0</v>
      </c>
      <c r="S307" s="15">
        <v>0</v>
      </c>
      <c r="T307" s="17">
        <v>0</v>
      </c>
      <c r="U307" s="15">
        <f t="shared" si="53"/>
        <v>0</v>
      </c>
      <c r="V307" s="15">
        <v>0</v>
      </c>
      <c r="W307" s="15">
        <v>0</v>
      </c>
      <c r="X307" s="24">
        <v>0</v>
      </c>
      <c r="Y307" s="15">
        <v>0</v>
      </c>
      <c r="Z307" s="15">
        <v>0</v>
      </c>
      <c r="AA307" s="39">
        <v>0</v>
      </c>
      <c r="AB307" s="15">
        <f t="shared" si="48"/>
        <v>0</v>
      </c>
      <c r="AC307" s="15">
        <v>0</v>
      </c>
      <c r="AD307" s="16">
        <v>0</v>
      </c>
      <c r="AE307" s="15">
        <v>0</v>
      </c>
      <c r="AF307" s="31">
        <f t="shared" si="49"/>
        <v>1094.3515000000002</v>
      </c>
      <c r="AG307" s="15">
        <v>0</v>
      </c>
      <c r="AH307" s="15">
        <v>0</v>
      </c>
      <c r="AI307" s="15">
        <v>0</v>
      </c>
      <c r="AJ307" s="15">
        <v>0</v>
      </c>
      <c r="AK307" s="25">
        <f t="shared" si="54"/>
        <v>0</v>
      </c>
      <c r="AL307" s="17">
        <f t="shared" si="55"/>
        <v>848.1224125000002</v>
      </c>
      <c r="AP307" s="20" t="s">
        <v>486</v>
      </c>
    </row>
    <row r="308" spans="2:42" ht="11.25" customHeight="1">
      <c r="B308" s="20">
        <v>308</v>
      </c>
      <c r="C308" s="20"/>
      <c r="E308" s="86">
        <v>1</v>
      </c>
      <c r="F308" s="19" t="s">
        <v>444</v>
      </c>
      <c r="G308" s="32">
        <v>231</v>
      </c>
      <c r="H308" s="15">
        <f>G308*Valores!$B$2</f>
        <v>536.1510000000001</v>
      </c>
      <c r="I308" s="24">
        <v>0</v>
      </c>
      <c r="J308" s="15">
        <f>I308*Valores!$B$2</f>
        <v>0</v>
      </c>
      <c r="K308" s="27">
        <v>0</v>
      </c>
      <c r="L308" s="15">
        <f>K308*Valores!$B$2</f>
        <v>0</v>
      </c>
      <c r="M308" s="27">
        <v>0</v>
      </c>
      <c r="N308" s="15">
        <f>M308*Valores!$B$2</f>
        <v>0</v>
      </c>
      <c r="O308" s="15">
        <f t="shared" si="50"/>
        <v>80.42265</v>
      </c>
      <c r="P308" s="15">
        <f t="shared" si="47"/>
        <v>0</v>
      </c>
      <c r="Q308" s="17">
        <v>0</v>
      </c>
      <c r="R308" s="17">
        <v>0</v>
      </c>
      <c r="S308" s="15">
        <v>0</v>
      </c>
      <c r="T308" s="17">
        <v>0</v>
      </c>
      <c r="U308" s="15">
        <f t="shared" si="53"/>
        <v>0</v>
      </c>
      <c r="V308" s="15">
        <v>0</v>
      </c>
      <c r="W308" s="15">
        <v>0</v>
      </c>
      <c r="X308" s="24">
        <v>0</v>
      </c>
      <c r="Y308" s="15">
        <v>0</v>
      </c>
      <c r="Z308" s="15">
        <v>0</v>
      </c>
      <c r="AA308" s="39">
        <v>0</v>
      </c>
      <c r="AB308" s="15">
        <f t="shared" si="48"/>
        <v>0</v>
      </c>
      <c r="AC308" s="15">
        <v>0</v>
      </c>
      <c r="AD308" s="16">
        <v>0</v>
      </c>
      <c r="AE308" s="15">
        <v>0</v>
      </c>
      <c r="AF308" s="31">
        <f t="shared" si="49"/>
        <v>616.57365</v>
      </c>
      <c r="AG308" s="15">
        <v>0</v>
      </c>
      <c r="AH308" s="15">
        <v>0</v>
      </c>
      <c r="AI308" s="15">
        <v>0</v>
      </c>
      <c r="AJ308" s="15">
        <v>0</v>
      </c>
      <c r="AK308" s="25">
        <f t="shared" si="54"/>
        <v>0</v>
      </c>
      <c r="AL308" s="17">
        <f t="shared" si="55"/>
        <v>477.84457875000004</v>
      </c>
      <c r="AP308" s="20" t="s">
        <v>486</v>
      </c>
    </row>
    <row r="309" spans="2:42" ht="11.25" customHeight="1">
      <c r="B309" s="20">
        <v>309</v>
      </c>
      <c r="C309" s="20"/>
      <c r="E309" s="86">
        <v>1</v>
      </c>
      <c r="F309" s="19" t="s">
        <v>445</v>
      </c>
      <c r="G309" s="32">
        <v>231</v>
      </c>
      <c r="H309" s="15">
        <f>G309*Valores!$B$2</f>
        <v>536.1510000000001</v>
      </c>
      <c r="I309" s="24">
        <v>0</v>
      </c>
      <c r="J309" s="15">
        <f>I309*Valores!$B$2</f>
        <v>0</v>
      </c>
      <c r="K309" s="27">
        <v>0</v>
      </c>
      <c r="L309" s="15">
        <f>K309*Valores!$B$2</f>
        <v>0</v>
      </c>
      <c r="M309" s="27">
        <v>0</v>
      </c>
      <c r="N309" s="15">
        <f>M309*Valores!$B$2</f>
        <v>0</v>
      </c>
      <c r="O309" s="15">
        <f t="shared" si="50"/>
        <v>80.42265</v>
      </c>
      <c r="P309" s="15">
        <f t="shared" si="47"/>
        <v>0</v>
      </c>
      <c r="Q309" s="17">
        <v>0</v>
      </c>
      <c r="R309" s="17">
        <v>0</v>
      </c>
      <c r="S309" s="15">
        <v>0</v>
      </c>
      <c r="T309" s="17">
        <v>0</v>
      </c>
      <c r="U309" s="15">
        <f t="shared" si="53"/>
        <v>0</v>
      </c>
      <c r="V309" s="15">
        <v>0</v>
      </c>
      <c r="W309" s="15">
        <v>0</v>
      </c>
      <c r="X309" s="24">
        <v>0</v>
      </c>
      <c r="Y309" s="15">
        <v>0</v>
      </c>
      <c r="Z309" s="15">
        <v>0</v>
      </c>
      <c r="AA309" s="39">
        <v>0</v>
      </c>
      <c r="AB309" s="15">
        <f t="shared" si="48"/>
        <v>0</v>
      </c>
      <c r="AC309" s="15">
        <v>0</v>
      </c>
      <c r="AD309" s="16">
        <v>0</v>
      </c>
      <c r="AE309" s="15">
        <v>0</v>
      </c>
      <c r="AF309" s="31">
        <f t="shared" si="49"/>
        <v>616.57365</v>
      </c>
      <c r="AG309" s="15">
        <v>0</v>
      </c>
      <c r="AH309" s="15">
        <v>0</v>
      </c>
      <c r="AI309" s="15">
        <v>0</v>
      </c>
      <c r="AJ309" s="15">
        <v>0</v>
      </c>
      <c r="AK309" s="25">
        <f t="shared" si="54"/>
        <v>0</v>
      </c>
      <c r="AL309" s="17">
        <f t="shared" si="55"/>
        <v>477.84457875000004</v>
      </c>
      <c r="AP309" s="20" t="s">
        <v>486</v>
      </c>
    </row>
    <row r="310" spans="2:42" ht="11.25" customHeight="1" thickBot="1">
      <c r="B310" s="20">
        <v>310</v>
      </c>
      <c r="C310" s="20"/>
      <c r="D310" s="76"/>
      <c r="E310" s="87">
        <v>1</v>
      </c>
      <c r="F310" s="74" t="s">
        <v>446</v>
      </c>
      <c r="G310" s="72">
        <v>4</v>
      </c>
      <c r="H310" s="60">
        <f>G310*Valores!$B$2</f>
        <v>9.284</v>
      </c>
      <c r="I310" s="63">
        <v>0</v>
      </c>
      <c r="J310" s="60">
        <f>I310*Valores!$B$2</f>
        <v>0</v>
      </c>
      <c r="K310" s="70">
        <v>0</v>
      </c>
      <c r="L310" s="60">
        <f>K310*Valores!$B$2</f>
        <v>0</v>
      </c>
      <c r="M310" s="70">
        <v>0</v>
      </c>
      <c r="N310" s="60">
        <f>M310*Valores!$B$2</f>
        <v>0</v>
      </c>
      <c r="O310" s="60">
        <f t="shared" si="50"/>
        <v>1.3926</v>
      </c>
      <c r="P310" s="60">
        <f t="shared" si="47"/>
        <v>0</v>
      </c>
      <c r="Q310" s="62">
        <v>0</v>
      </c>
      <c r="R310" s="62">
        <v>0</v>
      </c>
      <c r="S310" s="60">
        <v>0</v>
      </c>
      <c r="T310" s="62">
        <v>0</v>
      </c>
      <c r="U310" s="60">
        <f t="shared" si="53"/>
        <v>0</v>
      </c>
      <c r="V310" s="60">
        <v>0</v>
      </c>
      <c r="W310" s="60">
        <v>0</v>
      </c>
      <c r="X310" s="63">
        <v>0</v>
      </c>
      <c r="Y310" s="60">
        <v>0</v>
      </c>
      <c r="Z310" s="60">
        <v>0</v>
      </c>
      <c r="AA310" s="64">
        <v>0</v>
      </c>
      <c r="AB310" s="60">
        <f t="shared" si="48"/>
        <v>0</v>
      </c>
      <c r="AC310" s="60">
        <v>0</v>
      </c>
      <c r="AD310" s="65">
        <v>0</v>
      </c>
      <c r="AE310" s="60">
        <v>0</v>
      </c>
      <c r="AF310" s="66">
        <f t="shared" si="49"/>
        <v>10.6766</v>
      </c>
      <c r="AG310" s="60">
        <v>0</v>
      </c>
      <c r="AH310" s="60">
        <v>0</v>
      </c>
      <c r="AI310" s="60">
        <v>0</v>
      </c>
      <c r="AJ310" s="60">
        <v>0</v>
      </c>
      <c r="AK310" s="67">
        <f t="shared" si="54"/>
        <v>0</v>
      </c>
      <c r="AL310" s="62">
        <f t="shared" si="55"/>
        <v>8.274365000000001</v>
      </c>
      <c r="AM310" s="75"/>
      <c r="AN310" s="73"/>
      <c r="AO310" s="73"/>
      <c r="AP310" s="20" t="s">
        <v>486</v>
      </c>
    </row>
    <row r="311" spans="2:42" ht="11.25" customHeight="1" thickTop="1">
      <c r="B311" s="20">
        <v>311</v>
      </c>
      <c r="C311" s="20"/>
      <c r="E311" s="86">
        <v>1</v>
      </c>
      <c r="F311" s="19" t="s">
        <v>447</v>
      </c>
      <c r="G311" s="32">
        <v>8</v>
      </c>
      <c r="H311" s="15">
        <f>G311*Valores!$B$2</f>
        <v>18.568</v>
      </c>
      <c r="I311" s="24">
        <v>0</v>
      </c>
      <c r="J311" s="15">
        <f>I311*Valores!$B$2</f>
        <v>0</v>
      </c>
      <c r="K311" s="27">
        <v>0</v>
      </c>
      <c r="L311" s="15">
        <f>K311*Valores!$B$2</f>
        <v>0</v>
      </c>
      <c r="M311" s="27">
        <v>0</v>
      </c>
      <c r="N311" s="15">
        <f>M311*Valores!$B$2</f>
        <v>0</v>
      </c>
      <c r="O311" s="15">
        <f t="shared" si="50"/>
        <v>2.7852</v>
      </c>
      <c r="P311" s="15">
        <f t="shared" si="47"/>
        <v>0</v>
      </c>
      <c r="Q311" s="17">
        <v>0</v>
      </c>
      <c r="R311" s="17">
        <v>0</v>
      </c>
      <c r="S311" s="15">
        <v>0</v>
      </c>
      <c r="T311" s="17">
        <v>0</v>
      </c>
      <c r="U311" s="15">
        <f t="shared" si="53"/>
        <v>0</v>
      </c>
      <c r="V311" s="15">
        <v>0</v>
      </c>
      <c r="W311" s="15">
        <v>0</v>
      </c>
      <c r="X311" s="24">
        <v>0</v>
      </c>
      <c r="Y311" s="15">
        <v>0</v>
      </c>
      <c r="Z311" s="15">
        <v>0</v>
      </c>
      <c r="AA311" s="39">
        <v>0</v>
      </c>
      <c r="AB311" s="15">
        <f t="shared" si="48"/>
        <v>0</v>
      </c>
      <c r="AC311" s="15">
        <v>0</v>
      </c>
      <c r="AD311" s="16">
        <v>0</v>
      </c>
      <c r="AE311" s="15">
        <v>0</v>
      </c>
      <c r="AF311" s="31">
        <f t="shared" si="49"/>
        <v>21.3532</v>
      </c>
      <c r="AG311" s="15">
        <v>0</v>
      </c>
      <c r="AH311" s="15">
        <v>0</v>
      </c>
      <c r="AI311" s="15">
        <v>0</v>
      </c>
      <c r="AJ311" s="15">
        <v>0</v>
      </c>
      <c r="AK311" s="25">
        <f t="shared" si="54"/>
        <v>0</v>
      </c>
      <c r="AL311" s="17">
        <f t="shared" si="55"/>
        <v>16.548730000000003</v>
      </c>
      <c r="AP311" s="20" t="s">
        <v>486</v>
      </c>
    </row>
    <row r="312" spans="2:42" ht="11.25" customHeight="1">
      <c r="B312" s="20">
        <v>312</v>
      </c>
      <c r="C312" s="20" t="s">
        <v>478</v>
      </c>
      <c r="E312" s="86">
        <v>1</v>
      </c>
      <c r="F312" s="19" t="s">
        <v>448</v>
      </c>
      <c r="G312" s="32">
        <f>232+8</f>
        <v>240</v>
      </c>
      <c r="H312" s="15">
        <f>G312*Valores!$B$2</f>
        <v>557.0400000000001</v>
      </c>
      <c r="I312" s="24">
        <v>0</v>
      </c>
      <c r="J312" s="15">
        <f>I312*Valores!$B$2</f>
        <v>0</v>
      </c>
      <c r="K312" s="27">
        <v>0</v>
      </c>
      <c r="L312" s="15">
        <f>K312*Valores!$B$2</f>
        <v>0</v>
      </c>
      <c r="M312" s="27">
        <v>0</v>
      </c>
      <c r="N312" s="15">
        <f>M312*Valores!$B$2</f>
        <v>0</v>
      </c>
      <c r="O312" s="15">
        <v>0</v>
      </c>
      <c r="P312" s="15">
        <f t="shared" si="47"/>
        <v>0</v>
      </c>
      <c r="Q312" s="17">
        <v>0</v>
      </c>
      <c r="R312" s="17">
        <v>0</v>
      </c>
      <c r="S312" s="15">
        <v>0</v>
      </c>
      <c r="T312" s="17">
        <v>0</v>
      </c>
      <c r="U312" s="15">
        <f t="shared" si="53"/>
        <v>0</v>
      </c>
      <c r="V312" s="15">
        <v>0</v>
      </c>
      <c r="W312" s="15">
        <v>0</v>
      </c>
      <c r="X312" s="24">
        <v>0</v>
      </c>
      <c r="Y312" s="15">
        <v>0</v>
      </c>
      <c r="Z312" s="15">
        <v>0</v>
      </c>
      <c r="AA312" s="39">
        <v>0</v>
      </c>
      <c r="AB312" s="15">
        <f t="shared" si="48"/>
        <v>0</v>
      </c>
      <c r="AC312" s="15">
        <v>0</v>
      </c>
      <c r="AD312" s="16">
        <v>0</v>
      </c>
      <c r="AE312" s="15">
        <v>0</v>
      </c>
      <c r="AF312" s="31">
        <f t="shared" si="49"/>
        <v>557.0400000000001</v>
      </c>
      <c r="AG312" s="15">
        <v>0</v>
      </c>
      <c r="AH312" s="15">
        <v>0</v>
      </c>
      <c r="AI312" s="15">
        <v>0</v>
      </c>
      <c r="AJ312" s="15">
        <v>0</v>
      </c>
      <c r="AK312" s="25">
        <f t="shared" si="54"/>
        <v>0</v>
      </c>
      <c r="AL312" s="17">
        <f t="shared" si="55"/>
        <v>431.7060000000001</v>
      </c>
      <c r="AP312" s="20" t="s">
        <v>487</v>
      </c>
    </row>
    <row r="313" spans="2:42" ht="11.25" customHeight="1">
      <c r="B313" s="20">
        <v>313</v>
      </c>
      <c r="C313" s="20"/>
      <c r="E313" s="86">
        <v>1</v>
      </c>
      <c r="F313" s="19" t="s">
        <v>449</v>
      </c>
      <c r="G313" s="32">
        <f>208+8</f>
        <v>216</v>
      </c>
      <c r="H313" s="15">
        <f>G313*Valores!$B$2</f>
        <v>501.336</v>
      </c>
      <c r="I313" s="24">
        <v>0</v>
      </c>
      <c r="J313" s="15">
        <f>I313*Valores!$B$2</f>
        <v>0</v>
      </c>
      <c r="K313" s="27">
        <v>0</v>
      </c>
      <c r="L313" s="15">
        <f>K313*Valores!$B$2</f>
        <v>0</v>
      </c>
      <c r="M313" s="27">
        <v>0</v>
      </c>
      <c r="N313" s="15">
        <f>M313*Valores!$B$2</f>
        <v>0</v>
      </c>
      <c r="O313" s="15">
        <v>0</v>
      </c>
      <c r="P313" s="15">
        <f t="shared" si="47"/>
        <v>0</v>
      </c>
      <c r="Q313" s="17">
        <v>0</v>
      </c>
      <c r="R313" s="17">
        <v>0</v>
      </c>
      <c r="S313" s="15">
        <v>0</v>
      </c>
      <c r="T313" s="17">
        <v>0</v>
      </c>
      <c r="U313" s="15">
        <f t="shared" si="53"/>
        <v>0</v>
      </c>
      <c r="V313" s="15">
        <v>0</v>
      </c>
      <c r="W313" s="15">
        <v>0</v>
      </c>
      <c r="X313" s="24">
        <v>0</v>
      </c>
      <c r="Y313" s="15">
        <v>0</v>
      </c>
      <c r="Z313" s="15">
        <v>0</v>
      </c>
      <c r="AA313" s="39">
        <v>0</v>
      </c>
      <c r="AB313" s="15">
        <f t="shared" si="48"/>
        <v>0</v>
      </c>
      <c r="AC313" s="15">
        <v>0</v>
      </c>
      <c r="AD313" s="16">
        <v>0</v>
      </c>
      <c r="AE313" s="15">
        <v>0</v>
      </c>
      <c r="AF313" s="31">
        <f t="shared" si="49"/>
        <v>501.336</v>
      </c>
      <c r="AG313" s="15">
        <v>0</v>
      </c>
      <c r="AH313" s="15">
        <v>0</v>
      </c>
      <c r="AI313" s="15">
        <v>0</v>
      </c>
      <c r="AJ313" s="15">
        <v>0</v>
      </c>
      <c r="AK313" s="25">
        <f t="shared" si="54"/>
        <v>0</v>
      </c>
      <c r="AL313" s="17">
        <f t="shared" si="55"/>
        <v>388.53540000000004</v>
      </c>
      <c r="AP313" s="20" t="s">
        <v>487</v>
      </c>
    </row>
    <row r="314" spans="2:42" ht="11.25" customHeight="1">
      <c r="B314" s="20">
        <v>314</v>
      </c>
      <c r="C314" s="20"/>
      <c r="E314" s="86">
        <v>1</v>
      </c>
      <c r="F314" s="19" t="s">
        <v>450</v>
      </c>
      <c r="G314" s="32">
        <f>194+8</f>
        <v>202</v>
      </c>
      <c r="H314" s="15">
        <f>G314*Valores!$B$2</f>
        <v>468.84200000000004</v>
      </c>
      <c r="I314" s="24">
        <v>0</v>
      </c>
      <c r="J314" s="15">
        <f>I314*Valores!$B$2</f>
        <v>0</v>
      </c>
      <c r="K314" s="27">
        <v>0</v>
      </c>
      <c r="L314" s="15">
        <f>K314*Valores!$B$2</f>
        <v>0</v>
      </c>
      <c r="M314" s="27">
        <v>0</v>
      </c>
      <c r="N314" s="15">
        <f>M314*Valores!$B$2</f>
        <v>0</v>
      </c>
      <c r="O314" s="15">
        <v>0</v>
      </c>
      <c r="P314" s="15">
        <f t="shared" si="47"/>
        <v>0</v>
      </c>
      <c r="Q314" s="17">
        <v>0</v>
      </c>
      <c r="R314" s="17">
        <v>0</v>
      </c>
      <c r="S314" s="15">
        <v>0</v>
      </c>
      <c r="T314" s="17">
        <v>0</v>
      </c>
      <c r="U314" s="15">
        <f t="shared" si="53"/>
        <v>0</v>
      </c>
      <c r="V314" s="15">
        <v>0</v>
      </c>
      <c r="W314" s="15">
        <v>0</v>
      </c>
      <c r="X314" s="24">
        <v>0</v>
      </c>
      <c r="Y314" s="15">
        <v>0</v>
      </c>
      <c r="Z314" s="15">
        <v>0</v>
      </c>
      <c r="AA314" s="39">
        <v>0</v>
      </c>
      <c r="AB314" s="15">
        <f t="shared" si="48"/>
        <v>0</v>
      </c>
      <c r="AC314" s="15">
        <v>0</v>
      </c>
      <c r="AD314" s="16">
        <v>0</v>
      </c>
      <c r="AE314" s="15">
        <v>0</v>
      </c>
      <c r="AF314" s="31">
        <f t="shared" si="49"/>
        <v>468.84200000000004</v>
      </c>
      <c r="AG314" s="15">
        <v>0</v>
      </c>
      <c r="AH314" s="15">
        <v>0</v>
      </c>
      <c r="AI314" s="15">
        <v>0</v>
      </c>
      <c r="AJ314" s="15">
        <v>0</v>
      </c>
      <c r="AK314" s="25">
        <f t="shared" si="54"/>
        <v>0</v>
      </c>
      <c r="AL314" s="17">
        <f t="shared" si="55"/>
        <v>363.35255000000006</v>
      </c>
      <c r="AP314" s="20" t="s">
        <v>487</v>
      </c>
    </row>
    <row r="315" spans="2:42" ht="11.25" customHeight="1" thickBot="1">
      <c r="B315" s="20">
        <v>315</v>
      </c>
      <c r="C315" s="20"/>
      <c r="D315" s="76"/>
      <c r="E315" s="87">
        <v>1</v>
      </c>
      <c r="F315" s="74" t="s">
        <v>451</v>
      </c>
      <c r="G315" s="72">
        <f>208+8</f>
        <v>216</v>
      </c>
      <c r="H315" s="60">
        <f>G315*Valores!$B$2</f>
        <v>501.336</v>
      </c>
      <c r="I315" s="63">
        <v>0</v>
      </c>
      <c r="J315" s="60">
        <f>I315*Valores!$B$2</f>
        <v>0</v>
      </c>
      <c r="K315" s="70">
        <v>0</v>
      </c>
      <c r="L315" s="60">
        <f>K315*Valores!$B$2</f>
        <v>0</v>
      </c>
      <c r="M315" s="70">
        <v>0</v>
      </c>
      <c r="N315" s="60">
        <f>M315*Valores!$B$2</f>
        <v>0</v>
      </c>
      <c r="O315" s="60">
        <v>0</v>
      </c>
      <c r="P315" s="60">
        <f t="shared" si="47"/>
        <v>0</v>
      </c>
      <c r="Q315" s="62">
        <v>0</v>
      </c>
      <c r="R315" s="62">
        <v>0</v>
      </c>
      <c r="S315" s="60">
        <v>0</v>
      </c>
      <c r="T315" s="62">
        <v>0</v>
      </c>
      <c r="U315" s="60">
        <f t="shared" si="53"/>
        <v>0</v>
      </c>
      <c r="V315" s="60">
        <v>0</v>
      </c>
      <c r="W315" s="60">
        <v>0</v>
      </c>
      <c r="X315" s="63">
        <v>0</v>
      </c>
      <c r="Y315" s="60">
        <v>0</v>
      </c>
      <c r="Z315" s="60">
        <v>0</v>
      </c>
      <c r="AA315" s="64">
        <v>0</v>
      </c>
      <c r="AB315" s="60">
        <f t="shared" si="48"/>
        <v>0</v>
      </c>
      <c r="AC315" s="60">
        <v>0</v>
      </c>
      <c r="AD315" s="65">
        <v>0</v>
      </c>
      <c r="AE315" s="60">
        <v>0</v>
      </c>
      <c r="AF315" s="66">
        <f t="shared" si="49"/>
        <v>501.336</v>
      </c>
      <c r="AG315" s="60">
        <v>0</v>
      </c>
      <c r="AH315" s="60">
        <v>0</v>
      </c>
      <c r="AI315" s="60">
        <v>0</v>
      </c>
      <c r="AJ315" s="60">
        <v>0</v>
      </c>
      <c r="AK315" s="67">
        <f t="shared" si="54"/>
        <v>0</v>
      </c>
      <c r="AL315" s="62">
        <f t="shared" si="55"/>
        <v>388.53540000000004</v>
      </c>
      <c r="AM315" s="75"/>
      <c r="AN315" s="73"/>
      <c r="AO315" s="73"/>
      <c r="AP315" s="20" t="s">
        <v>487</v>
      </c>
    </row>
    <row r="316" spans="2:42" ht="11.25" customHeight="1" thickTop="1">
      <c r="B316" s="20">
        <v>316</v>
      </c>
      <c r="C316" s="20"/>
      <c r="E316" s="86">
        <v>1</v>
      </c>
      <c r="F316" s="19" t="s">
        <v>452</v>
      </c>
      <c r="G316" s="32">
        <f>192+8</f>
        <v>200</v>
      </c>
      <c r="H316" s="15">
        <f>G316*Valores!$B$2</f>
        <v>464.20000000000005</v>
      </c>
      <c r="I316" s="24">
        <v>0</v>
      </c>
      <c r="J316" s="15">
        <f>I316*Valores!$B$2</f>
        <v>0</v>
      </c>
      <c r="K316" s="27">
        <v>0</v>
      </c>
      <c r="L316" s="15">
        <f>K316*Valores!$B$2</f>
        <v>0</v>
      </c>
      <c r="M316" s="27">
        <v>0</v>
      </c>
      <c r="N316" s="15">
        <f>M316*Valores!$B$2</f>
        <v>0</v>
      </c>
      <c r="O316" s="15">
        <v>0</v>
      </c>
      <c r="P316" s="15">
        <f t="shared" si="47"/>
        <v>0</v>
      </c>
      <c r="Q316" s="17">
        <v>0</v>
      </c>
      <c r="R316" s="17">
        <v>0</v>
      </c>
      <c r="S316" s="15">
        <v>0</v>
      </c>
      <c r="T316" s="17">
        <v>0</v>
      </c>
      <c r="U316" s="15">
        <f t="shared" si="53"/>
        <v>0</v>
      </c>
      <c r="V316" s="15">
        <v>0</v>
      </c>
      <c r="W316" s="15">
        <v>0</v>
      </c>
      <c r="X316" s="24">
        <v>0</v>
      </c>
      <c r="Y316" s="15">
        <v>0</v>
      </c>
      <c r="Z316" s="15">
        <v>0</v>
      </c>
      <c r="AA316" s="39">
        <v>0</v>
      </c>
      <c r="AB316" s="15">
        <f t="shared" si="48"/>
        <v>0</v>
      </c>
      <c r="AC316" s="15">
        <v>0</v>
      </c>
      <c r="AD316" s="16">
        <v>0</v>
      </c>
      <c r="AE316" s="15">
        <v>0</v>
      </c>
      <c r="AF316" s="31">
        <f t="shared" si="49"/>
        <v>464.20000000000005</v>
      </c>
      <c r="AG316" s="15">
        <v>0</v>
      </c>
      <c r="AH316" s="15">
        <v>0</v>
      </c>
      <c r="AI316" s="15">
        <v>0</v>
      </c>
      <c r="AJ316" s="15">
        <v>0</v>
      </c>
      <c r="AK316" s="25">
        <f t="shared" si="54"/>
        <v>0</v>
      </c>
      <c r="AL316" s="17">
        <f t="shared" si="55"/>
        <v>359.75500000000005</v>
      </c>
      <c r="AP316" s="20" t="s">
        <v>487</v>
      </c>
    </row>
    <row r="317" spans="2:42" ht="11.25" customHeight="1">
      <c r="B317" s="20">
        <v>317</v>
      </c>
      <c r="C317" s="20" t="s">
        <v>478</v>
      </c>
      <c r="F317" s="19" t="s">
        <v>453</v>
      </c>
      <c r="G317" s="32">
        <v>192</v>
      </c>
      <c r="H317" s="15">
        <f>G317*Valores!$B$2</f>
        <v>445.63200000000006</v>
      </c>
      <c r="I317" s="24">
        <v>0</v>
      </c>
      <c r="J317" s="15">
        <f>I317*Valores!$B$2</f>
        <v>0</v>
      </c>
      <c r="K317" s="27">
        <v>0</v>
      </c>
      <c r="L317" s="15">
        <f>K317*Valores!$B$2</f>
        <v>0</v>
      </c>
      <c r="M317" s="27">
        <v>0</v>
      </c>
      <c r="N317" s="15">
        <f>M317*Valores!$B$2</f>
        <v>0</v>
      </c>
      <c r="O317" s="15">
        <v>0</v>
      </c>
      <c r="P317" s="15">
        <f t="shared" si="47"/>
        <v>0</v>
      </c>
      <c r="Q317" s="17">
        <v>0</v>
      </c>
      <c r="R317" s="17">
        <v>0</v>
      </c>
      <c r="S317" s="15">
        <v>0</v>
      </c>
      <c r="T317" s="17">
        <v>0</v>
      </c>
      <c r="U317" s="15">
        <f t="shared" si="53"/>
        <v>0</v>
      </c>
      <c r="V317" s="15">
        <v>0</v>
      </c>
      <c r="W317" s="15">
        <v>0</v>
      </c>
      <c r="X317" s="24">
        <v>0</v>
      </c>
      <c r="Y317" s="15">
        <v>0</v>
      </c>
      <c r="Z317" s="15">
        <v>0</v>
      </c>
      <c r="AA317" s="39">
        <v>0</v>
      </c>
      <c r="AB317" s="15">
        <f t="shared" si="48"/>
        <v>0</v>
      </c>
      <c r="AC317" s="15">
        <v>0</v>
      </c>
      <c r="AD317" s="16">
        <v>0</v>
      </c>
      <c r="AE317" s="15">
        <v>0</v>
      </c>
      <c r="AF317" s="31">
        <f t="shared" si="49"/>
        <v>445.63200000000006</v>
      </c>
      <c r="AG317" s="15">
        <v>0</v>
      </c>
      <c r="AH317" s="15">
        <v>0</v>
      </c>
      <c r="AI317" s="15">
        <v>0</v>
      </c>
      <c r="AJ317" s="15">
        <v>0</v>
      </c>
      <c r="AK317" s="25">
        <f t="shared" si="54"/>
        <v>0</v>
      </c>
      <c r="AL317" s="17">
        <f t="shared" si="55"/>
        <v>345.36480000000006</v>
      </c>
      <c r="AP317" s="20" t="s">
        <v>487</v>
      </c>
    </row>
    <row r="318" ht="11.25" customHeight="1">
      <c r="F318" s="2"/>
    </row>
    <row r="319" ht="11.25" customHeight="1">
      <c r="F319" s="2"/>
    </row>
    <row r="320" ht="11.25" customHeight="1">
      <c r="F320" s="2"/>
    </row>
    <row r="321" ht="11.25" customHeight="1">
      <c r="F321" s="2"/>
    </row>
    <row r="322" ht="11.25" customHeight="1">
      <c r="F322" s="2"/>
    </row>
  </sheetData>
  <sheetProtection formatCells="0" formatColumns="0" formatRows="0" insertColumns="0" insertRows="0" deleteColumns="0" deleteRows="0" selectLockedCells="1" selectUnlockedCells="1"/>
  <autoFilter ref="B5:AP317"/>
  <mergeCells count="10">
    <mergeCell ref="AL2:AL3"/>
    <mergeCell ref="B2:F2"/>
    <mergeCell ref="B1:F1"/>
    <mergeCell ref="AD4:AE4"/>
    <mergeCell ref="X4:Y4"/>
    <mergeCell ref="G4:H4"/>
    <mergeCell ref="I4:J4"/>
    <mergeCell ref="K4:L4"/>
    <mergeCell ref="M4:N4"/>
    <mergeCell ref="AK2:AK3"/>
  </mergeCells>
  <printOptions/>
  <pageMargins left="0.1968503937007874" right="0.1968503937007874" top="0.35433070866141736" bottom="0.31496062992125984" header="0.1968503937007874" footer="0"/>
  <pageSetup fitToHeight="8" fitToWidth="1" horizontalDpi="600" verticalDpi="600" orientation="landscape" paperSize="9" scale="75" r:id="rId1"/>
  <headerFooter alignWithMargins="0">
    <oddHeader>&amp;LMinisterio de EducaciónDirección de Recursos Humanos&amp;CVigente a partir 01/08/2014&amp;REscala Salarial DocenteValor del Pto:                 .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B3" sqref="B3"/>
    </sheetView>
  </sheetViews>
  <sheetFormatPr defaultColWidth="11.421875" defaultRowHeight="12.75"/>
  <cols>
    <col min="1" max="1" width="18.140625" style="0" customWidth="1"/>
    <col min="5" max="5" width="5.28125" style="0" bestFit="1" customWidth="1"/>
  </cols>
  <sheetData>
    <row r="1" spans="5:6" ht="12.75">
      <c r="E1" t="s">
        <v>385</v>
      </c>
      <c r="F1" t="s">
        <v>386</v>
      </c>
    </row>
    <row r="2" spans="1:6" ht="12.75">
      <c r="A2" t="s">
        <v>382</v>
      </c>
      <c r="B2" s="29">
        <v>2.321</v>
      </c>
      <c r="E2">
        <v>0</v>
      </c>
      <c r="F2" s="1">
        <v>0</v>
      </c>
    </row>
    <row r="3" spans="1:6" ht="12.75">
      <c r="A3" t="s">
        <v>384</v>
      </c>
      <c r="B3" s="40">
        <v>0.15</v>
      </c>
      <c r="E3">
        <v>1</v>
      </c>
      <c r="F3" s="1">
        <v>0.15</v>
      </c>
    </row>
    <row r="4" spans="1:6" ht="12.75">
      <c r="A4" t="s">
        <v>388</v>
      </c>
      <c r="B4" s="40">
        <v>340</v>
      </c>
      <c r="E4">
        <v>2</v>
      </c>
      <c r="F4" s="1">
        <v>0.15</v>
      </c>
    </row>
    <row r="5" spans="1:6" ht="12.75">
      <c r="A5" t="s">
        <v>462</v>
      </c>
      <c r="B5" s="40">
        <f>'Escala Docente'!AP1</f>
        <v>373.03438500000004</v>
      </c>
      <c r="E5">
        <v>3</v>
      </c>
      <c r="F5" s="1">
        <v>0.15</v>
      </c>
    </row>
    <row r="6" spans="1:6" ht="12.75">
      <c r="A6" t="s">
        <v>390</v>
      </c>
      <c r="B6" s="40">
        <v>0.35</v>
      </c>
      <c r="C6" s="30">
        <f>(INT(('Escala Docente'!H135+0.00509)*100)/100)*B6</f>
        <v>1038.184</v>
      </c>
      <c r="E6">
        <v>4</v>
      </c>
      <c r="F6" s="1">
        <v>0.15</v>
      </c>
    </row>
    <row r="7" spans="1:6" ht="12.75">
      <c r="A7" t="s">
        <v>391</v>
      </c>
      <c r="B7" s="40">
        <v>42.5</v>
      </c>
      <c r="E7">
        <v>5</v>
      </c>
      <c r="F7" s="1">
        <v>0.3</v>
      </c>
    </row>
    <row r="8" spans="1:6" ht="12.75">
      <c r="A8" t="s">
        <v>393</v>
      </c>
      <c r="B8" s="40">
        <v>17</v>
      </c>
      <c r="E8">
        <v>6</v>
      </c>
      <c r="F8" s="1">
        <v>0.3</v>
      </c>
    </row>
    <row r="9" spans="1:6" ht="12.75">
      <c r="A9" t="s">
        <v>398</v>
      </c>
      <c r="B9" s="40">
        <v>0.5</v>
      </c>
      <c r="E9">
        <v>7</v>
      </c>
      <c r="F9" s="1">
        <v>0.4</v>
      </c>
    </row>
    <row r="10" spans="1:6" ht="12.75">
      <c r="A10" t="s">
        <v>463</v>
      </c>
      <c r="B10" s="40">
        <f>24.5*30</f>
        <v>735</v>
      </c>
      <c r="E10">
        <v>8</v>
      </c>
      <c r="F10" s="1">
        <v>0.4</v>
      </c>
    </row>
    <row r="11" spans="5:6" ht="12.75">
      <c r="E11">
        <v>9</v>
      </c>
      <c r="F11" s="1">
        <v>0.4</v>
      </c>
    </row>
    <row r="12" spans="1:6" ht="12.75">
      <c r="A12" t="s">
        <v>468</v>
      </c>
      <c r="B12" s="40">
        <v>1165</v>
      </c>
      <c r="E12">
        <v>10</v>
      </c>
      <c r="F12" s="1">
        <v>0.5</v>
      </c>
    </row>
    <row r="13" spans="1:6" ht="12.75">
      <c r="A13" t="s">
        <v>469</v>
      </c>
      <c r="B13" s="40">
        <v>1185</v>
      </c>
      <c r="E13">
        <v>11</v>
      </c>
      <c r="F13" s="1">
        <v>0.5</v>
      </c>
    </row>
    <row r="14" spans="1:6" ht="12.75">
      <c r="A14" t="s">
        <v>470</v>
      </c>
      <c r="B14" s="40">
        <v>1185</v>
      </c>
      <c r="E14">
        <v>12</v>
      </c>
      <c r="F14" s="1">
        <v>0.6</v>
      </c>
    </row>
    <row r="15" spans="1:6" ht="12.75">
      <c r="A15" t="s">
        <v>471</v>
      </c>
      <c r="B15" s="40">
        <v>1285</v>
      </c>
      <c r="E15">
        <v>13</v>
      </c>
      <c r="F15" s="1">
        <v>0.6</v>
      </c>
    </row>
    <row r="16" spans="1:6" ht="12.75">
      <c r="A16" t="s">
        <v>472</v>
      </c>
      <c r="B16" s="40">
        <v>1685</v>
      </c>
      <c r="E16">
        <v>14</v>
      </c>
      <c r="F16" s="1">
        <v>0.6</v>
      </c>
    </row>
    <row r="17" spans="1:6" ht="12.75">
      <c r="A17" t="s">
        <v>473</v>
      </c>
      <c r="B17" s="40">
        <v>1335</v>
      </c>
      <c r="E17">
        <v>15</v>
      </c>
      <c r="F17" s="1">
        <v>0.7</v>
      </c>
    </row>
    <row r="18" spans="1:6" ht="12.75">
      <c r="A18" t="s">
        <v>484</v>
      </c>
      <c r="B18" s="40">
        <v>1015</v>
      </c>
      <c r="E18">
        <v>16</v>
      </c>
      <c r="F18" s="1">
        <v>0.7</v>
      </c>
    </row>
    <row r="19" spans="1:6" ht="12.75">
      <c r="A19" s="78" t="s">
        <v>485</v>
      </c>
      <c r="B19" s="40">
        <v>1035</v>
      </c>
      <c r="E19">
        <v>17</v>
      </c>
      <c r="F19" s="1">
        <v>0.8</v>
      </c>
    </row>
    <row r="20" spans="1:6" ht="12.75">
      <c r="A20" t="s">
        <v>475</v>
      </c>
      <c r="B20" s="40">
        <v>755</v>
      </c>
      <c r="E20">
        <v>18</v>
      </c>
      <c r="F20" s="1">
        <v>0.8</v>
      </c>
    </row>
    <row r="21" spans="1:6" ht="12.75">
      <c r="A21" t="s">
        <v>476</v>
      </c>
      <c r="B21" s="40">
        <v>725</v>
      </c>
      <c r="E21">
        <v>19</v>
      </c>
      <c r="F21" s="1">
        <v>0.8</v>
      </c>
    </row>
    <row r="22" spans="5:6" ht="12.75">
      <c r="E22">
        <v>20</v>
      </c>
      <c r="F22" s="1">
        <v>1</v>
      </c>
    </row>
    <row r="23" spans="1:6" ht="12.75">
      <c r="A23" t="s">
        <v>479</v>
      </c>
      <c r="B23" s="40">
        <v>870</v>
      </c>
      <c r="E23">
        <v>21</v>
      </c>
      <c r="F23" s="1">
        <v>1</v>
      </c>
    </row>
    <row r="24" spans="5:6" ht="12.75">
      <c r="E24">
        <v>22</v>
      </c>
      <c r="F24" s="1">
        <v>1.1</v>
      </c>
    </row>
    <row r="25" spans="1:6" ht="12.75">
      <c r="A25" t="s">
        <v>483</v>
      </c>
      <c r="B25" s="40">
        <v>0</v>
      </c>
      <c r="C25" s="30">
        <f>IF(B25&gt;0,(B25/30-0.01),0)</f>
        <v>0</v>
      </c>
      <c r="E25">
        <v>23</v>
      </c>
      <c r="F25" s="1">
        <v>1.1</v>
      </c>
    </row>
    <row r="26" spans="5:6" ht="12.75">
      <c r="E26">
        <v>24</v>
      </c>
      <c r="F26" s="1">
        <v>1.2</v>
      </c>
    </row>
    <row r="27" spans="5:6" ht="12.75">
      <c r="E27">
        <v>25</v>
      </c>
      <c r="F27" s="1">
        <v>1.2</v>
      </c>
    </row>
    <row r="28" spans="5:6" ht="12.75">
      <c r="E28">
        <v>26</v>
      </c>
      <c r="F28" s="1">
        <v>1.2</v>
      </c>
    </row>
    <row r="29" spans="5:6" ht="12.75">
      <c r="E29">
        <v>27</v>
      </c>
      <c r="F29" s="1">
        <v>1.2</v>
      </c>
    </row>
    <row r="30" spans="5:6" ht="12.75">
      <c r="E30">
        <v>28</v>
      </c>
      <c r="F30" s="1">
        <v>1.2</v>
      </c>
    </row>
    <row r="31" spans="5:6" ht="12.75">
      <c r="E31">
        <v>29</v>
      </c>
      <c r="F31" s="1">
        <v>1.2</v>
      </c>
    </row>
    <row r="32" spans="5:6" ht="12.75">
      <c r="E32">
        <v>30</v>
      </c>
      <c r="F32" s="1">
        <v>1.2</v>
      </c>
    </row>
    <row r="33" spans="5:6" ht="12.75">
      <c r="E33">
        <v>31</v>
      </c>
      <c r="F33" s="1">
        <v>1.2</v>
      </c>
    </row>
    <row r="34" spans="5:6" ht="12.75">
      <c r="E34">
        <v>32</v>
      </c>
      <c r="F34" s="1">
        <v>1.2</v>
      </c>
    </row>
    <row r="35" spans="5:6" ht="12.75">
      <c r="E35">
        <v>33</v>
      </c>
      <c r="F35" s="1">
        <v>1.2</v>
      </c>
    </row>
    <row r="36" spans="5:6" ht="12.75">
      <c r="E36">
        <v>34</v>
      </c>
      <c r="F36" s="1">
        <v>1.2</v>
      </c>
    </row>
    <row r="37" spans="5:6" ht="12.75">
      <c r="E37">
        <v>35</v>
      </c>
      <c r="F37" s="1">
        <v>1.2</v>
      </c>
    </row>
    <row r="38" spans="5:6" ht="12.75">
      <c r="E38">
        <v>36</v>
      </c>
      <c r="F38" s="1">
        <v>1.2</v>
      </c>
    </row>
    <row r="39" spans="5:6" ht="12.75">
      <c r="E39">
        <v>37</v>
      </c>
      <c r="F39" s="1">
        <v>1.2</v>
      </c>
    </row>
    <row r="40" spans="5:6" ht="12.75">
      <c r="E40">
        <v>38</v>
      </c>
      <c r="F40" s="1">
        <v>1.2</v>
      </c>
    </row>
    <row r="41" spans="5:6" ht="12.75">
      <c r="E41">
        <v>39</v>
      </c>
      <c r="F41" s="1">
        <v>1.2</v>
      </c>
    </row>
    <row r="42" spans="5:6" ht="12.75">
      <c r="E42">
        <v>40</v>
      </c>
      <c r="F42" s="1">
        <v>1.2</v>
      </c>
    </row>
    <row r="43" spans="5:6" ht="12.75">
      <c r="E43">
        <v>41</v>
      </c>
      <c r="F43" s="1">
        <v>1.2</v>
      </c>
    </row>
    <row r="44" spans="5:6" ht="12.75">
      <c r="E44">
        <v>42</v>
      </c>
      <c r="F44" s="1">
        <v>1.2</v>
      </c>
    </row>
    <row r="45" spans="5:6" ht="12.75">
      <c r="E45">
        <v>43</v>
      </c>
      <c r="F45" s="1">
        <v>1.2</v>
      </c>
    </row>
    <row r="46" spans="5:6" ht="12.75">
      <c r="E46">
        <v>44</v>
      </c>
      <c r="F46" s="1">
        <v>1.2</v>
      </c>
    </row>
    <row r="47" spans="5:6" ht="12.75">
      <c r="E47">
        <v>45</v>
      </c>
      <c r="F47" s="1">
        <v>1.2</v>
      </c>
    </row>
    <row r="48" spans="5:6" ht="12.75">
      <c r="E48">
        <v>46</v>
      </c>
      <c r="F48" s="1">
        <v>1.2</v>
      </c>
    </row>
    <row r="49" spans="5:6" ht="12.75">
      <c r="E49">
        <v>47</v>
      </c>
      <c r="F49" s="1">
        <v>1.2</v>
      </c>
    </row>
    <row r="50" spans="5:6" ht="12.75">
      <c r="E50">
        <v>48</v>
      </c>
      <c r="F50" s="1">
        <v>1.2</v>
      </c>
    </row>
    <row r="51" spans="5:6" ht="12.75">
      <c r="E51">
        <v>49</v>
      </c>
      <c r="F51" s="1">
        <v>1.2</v>
      </c>
    </row>
    <row r="52" spans="5:6" ht="12.75">
      <c r="E52">
        <v>50</v>
      </c>
      <c r="F52" s="1">
        <v>1.2</v>
      </c>
    </row>
    <row r="53" spans="5:6" ht="12.75">
      <c r="E53">
        <v>51</v>
      </c>
      <c r="F53" s="1">
        <v>1.2</v>
      </c>
    </row>
    <row r="54" spans="5:6" ht="12.75">
      <c r="E54">
        <v>52</v>
      </c>
      <c r="F54" s="1">
        <v>1.2</v>
      </c>
    </row>
    <row r="55" spans="5:6" ht="12.75">
      <c r="E55">
        <v>53</v>
      </c>
      <c r="F55" s="1">
        <v>1.2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d14416225</cp:lastModifiedBy>
  <cp:lastPrinted>2014-09-25T20:14:18Z</cp:lastPrinted>
  <dcterms:created xsi:type="dcterms:W3CDTF">2005-08-10T23:49:01Z</dcterms:created>
  <dcterms:modified xsi:type="dcterms:W3CDTF">2014-10-31T20:38:30Z</dcterms:modified>
  <cp:category/>
  <cp:version/>
  <cp:contentType/>
  <cp:contentStatus/>
</cp:coreProperties>
</file>