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0" yWindow="315" windowWidth="19635" windowHeight="6720" tabRatio="767" firstSheet="1" activeTab="1"/>
  </bookViews>
  <sheets>
    <sheet name="Valores" sheetId="2273" state="hidden" r:id="rId1"/>
    <sheet name="Escala Docente" sheetId="2262" r:id="rId2"/>
    <sheet name="UPC" sheetId="2274" state="hidden" r:id="rId3"/>
  </sheets>
  <definedNames>
    <definedName name="_xlnm._FilterDatabase" localSheetId="1" hidden="1">'Escala Docente'!$A$6:$BE$327</definedName>
    <definedName name="_xlnm._FilterDatabase" localSheetId="2" hidden="1">'UPC'!$A$5:$K$37</definedName>
    <definedName name="_xlnm._FilterDatabase" localSheetId="0" hidden="1">'Valores'!$A$1:$J$78</definedName>
    <definedName name="_xlnm.Print_Area" localSheetId="1">'Escala Docente'!$C$5:$AM$327</definedName>
    <definedName name="_xlnm.Print_Area" localSheetId="2">'UPC'!$A$2:$J$37</definedName>
    <definedName name="_xlnm.Print_Area" localSheetId="0">'Valores'!$A$1:$F$60</definedName>
    <definedName name="wrn.Planilla._.de._.Sueldos._.Docentes." localSheetId="1" hidden="1">{#N/A,#N/A,TRUE,"CARGOS"}</definedName>
    <definedName name="wrn.Planilla._.de._.Sueldos._.Docentes." hidden="1">{#N/A,#N/A,TRUE,"CARGOS"}</definedName>
    <definedName name="_xlnm.Print_Titles" localSheetId="1">'Escala Docente'!$C:$F,'Escala Docente'!$5:$6</definedName>
  </definedNames>
  <calcPr calcId="162913"/>
</workbook>
</file>

<file path=xl/sharedStrings.xml><?xml version="1.0" encoding="utf-8"?>
<sst xmlns="http://schemas.openxmlformats.org/spreadsheetml/2006/main" count="1268" uniqueCount="662">
  <si>
    <t>NRO</t>
  </si>
  <si>
    <t>CGO</t>
  </si>
  <si>
    <t>DENOMINACION</t>
  </si>
  <si>
    <t>P001</t>
  </si>
  <si>
    <t>P1723</t>
  </si>
  <si>
    <t>P1763</t>
  </si>
  <si>
    <t>P1821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</si>
  <si>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</si>
  <si>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</si>
  <si>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</si>
  <si>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</si>
  <si>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</si>
  <si>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</si>
  <si>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</si>
  <si>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</si>
  <si>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</si>
  <si>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</si>
  <si>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</si>
  <si>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</si>
  <si>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</si>
  <si>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</si>
  <si>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</si>
  <si>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</si>
  <si>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</si>
  <si>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</si>
  <si>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</si>
  <si>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</si>
  <si>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</si>
  <si>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</si>
  <si>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</si>
  <si>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</si>
  <si>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</si>
  <si>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</si>
  <si>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</si>
  <si>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</si>
  <si>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</si>
  <si>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</si>
  <si>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</si>
  <si>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</si>
  <si>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</si>
  <si>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</si>
  <si>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</si>
  <si>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</si>
  <si>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</si>
  <si>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</si>
  <si>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</si>
  <si>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</si>
  <si>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</si>
  <si>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</si>
  <si>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</si>
  <si>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</si>
  <si>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</si>
  <si>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</si>
  <si>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</si>
  <si>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</si>
  <si>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</si>
  <si>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</si>
  <si>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</si>
  <si>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</si>
  <si>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</si>
  <si>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</si>
  <si>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</si>
  <si>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</si>
  <si>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</si>
  <si>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</si>
  <si>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</si>
  <si>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</si>
  <si>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</si>
  <si>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</si>
  <si>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</si>
  <si>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</si>
  <si>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</si>
  <si>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</si>
  <si>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</si>
  <si>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</si>
  <si>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</si>
  <si>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</si>
  <si>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</si>
  <si>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</si>
  <si>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</si>
  <si>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</si>
  <si>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</si>
  <si>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</si>
  <si>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</si>
  <si>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</si>
  <si>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</si>
  <si>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</si>
  <si>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</si>
  <si>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</si>
  <si>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</si>
  <si>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</si>
  <si>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</si>
  <si>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</si>
  <si>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</si>
  <si>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</si>
  <si>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</si>
  <si>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</si>
  <si>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</si>
  <si>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</si>
  <si>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</si>
  <si>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</si>
  <si>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</si>
  <si>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</si>
  <si>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</si>
  <si>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</si>
  <si>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</si>
  <si>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</si>
  <si>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</si>
  <si>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</si>
  <si>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</si>
  <si>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</si>
  <si>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</si>
  <si>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</si>
  <si>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</si>
  <si>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</si>
  <si>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</si>
  <si>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</si>
  <si>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</si>
  <si>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</si>
  <si>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</si>
  <si>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</si>
  <si>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</si>
  <si>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</si>
  <si>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</si>
  <si>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</si>
  <si>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</si>
  <si>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</si>
  <si>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</si>
  <si>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</si>
  <si>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</si>
  <si>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</si>
  <si>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</si>
  <si>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</si>
  <si>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</si>
  <si>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</si>
  <si>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</si>
  <si>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</si>
  <si>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</si>
  <si>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</si>
  <si>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</si>
  <si>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</si>
  <si>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</si>
  <si>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</si>
  <si>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</si>
  <si>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</si>
  <si>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</si>
  <si>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</si>
  <si>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</si>
  <si>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</si>
  <si>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</si>
  <si>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</si>
  <si>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</si>
  <si>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</si>
  <si>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</si>
  <si>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</si>
  <si>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</si>
  <si>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</si>
  <si>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</si>
  <si>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13-256</t>
  </si>
  <si>
    <t>Director de 1ª Ens. Prim.T. P. P.</t>
  </si>
  <si>
    <t>13-260</t>
  </si>
  <si>
    <t>Director de 2ª Ens. Primaria</t>
  </si>
  <si>
    <t>13-265</t>
  </si>
  <si>
    <t>Director de 3ª Ens. Primaria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</si>
  <si>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</si>
  <si>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</si>
  <si>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</si>
  <si>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</si>
  <si>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</si>
  <si>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</si>
  <si>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</si>
  <si>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</si>
  <si>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</si>
  <si>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</si>
  <si>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</si>
  <si>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</si>
  <si>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</si>
  <si>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</si>
  <si>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</si>
  <si>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</si>
  <si>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</si>
  <si>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</si>
  <si>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</si>
  <si>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</si>
  <si>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</si>
  <si>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</si>
  <si>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</si>
  <si>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</si>
  <si>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</si>
  <si>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</si>
  <si>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</si>
  <si>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</si>
  <si>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</si>
  <si>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</si>
  <si>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</si>
  <si>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</si>
  <si>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</si>
  <si>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</si>
  <si>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</si>
  <si>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</si>
  <si>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</si>
  <si>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</si>
  <si>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</si>
  <si>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</si>
  <si>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</si>
  <si>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</si>
  <si>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</si>
  <si>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</si>
  <si>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</si>
  <si>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</si>
  <si>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</si>
  <si>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</si>
  <si>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</si>
  <si>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</si>
  <si>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</si>
  <si>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</si>
  <si>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</si>
  <si>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</si>
  <si>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</si>
  <si>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</si>
  <si>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</si>
  <si>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</si>
  <si>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</si>
  <si>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</si>
  <si>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</si>
  <si>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</si>
  <si>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</si>
  <si>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</si>
  <si>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</si>
  <si>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</si>
  <si>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</si>
  <si>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</si>
  <si>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</si>
  <si>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</si>
  <si>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</si>
  <si>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</si>
  <si>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</si>
  <si>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</si>
  <si>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</si>
  <si>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</si>
  <si>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</si>
  <si>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</si>
  <si>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</si>
  <si>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</si>
  <si>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</si>
  <si>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</si>
  <si>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</si>
  <si>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</si>
  <si>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</si>
  <si>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</si>
  <si>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</si>
  <si>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</si>
  <si>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</si>
  <si>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</si>
  <si>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</si>
  <si>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</si>
  <si>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</si>
  <si>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</si>
  <si>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</si>
  <si>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</si>
  <si>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</si>
  <si>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</si>
  <si>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</si>
  <si>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</si>
  <si>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</si>
  <si>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</si>
  <si>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</si>
  <si>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</si>
  <si>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</si>
  <si>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</si>
  <si>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</si>
  <si>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</si>
  <si>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</si>
  <si>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</si>
  <si>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</si>
  <si>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</si>
  <si>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</si>
  <si>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</si>
  <si>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</si>
  <si>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</si>
  <si>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</si>
  <si>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</si>
  <si>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</si>
  <si>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</si>
  <si>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</si>
  <si>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</si>
  <si>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</si>
  <si>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</si>
  <si>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</si>
  <si>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</si>
  <si>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</si>
  <si>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</si>
  <si>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</si>
  <si>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</si>
  <si>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</si>
  <si>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</si>
  <si>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13-517</t>
  </si>
  <si>
    <t>Maestro Esp Artística</t>
  </si>
  <si>
    <t>13-520</t>
  </si>
  <si>
    <t>Preceptor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</si>
  <si>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</si>
  <si>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</si>
  <si>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</si>
  <si>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</si>
  <si>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</si>
  <si>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</si>
  <si>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</si>
  <si>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</si>
  <si>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</si>
  <si>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</si>
  <si>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</si>
  <si>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</si>
  <si>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</si>
  <si>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</si>
  <si>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</si>
  <si>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</si>
  <si>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</si>
  <si>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</si>
  <si>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</si>
  <si>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</si>
  <si>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</si>
  <si>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</si>
  <si>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</si>
  <si>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</si>
  <si>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</si>
  <si>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</si>
  <si>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</si>
  <si>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</si>
  <si>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</si>
  <si>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</si>
  <si>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</si>
  <si>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</si>
  <si>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</si>
  <si>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</si>
  <si>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</si>
  <si>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</si>
  <si>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</si>
  <si>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</si>
  <si>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</si>
  <si>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</si>
  <si>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</si>
  <si>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</si>
  <si>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</si>
  <si>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</si>
  <si>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</si>
  <si>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</si>
  <si>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</si>
  <si>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</si>
  <si>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</si>
  <si>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</si>
  <si>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</si>
  <si>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</si>
  <si>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13-800</t>
  </si>
  <si>
    <t>Mtro. Mat. Esp. Esc. Hogar</t>
  </si>
  <si>
    <t>13-900</t>
  </si>
  <si>
    <t>13-910</t>
  </si>
  <si>
    <t>13-920</t>
  </si>
  <si>
    <t>Hs. Cat. Ley 22416 01 Hora</t>
  </si>
  <si>
    <t>Presidente Junta Clas. Primaria</t>
  </si>
  <si>
    <t>Vocal Junta Clas. Primaria</t>
  </si>
  <si>
    <t>Miembro Vocal de Junta D.E.M.E.S.</t>
  </si>
  <si>
    <t xml:space="preserve">Basico </t>
  </si>
  <si>
    <t>Ded. Funcional</t>
  </si>
  <si>
    <t>Ded. Excl.</t>
  </si>
  <si>
    <t>Compl. Esp.</t>
  </si>
  <si>
    <t xml:space="preserve">Ad. Rem </t>
  </si>
  <si>
    <t>Est. Doc</t>
  </si>
  <si>
    <t>Supl. Cap.</t>
  </si>
  <si>
    <t>P.Cal Ed.</t>
  </si>
  <si>
    <t>Func. Jer</t>
  </si>
  <si>
    <t>Pr.Jor Func.</t>
  </si>
  <si>
    <t>Pr.Jor Pts.</t>
  </si>
  <si>
    <t>Bon Minor.</t>
  </si>
  <si>
    <t>Fun. Dif</t>
  </si>
  <si>
    <t>Remun</t>
  </si>
  <si>
    <t>Total</t>
  </si>
  <si>
    <t>M.Did. Anual</t>
  </si>
  <si>
    <t>M.Did Men.</t>
  </si>
  <si>
    <t>No Rem</t>
  </si>
  <si>
    <t>Antig</t>
  </si>
  <si>
    <t>Valor del Punto</t>
  </si>
  <si>
    <t>P1839</t>
  </si>
  <si>
    <t>Bon. Por Minoridad</t>
  </si>
  <si>
    <t>Años</t>
  </si>
  <si>
    <t>Porcentaje</t>
  </si>
  <si>
    <t>P1803</t>
  </si>
  <si>
    <t>Maestro Mat. Esp. - Ex. Cons. Menor</t>
  </si>
  <si>
    <t>Ad Rem Hs</t>
  </si>
  <si>
    <t>Compl. Inicial</t>
  </si>
  <si>
    <t>Prom hs</t>
  </si>
  <si>
    <t>13-041</t>
  </si>
  <si>
    <t>Inspector de Jovenes y Adultos</t>
  </si>
  <si>
    <t>13-020</t>
  </si>
  <si>
    <t xml:space="preserve">Inspector Gral. De Adultos </t>
  </si>
  <si>
    <t>Fondo</t>
  </si>
  <si>
    <t>Ad R Doc</t>
  </si>
  <si>
    <t>Nuevo  A.R.D.</t>
  </si>
  <si>
    <t>C100003</t>
  </si>
  <si>
    <t>C117230</t>
  </si>
  <si>
    <t>C117630</t>
  </si>
  <si>
    <t>C118210</t>
  </si>
  <si>
    <t>C130300</t>
  </si>
  <si>
    <t>C110230</t>
  </si>
  <si>
    <t>C117730</t>
  </si>
  <si>
    <t>C117430</t>
  </si>
  <si>
    <t>C118420</t>
  </si>
  <si>
    <t>C117930</t>
  </si>
  <si>
    <t>C117830</t>
  </si>
  <si>
    <t>C118030</t>
  </si>
  <si>
    <t>C118510</t>
  </si>
  <si>
    <t>C 117900</t>
  </si>
  <si>
    <t>C114200</t>
  </si>
  <si>
    <t>C118390</t>
  </si>
  <si>
    <t>C117330</t>
  </si>
  <si>
    <t>C117530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</si>
  <si>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</si>
  <si>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</si>
  <si>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</si>
  <si>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</si>
  <si>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</si>
  <si>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</si>
  <si>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</si>
  <si>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</si>
  <si>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</si>
  <si>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</si>
  <si>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</si>
  <si>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</si>
  <si>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</si>
  <si>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</si>
  <si>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</si>
  <si>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</si>
  <si>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</si>
  <si>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</si>
  <si>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</si>
  <si>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</si>
  <si>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</si>
  <si>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</si>
  <si>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</si>
  <si>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</si>
  <si>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</si>
  <si>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Preceptor Escuela de Mod Especial</t>
  </si>
  <si>
    <t>13-797</t>
  </si>
  <si>
    <t>Preceptor Jor Compl, Esc Hogar, An Alb</t>
  </si>
  <si>
    <t>13-930</t>
  </si>
  <si>
    <t>Zona</t>
  </si>
  <si>
    <t>ANTIGÜEDAD (EN AÑOS)</t>
  </si>
  <si>
    <t>ZONA DESFAVORABLE (EN NUMEROS)</t>
  </si>
  <si>
    <t>Jornada Extendida Modulo de 2 hs</t>
  </si>
  <si>
    <t>Mat. Did. Mens (5%)</t>
  </si>
  <si>
    <t>Mat. Did. Hs.</t>
  </si>
  <si>
    <t>Adel Inc Docente</t>
  </si>
  <si>
    <t>C130030</t>
  </si>
  <si>
    <t>HS FONID</t>
  </si>
  <si>
    <t>HS SEM</t>
  </si>
  <si>
    <t>C118360</t>
  </si>
  <si>
    <t>Prom Cgos 1</t>
  </si>
  <si>
    <t>Prom Cgos 2</t>
  </si>
  <si>
    <t>C118460</t>
  </si>
  <si>
    <t>x</t>
  </si>
  <si>
    <t>Maestro Mat. Esp. - Ex. Cons. Menor Jubilado</t>
  </si>
  <si>
    <t>Ad. Extr</t>
  </si>
  <si>
    <t>NO</t>
  </si>
  <si>
    <t>SI</t>
  </si>
  <si>
    <t>LIQ PN</t>
  </si>
  <si>
    <t>Supl. Cap 01</t>
  </si>
  <si>
    <t>Supl. Cap 02</t>
  </si>
  <si>
    <t>Titular Ded Simple</t>
  </si>
  <si>
    <t>Titular Ded Exclusiva</t>
  </si>
  <si>
    <t>Titular Ded Semiexclusiva</t>
  </si>
  <si>
    <t>Asociado Ded Simple</t>
  </si>
  <si>
    <t>Asiciado  Ded Semiexclusiva</t>
  </si>
  <si>
    <t>Asociado Ded Exclusiva</t>
  </si>
  <si>
    <t>Adjunto Ded Simple</t>
  </si>
  <si>
    <t>Adjunto  Ded Semiexclusiva</t>
  </si>
  <si>
    <t>Adjunto Ded Exclusiva</t>
  </si>
  <si>
    <t>Jefe Trabajos Practicos Ded Simple</t>
  </si>
  <si>
    <t>Jefe Trabajos Practicos Ded Semiexclusiva</t>
  </si>
  <si>
    <t>Jefe Trabajos Practicos Ded Exclusiva</t>
  </si>
  <si>
    <t>Ayudante Trabajos Practicos Ded Simple</t>
  </si>
  <si>
    <t>Ayudante Jefe Trabajos Practicos Ded Semiexclusiva</t>
  </si>
  <si>
    <t>Ayudante  Trabajos Practicos Ded Exclusiva</t>
  </si>
  <si>
    <t>45-200</t>
  </si>
  <si>
    <t>45-210</t>
  </si>
  <si>
    <t>Gto. Inh. Lab. Doc (5%)</t>
  </si>
  <si>
    <t>Gtos. Inh. Lab. Doc.</t>
  </si>
  <si>
    <t>Mat. Did. 930</t>
  </si>
  <si>
    <t>Gto. Inh. Lab. Doc 930</t>
  </si>
  <si>
    <t>Gto. Inh. Lab. Doc hs</t>
  </si>
  <si>
    <t>Gto. Inh. Lab. Doc 04</t>
  </si>
  <si>
    <t>Gto. Inh. Lab. Doc 03</t>
  </si>
  <si>
    <t>Gto. Inh. Lab. Doc 02</t>
  </si>
  <si>
    <t>Gto. Inh. Lab. Doc 01</t>
  </si>
  <si>
    <t>C112620</t>
  </si>
  <si>
    <t>Basico</t>
  </si>
  <si>
    <t>Total Rem</t>
  </si>
  <si>
    <t>Total No Rem</t>
  </si>
  <si>
    <t>Fonid hs</t>
  </si>
  <si>
    <t>13-100</t>
  </si>
  <si>
    <t>13-101</t>
  </si>
  <si>
    <t>13-102</t>
  </si>
  <si>
    <t>Adic Rem</t>
  </si>
  <si>
    <t>Est Doc</t>
  </si>
  <si>
    <t>Gildo</t>
  </si>
  <si>
    <t>Prom. Cal. Ed</t>
  </si>
  <si>
    <t>Ad. Rem Doc</t>
  </si>
  <si>
    <t>Nvo Ad. Rem. Doc</t>
  </si>
  <si>
    <t>Mat. Did.</t>
  </si>
  <si>
    <t>Fonid</t>
  </si>
  <si>
    <t>según pn 45 200</t>
  </si>
  <si>
    <t>según pn 45 210</t>
  </si>
  <si>
    <t>Director de 1ª Ens. Primaria (Jardin Inf)</t>
  </si>
  <si>
    <t>Director de 2ª Ens. Primaria (Jardin Inf)</t>
  </si>
  <si>
    <t>Director de 3ª Ens. Primaria (Jardin Inf)</t>
  </si>
  <si>
    <t>Fonid cgos</t>
  </si>
  <si>
    <t>45-100</t>
  </si>
  <si>
    <t>45-110</t>
  </si>
  <si>
    <t>45-120</t>
  </si>
  <si>
    <t>45-220</t>
  </si>
  <si>
    <t>45-300</t>
  </si>
  <si>
    <t>45-310</t>
  </si>
  <si>
    <t>45-320</t>
  </si>
  <si>
    <t>45-400</t>
  </si>
  <si>
    <t>45-410</t>
  </si>
  <si>
    <t>45-420</t>
  </si>
  <si>
    <t>45-500</t>
  </si>
  <si>
    <t>45-510</t>
  </si>
  <si>
    <t>45-520</t>
  </si>
  <si>
    <t>46-110</t>
  </si>
  <si>
    <t>Vicedecano</t>
  </si>
  <si>
    <t>46-120</t>
  </si>
  <si>
    <t>Rector</t>
  </si>
  <si>
    <t>46-130</t>
  </si>
  <si>
    <t>Secretario Academico</t>
  </si>
  <si>
    <t>46-100</t>
  </si>
  <si>
    <t>Decano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</si>
  <si>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</si>
  <si>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</si>
  <si>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</si>
  <si>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</si>
  <si>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</si>
  <si>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</si>
  <si>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</si>
  <si>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</si>
  <si>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</si>
  <si>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</si>
  <si>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</si>
  <si>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</si>
  <si>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</si>
  <si>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</si>
  <si>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TR</t>
  </si>
  <si>
    <t>TNR</t>
  </si>
  <si>
    <t>0101023</t>
  </si>
  <si>
    <t>0205005</t>
  </si>
  <si>
    <t>EQUIV</t>
  </si>
  <si>
    <t>0101024</t>
  </si>
  <si>
    <t>C120170</t>
  </si>
  <si>
    <t>Ap Mat Did Rem.</t>
  </si>
  <si>
    <t>Ap Mat Did Rem. Compl</t>
  </si>
  <si>
    <t>C121170</t>
  </si>
  <si>
    <t>Ap Mat Did Rem.Compl</t>
  </si>
  <si>
    <t>C130230</t>
  </si>
  <si>
    <t>Vicerector</t>
  </si>
  <si>
    <t>46-125</t>
  </si>
  <si>
    <t>46-165</t>
  </si>
  <si>
    <t>Director</t>
  </si>
  <si>
    <t>CONTROL</t>
  </si>
  <si>
    <t>Ap. Mat</t>
  </si>
  <si>
    <t>Ap. Mat.</t>
  </si>
  <si>
    <t>APROSS</t>
  </si>
  <si>
    <t>OS DIPE</t>
  </si>
  <si>
    <t>LIQUIDO C/ OS APROSS</t>
  </si>
  <si>
    <t>LIQUIDO C/ OS DIPE</t>
  </si>
  <si>
    <t>Aportes Personales</t>
  </si>
  <si>
    <t>Contribuciones Patronales</t>
  </si>
  <si>
    <t>Adic. Equip Escal. Gral. RM</t>
  </si>
  <si>
    <t>Titulo</t>
  </si>
  <si>
    <t>Ap. Jub.</t>
  </si>
  <si>
    <t>Ap. Jub. Compl</t>
  </si>
  <si>
    <t>Ob Soc</t>
  </si>
  <si>
    <t>Jub.</t>
  </si>
  <si>
    <t>Jub. Adic</t>
  </si>
  <si>
    <t>Jub. Compl</t>
  </si>
  <si>
    <t>COSTO</t>
  </si>
  <si>
    <t>45-900</t>
  </si>
  <si>
    <t>Ap Pers Jub</t>
  </si>
  <si>
    <t>Ap Pers Jub Compl</t>
  </si>
  <si>
    <t>Contr Patronal Jub</t>
  </si>
  <si>
    <t>Contr Patr Jub Adic</t>
  </si>
  <si>
    <t>Contr Patr Jub Compl</t>
  </si>
  <si>
    <t>Contr Patr APROSS</t>
  </si>
  <si>
    <t>Contr Patr OS DIPE</t>
  </si>
  <si>
    <t>DIPE ANSSAL</t>
  </si>
  <si>
    <t>Contr Patr DIPE ANSSAL</t>
  </si>
  <si>
    <t>C660060</t>
  </si>
  <si>
    <t>C660070</t>
  </si>
  <si>
    <t>C660300</t>
  </si>
  <si>
    <t>C672400</t>
  </si>
  <si>
    <t>C672440</t>
  </si>
  <si>
    <t>C662200</t>
  </si>
  <si>
    <t>C662400</t>
  </si>
  <si>
    <t>C662300</t>
  </si>
  <si>
    <t>C670920</t>
  </si>
  <si>
    <t>C661460</t>
  </si>
  <si>
    <t>C661470</t>
  </si>
  <si>
    <t>Corrección Pauta Salarial sobre FONID</t>
  </si>
  <si>
    <t>C120180</t>
  </si>
  <si>
    <t>Corr pauta FONID CGO</t>
  </si>
  <si>
    <t>Corr pauta FONID HS</t>
  </si>
  <si>
    <t>Nvo Ad. Rem Doc HS</t>
  </si>
  <si>
    <t>Ad. Rem. Doc HS</t>
  </si>
  <si>
    <t>LIQUIDO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</si>
  <si>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</si>
  <si>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</si>
  <si>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</si>
  <si>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</si>
  <si>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</si>
  <si>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</si>
  <si>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</si>
  <si>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</si>
  <si>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 xml:space="preserve"> </t>
  </si>
  <si>
    <t>Adic Rem Cgo 5 SUPERV</t>
  </si>
  <si>
    <t>Estado Docente %</t>
  </si>
  <si>
    <t>Mat. Did. Mensual Secr y Prosecr</t>
  </si>
  <si>
    <t>Mat. Did. Mensual Dir y Frente Alumnos</t>
  </si>
  <si>
    <t>Mat. Did. Mensual Prec Bibl y Ay Téc</t>
  </si>
  <si>
    <t>Mat. Did. Mensual Superv jor compl y min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</si>
  <si>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</si>
  <si>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</si>
  <si>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</si>
  <si>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</si>
  <si>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</si>
  <si>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</si>
  <si>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Adicional</t>
  </si>
  <si>
    <t>Horas Universitarias 09</t>
  </si>
  <si>
    <t>Horas Universitarias 10</t>
  </si>
  <si>
    <t>Horas Universitarias 11</t>
  </si>
  <si>
    <t>Horas Universitarias 12</t>
  </si>
  <si>
    <t>Correccion Pauta Salarial Remunerativa</t>
  </si>
  <si>
    <t>C 118340</t>
  </si>
  <si>
    <t>Correccion Pauta Salarial</t>
  </si>
  <si>
    <t>Correccion Pauta Salarial No Remunerativa</t>
  </si>
  <si>
    <t>C118350</t>
  </si>
  <si>
    <t>COBRA ADEL INC DOC (SI/NO)</t>
  </si>
  <si>
    <t>NARD Cgo</t>
  </si>
  <si>
    <t>ARD Cgo</t>
  </si>
  <si>
    <t>TOPE</t>
  </si>
  <si>
    <t>Valor Punto:$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</si>
  <si>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</si>
  <si>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</si>
  <si>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</si>
  <si>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</si>
  <si>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</si>
  <si>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</si>
  <si>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</si>
  <si>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</si>
  <si>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Adic Rem Cgo 6 ASESOR TECNICO</t>
  </si>
  <si>
    <t>Adic Rem Cgo 4 SUBINSP GRAL</t>
  </si>
  <si>
    <t>Adic Rem Cgo 7 SECR DOCENTE</t>
  </si>
  <si>
    <t>Adic Rem Cgo 1 DIRECTOR CORO</t>
  </si>
  <si>
    <t>Adic Rem Cgo 2 DIR ENS SUP</t>
  </si>
  <si>
    <t>Ap Mat Did Rem. 930</t>
  </si>
  <si>
    <t>Ap Mat Did Rem.Compl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</si>
</sst>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_-;\-* #,##0_-;_-* &quot;-&quot;_-;_-@_-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0.0000"/>
    <numFmt numFmtId="169" formatCode="0_ ;\-0\ "/>
    <numFmt numFmtId="170" formatCode="0.000000"/>
    <numFmt numFmtId="171" formatCode="0.0000%"/>
    <numFmt numFmtId="172" formatCode="#,##0.00_ ;\-#,##0.00\ "/>
    <numFmt numFmtId="173" formatCode="_ * #,##0.00000_ ;_ * \-#,##0.00000_ ;_ * &quot;-&quot;??_ ;_ @_ "/>
    <numFmt numFmtId="174" formatCode="0.00000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Times New Roman"/>
      <family val="1"/>
    </font>
    <font>
      <sz val="6"/>
      <color indexed="9"/>
      <name val="Times New Roman"/>
      <family val="1"/>
    </font>
    <font>
      <b/>
      <sz val="20"/>
      <color indexed="8"/>
      <name val="Times New Roman"/>
      <family val="1"/>
    </font>
    <font>
      <b/>
      <sz val="7"/>
      <name val="Times New Roman"/>
      <family val="1"/>
    </font>
    <font>
      <sz val="6"/>
      <color theme="3" tint="0.7999799847602844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7" fillId="0" borderId="0" applyNumberFormat="0" applyFill="0" applyBorder="0">
      <alignment/>
      <protection locked="0"/>
    </xf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/>
    <xf numFmtId="2" fontId="0" fillId="0" borderId="0" xfId="0" applyNumberFormat="1"/>
    <xf numFmtId="0" fontId="3" fillId="0" borderId="0" xfId="56" applyFont="1" applyFill="1" applyBorder="1">
      <alignment/>
      <protection/>
    </xf>
    <xf numFmtId="43" fontId="3" fillId="0" borderId="0" xfId="54" applyNumberFormat="1" applyFont="1" applyFill="1" applyBorder="1"/>
    <xf numFmtId="43" fontId="3" fillId="0" borderId="0" xfId="56" applyNumberFormat="1" applyFont="1" applyFill="1" applyBorder="1">
      <alignment/>
      <protection/>
    </xf>
    <xf numFmtId="0" fontId="3" fillId="0" borderId="10" xfId="56" applyFont="1" applyFill="1" applyBorder="1">
      <alignment/>
      <protection/>
    </xf>
    <xf numFmtId="43" fontId="4" fillId="0" borderId="11" xfId="56" applyNumberFormat="1" applyFont="1" applyFill="1" applyBorder="1" applyAlignment="1">
      <alignment horizontal="center" wrapText="1"/>
      <protection/>
    </xf>
    <xf numFmtId="43" fontId="5" fillId="0" borderId="0" xfId="54" applyNumberFormat="1" applyFont="1" applyFill="1" applyBorder="1" applyAlignment="1">
      <alignment/>
    </xf>
    <xf numFmtId="0" fontId="5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 horizontal="center"/>
      <protection/>
    </xf>
    <xf numFmtId="43" fontId="6" fillId="0" borderId="0" xfId="56" applyNumberFormat="1" applyFont="1" applyFill="1" applyBorder="1" applyAlignment="1">
      <alignment wrapText="1"/>
      <protection/>
    </xf>
    <xf numFmtId="43" fontId="5" fillId="0" borderId="0" xfId="56" applyNumberFormat="1" applyFont="1" applyFill="1" applyBorder="1" applyAlignment="1">
      <alignment/>
      <protection/>
    </xf>
    <xf numFmtId="43" fontId="0" fillId="0" borderId="0" xfId="0" applyNumberFormat="1"/>
    <xf numFmtId="43" fontId="6" fillId="0" borderId="0" xfId="56" applyNumberFormat="1" applyFont="1" applyFill="1" applyBorder="1" applyAlignment="1">
      <alignment horizontal="right" wrapText="1"/>
      <protection/>
    </xf>
    <xf numFmtId="43" fontId="7" fillId="0" borderId="0" xfId="50" applyNumberFormat="1" applyFill="1" applyBorder="1" applyAlignment="1" applyProtection="1">
      <alignment/>
      <protection/>
    </xf>
    <xf numFmtId="43" fontId="3" fillId="0" borderId="0" xfId="52" applyFont="1" applyFill="1" applyBorder="1"/>
    <xf numFmtId="43" fontId="0" fillId="0" borderId="0" xfId="52" applyFont="1"/>
    <xf numFmtId="43" fontId="3" fillId="0" borderId="0" xfId="52" applyFont="1" applyFill="1" applyBorder="1" applyAlignment="1">
      <alignment/>
    </xf>
    <xf numFmtId="0" fontId="5" fillId="0" borderId="0" xfId="56" applyFont="1" applyFill="1" applyBorder="1" applyAlignment="1">
      <alignment horizontal="center"/>
      <protection/>
    </xf>
    <xf numFmtId="0" fontId="0" fillId="0" borderId="0" xfId="0" applyFont="1"/>
    <xf numFmtId="0" fontId="28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" fontId="0" fillId="0" borderId="0" xfId="0" applyNumberFormat="1" applyFill="1" applyBorder="1"/>
    <xf numFmtId="43" fontId="29" fillId="0" borderId="0" xfId="56" applyNumberFormat="1" applyFont="1" applyFill="1" applyBorder="1">
      <alignment/>
      <protection/>
    </xf>
    <xf numFmtId="0" fontId="29" fillId="0" borderId="0" xfId="56" applyFont="1" applyFill="1" applyBorder="1">
      <alignment/>
      <protection/>
    </xf>
    <xf numFmtId="168" fontId="10" fillId="0" borderId="0" xfId="53" applyNumberFormat="1" applyFont="1" applyFill="1" applyBorder="1" applyAlignment="1">
      <alignment horizontal="center"/>
    </xf>
    <xf numFmtId="0" fontId="9" fillId="0" borderId="0" xfId="56" applyFont="1" applyFill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43" fontId="4" fillId="0" borderId="13" xfId="56" applyNumberFormat="1" applyFont="1" applyFill="1" applyBorder="1" applyAlignment="1">
      <alignment horizontal="center" vertical="center" wrapText="1"/>
      <protection/>
    </xf>
    <xf numFmtId="168" fontId="10" fillId="0" borderId="0" xfId="53" applyNumberFormat="1" applyFont="1" applyFill="1" applyBorder="1" applyAlignment="1">
      <alignment vertical="center"/>
    </xf>
    <xf numFmtId="0" fontId="9" fillId="0" borderId="14" xfId="56" applyFont="1" applyFill="1" applyBorder="1" applyAlignment="1">
      <alignment/>
      <protection/>
    </xf>
    <xf numFmtId="0" fontId="9" fillId="0" borderId="0" xfId="56" applyFont="1" applyFill="1" applyBorder="1" applyAlignment="1">
      <alignment/>
      <protection/>
    </xf>
    <xf numFmtId="0" fontId="30" fillId="0" borderId="0" xfId="56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167" fontId="6" fillId="0" borderId="0" xfId="52" applyNumberFormat="1" applyFont="1" applyFill="1" applyBorder="1" applyAlignment="1">
      <alignment horizontal="right"/>
    </xf>
    <xf numFmtId="43" fontId="6" fillId="0" borderId="0" xfId="54" applyNumberFormat="1" applyFont="1" applyFill="1" applyBorder="1" applyAlignment="1">
      <alignment horizontal="right"/>
    </xf>
    <xf numFmtId="0" fontId="32" fillId="0" borderId="0" xfId="56" applyFont="1" applyFill="1" applyBorder="1">
      <alignment/>
      <protection/>
    </xf>
    <xf numFmtId="43" fontId="0" fillId="0" borderId="0" xfId="52" applyNumberFormat="1" applyFont="1"/>
    <xf numFmtId="0" fontId="5" fillId="0" borderId="15" xfId="56" applyFont="1" applyFill="1" applyBorder="1" applyAlignment="1">
      <alignment/>
      <protection/>
    </xf>
    <xf numFmtId="43" fontId="5" fillId="0" borderId="15" xfId="56" applyNumberFormat="1" applyFont="1" applyFill="1" applyBorder="1" applyAlignment="1">
      <alignment/>
      <protection/>
    </xf>
    <xf numFmtId="43" fontId="6" fillId="0" borderId="15" xfId="56" applyNumberFormat="1" applyFont="1" applyFill="1" applyBorder="1" applyAlignment="1">
      <alignment horizontal="center"/>
      <protection/>
    </xf>
    <xf numFmtId="43" fontId="5" fillId="0" borderId="11" xfId="54" applyNumberFormat="1" applyFont="1" applyFill="1" applyBorder="1" applyAlignment="1">
      <alignment horizontal="center"/>
    </xf>
    <xf numFmtId="43" fontId="5" fillId="0" borderId="11" xfId="56" applyNumberFormat="1" applyFont="1" applyFill="1" applyBorder="1" applyAlignment="1">
      <alignment horizontal="center"/>
      <protection/>
    </xf>
    <xf numFmtId="43" fontId="5" fillId="0" borderId="15" xfId="56" applyNumberFormat="1" applyFont="1" applyFill="1" applyBorder="1" applyAlignment="1">
      <alignment horizontal="center"/>
      <protection/>
    </xf>
    <xf numFmtId="43" fontId="5" fillId="0" borderId="16" xfId="56" applyNumberFormat="1" applyFont="1" applyFill="1" applyBorder="1" applyAlignment="1">
      <alignment horizontal="center"/>
      <protection/>
    </xf>
    <xf numFmtId="0" fontId="5" fillId="24" borderId="0" xfId="56" applyFont="1" applyFill="1" applyBorder="1">
      <alignment/>
      <protection/>
    </xf>
    <xf numFmtId="0" fontId="5" fillId="24" borderId="0" xfId="56" applyFont="1" applyFill="1" applyBorder="1" applyAlignment="1">
      <alignment horizontal="left" wrapText="1"/>
      <protection/>
    </xf>
    <xf numFmtId="43" fontId="5" fillId="24" borderId="0" xfId="54" applyNumberFormat="1" applyFont="1" applyFill="1" applyBorder="1" applyAlignment="1">
      <alignment/>
    </xf>
    <xf numFmtId="43" fontId="6" fillId="24" borderId="0" xfId="56" applyNumberFormat="1" applyFont="1" applyFill="1" applyBorder="1" applyAlignment="1">
      <alignment horizontal="right" wrapText="1"/>
      <protection/>
    </xf>
    <xf numFmtId="43" fontId="6" fillId="24" borderId="0" xfId="56" applyNumberFormat="1" applyFont="1" applyFill="1" applyBorder="1" applyAlignment="1">
      <alignment wrapText="1"/>
      <protection/>
    </xf>
    <xf numFmtId="0" fontId="5" fillId="0" borderId="17" xfId="56" applyFont="1" applyFill="1" applyBorder="1">
      <alignment/>
      <protection/>
    </xf>
    <xf numFmtId="0" fontId="5" fillId="0" borderId="17" xfId="56" applyFont="1" applyFill="1" applyBorder="1" applyAlignment="1">
      <alignment horizontal="left" wrapText="1"/>
      <protection/>
    </xf>
    <xf numFmtId="43" fontId="6" fillId="0" borderId="17" xfId="56" applyNumberFormat="1" applyFont="1" applyFill="1" applyBorder="1" applyAlignment="1">
      <alignment horizontal="right" wrapText="1"/>
      <protection/>
    </xf>
    <xf numFmtId="0" fontId="5" fillId="0" borderId="17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1" fontId="0" fillId="0" borderId="17" xfId="0" applyNumberFormat="1" applyFill="1" applyBorder="1"/>
    <xf numFmtId="0" fontId="5" fillId="0" borderId="17" xfId="56" applyFont="1" applyFill="1" applyBorder="1" applyAlignment="1">
      <alignment/>
      <protection/>
    </xf>
    <xf numFmtId="0" fontId="3" fillId="0" borderId="17" xfId="56" applyFont="1" applyFill="1" applyBorder="1">
      <alignment/>
      <protection/>
    </xf>
    <xf numFmtId="43" fontId="6" fillId="0" borderId="17" xfId="54" applyNumberFormat="1" applyFont="1" applyFill="1" applyBorder="1" applyAlignment="1">
      <alignment horizontal="right"/>
    </xf>
    <xf numFmtId="43" fontId="5" fillId="0" borderId="0" xfId="56" applyNumberFormat="1" applyFont="1" applyFill="1" applyBorder="1" applyAlignment="1">
      <alignment horizontal="right"/>
      <protection/>
    </xf>
    <xf numFmtId="43" fontId="33" fillId="0" borderId="0" xfId="56" applyNumberFormat="1" applyFont="1" applyFill="1" applyBorder="1">
      <alignment/>
      <protection/>
    </xf>
    <xf numFmtId="2" fontId="5" fillId="0" borderId="0" xfId="56" applyNumberFormat="1" applyFont="1" applyFill="1" applyBorder="1" applyAlignment="1">
      <alignment horizontal="right" wrapText="1"/>
      <protection/>
    </xf>
    <xf numFmtId="0" fontId="6" fillId="0" borderId="0" xfId="56" applyFont="1" applyFill="1" applyBorder="1" applyAlignment="1">
      <alignment horizontal="left" wrapText="1"/>
      <protection/>
    </xf>
    <xf numFmtId="2" fontId="6" fillId="0" borderId="0" xfId="56" applyNumberFormat="1" applyFont="1" applyFill="1" applyBorder="1" applyAlignment="1">
      <alignment horizontal="right" wrapText="1"/>
      <protection/>
    </xf>
    <xf numFmtId="0" fontId="9" fillId="0" borderId="0" xfId="56" applyFont="1" applyFill="1" applyBorder="1" applyAlignment="1">
      <alignment horizontal="center"/>
      <protection/>
    </xf>
    <xf numFmtId="167" fontId="6" fillId="0" borderId="17" xfId="52" applyNumberFormat="1" applyFont="1" applyFill="1" applyBorder="1" applyAlignment="1">
      <alignment horizontal="right"/>
    </xf>
    <xf numFmtId="0" fontId="6" fillId="0" borderId="18" xfId="56" applyFont="1" applyFill="1" applyBorder="1" applyAlignment="1">
      <alignment horizontal="right"/>
      <protection/>
    </xf>
    <xf numFmtId="43" fontId="5" fillId="0" borderId="16" xfId="56" applyNumberFormat="1" applyFont="1" applyFill="1" applyBorder="1" applyAlignment="1">
      <alignment/>
      <protection/>
    </xf>
    <xf numFmtId="43" fontId="5" fillId="0" borderId="15" xfId="52" applyFont="1" applyFill="1" applyBorder="1" applyAlignment="1">
      <alignment/>
    </xf>
    <xf numFmtId="0" fontId="5" fillId="0" borderId="15" xfId="56" applyFont="1" applyFill="1" applyBorder="1">
      <alignment/>
      <protection/>
    </xf>
    <xf numFmtId="43" fontId="5" fillId="0" borderId="16" xfId="54" applyNumberFormat="1" applyFont="1" applyFill="1" applyBorder="1" applyAlignment="1">
      <alignment/>
    </xf>
    <xf numFmtId="43" fontId="4" fillId="0" borderId="10" xfId="56" applyNumberFormat="1" applyFont="1" applyFill="1" applyBorder="1" applyAlignment="1">
      <alignment horizontal="center" vertical="center" wrapText="1"/>
      <protection/>
    </xf>
    <xf numFmtId="43" fontId="4" fillId="0" borderId="10" xfId="56" applyNumberFormat="1" applyFont="1" applyFill="1" applyBorder="1" applyAlignment="1">
      <alignment horizontal="center" vertical="center"/>
      <protection/>
    </xf>
    <xf numFmtId="43" fontId="4" fillId="0" borderId="10" xfId="52" applyFont="1" applyFill="1" applyBorder="1" applyAlignment="1">
      <alignment vertical="center" wrapText="1"/>
    </xf>
    <xf numFmtId="43" fontId="4" fillId="0" borderId="10" xfId="52" applyFont="1" applyFill="1" applyBorder="1" applyAlignment="1">
      <alignment horizontal="center" vertical="center" wrapText="1"/>
    </xf>
    <xf numFmtId="43" fontId="5" fillId="0" borderId="0" xfId="54" applyNumberFormat="1" applyFont="1" applyFill="1" applyBorder="1" applyAlignment="1">
      <alignment horizontal="right"/>
    </xf>
    <xf numFmtId="43" fontId="5" fillId="0" borderId="0" xfId="56" applyNumberFormat="1" applyFont="1" applyFill="1" applyBorder="1" applyAlignment="1">
      <alignment horizontal="right" wrapText="1"/>
      <protection/>
    </xf>
    <xf numFmtId="43" fontId="8" fillId="0" borderId="0" xfId="54" applyNumberFormat="1" applyFont="1" applyFill="1" applyBorder="1" applyAlignment="1">
      <alignment horizontal="right"/>
    </xf>
    <xf numFmtId="43" fontId="5" fillId="0" borderId="17" xfId="54" applyNumberFormat="1" applyFont="1" applyFill="1" applyBorder="1" applyAlignment="1">
      <alignment horizontal="right"/>
    </xf>
    <xf numFmtId="43" fontId="5" fillId="0" borderId="17" xfId="56" applyNumberFormat="1" applyFont="1" applyFill="1" applyBorder="1" applyAlignment="1">
      <alignment horizontal="right" wrapText="1"/>
      <protection/>
    </xf>
    <xf numFmtId="43" fontId="8" fillId="0" borderId="17" xfId="54" applyNumberFormat="1" applyFont="1" applyFill="1" applyBorder="1" applyAlignment="1">
      <alignment horizontal="right"/>
    </xf>
    <xf numFmtId="43" fontId="8" fillId="0" borderId="0" xfId="56" applyNumberFormat="1" applyFont="1" applyFill="1" applyBorder="1" applyAlignment="1">
      <alignment horizontal="right" wrapText="1"/>
      <protection/>
    </xf>
    <xf numFmtId="43" fontId="8" fillId="0" borderId="17" xfId="56" applyNumberFormat="1" applyFont="1" applyFill="1" applyBorder="1" applyAlignment="1">
      <alignment horizontal="right" wrapText="1"/>
      <protection/>
    </xf>
    <xf numFmtId="43" fontId="5" fillId="0" borderId="17" xfId="56" applyNumberFormat="1" applyFont="1" applyFill="1" applyBorder="1" applyAlignment="1">
      <alignment horizontal="right"/>
      <protection/>
    </xf>
    <xf numFmtId="43" fontId="8" fillId="24" borderId="0" xfId="54" applyNumberFormat="1" applyFont="1" applyFill="1" applyBorder="1" applyAlignment="1">
      <alignment horizontal="right"/>
    </xf>
    <xf numFmtId="43" fontId="8" fillId="0" borderId="0" xfId="56" applyNumberFormat="1" applyFont="1" applyFill="1" applyBorder="1" applyAlignment="1">
      <alignment horizontal="right"/>
      <protection/>
    </xf>
    <xf numFmtId="43" fontId="8" fillId="0" borderId="17" xfId="56" applyNumberFormat="1" applyFont="1" applyFill="1" applyBorder="1" applyAlignment="1">
      <alignment horizontal="right"/>
      <protection/>
    </xf>
    <xf numFmtId="43" fontId="5" fillId="0" borderId="0" xfId="52" applyNumberFormat="1" applyFont="1" applyFill="1" applyBorder="1" applyAlignment="1">
      <alignment horizontal="right"/>
    </xf>
    <xf numFmtId="43" fontId="5" fillId="0" borderId="17" xfId="52" applyNumberFormat="1" applyFont="1" applyFill="1" applyBorder="1" applyAlignment="1">
      <alignment horizontal="right"/>
    </xf>
    <xf numFmtId="0" fontId="5" fillId="0" borderId="15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8" fillId="0" borderId="0" xfId="0" applyFont="1"/>
    <xf numFmtId="43" fontId="4" fillId="0" borderId="16" xfId="56" applyNumberFormat="1" applyFont="1" applyFill="1" applyBorder="1" applyAlignment="1">
      <alignment horizontal="center"/>
      <protection/>
    </xf>
    <xf numFmtId="43" fontId="4" fillId="0" borderId="15" xfId="56" applyNumberFormat="1" applyFont="1" applyFill="1" applyBorder="1" applyAlignment="1">
      <alignment horizontal="center" wrapText="1"/>
      <protection/>
    </xf>
    <xf numFmtId="43" fontId="6" fillId="0" borderId="13" xfId="56" applyNumberFormat="1" applyFont="1" applyFill="1" applyBorder="1" applyAlignment="1">
      <alignment horizontal="center" vertical="center" wrapText="1"/>
      <protection/>
    </xf>
    <xf numFmtId="43" fontId="4" fillId="0" borderId="16" xfId="56" applyNumberFormat="1" applyFont="1" applyFill="1" applyBorder="1" applyAlignment="1">
      <alignment horizontal="center" wrapText="1"/>
      <protection/>
    </xf>
    <xf numFmtId="0" fontId="9" fillId="0" borderId="19" xfId="56" applyFont="1" applyFill="1" applyBorder="1" applyAlignment="1">
      <alignment/>
      <protection/>
    </xf>
    <xf numFmtId="169" fontId="3" fillId="0" borderId="14" xfId="54" applyNumberFormat="1" applyFont="1" applyFill="1" applyBorder="1"/>
    <xf numFmtId="0" fontId="0" fillId="0" borderId="14" xfId="0" applyBorder="1"/>
    <xf numFmtId="0" fontId="0" fillId="0" borderId="20" xfId="0" applyBorder="1"/>
    <xf numFmtId="0" fontId="0" fillId="0" borderId="18" xfId="0" applyBorder="1"/>
    <xf numFmtId="0" fontId="0" fillId="0" borderId="17" xfId="0" applyBorder="1"/>
    <xf numFmtId="0" fontId="0" fillId="0" borderId="16" xfId="0" applyBorder="1"/>
    <xf numFmtId="43" fontId="6" fillId="0" borderId="10" xfId="56" applyNumberFormat="1" applyFont="1" applyFill="1" applyBorder="1" applyAlignment="1">
      <alignment horizontal="center" vertical="center" wrapText="1"/>
      <protection/>
    </xf>
    <xf numFmtId="43" fontId="6" fillId="0" borderId="15" xfId="56" applyNumberFormat="1" applyFont="1" applyFill="1" applyBorder="1" applyAlignment="1">
      <alignment horizontal="center" vertical="center" wrapText="1"/>
      <protection/>
    </xf>
    <xf numFmtId="43" fontId="6" fillId="0" borderId="15" xfId="56" applyNumberFormat="1" applyFont="1" applyFill="1" applyBorder="1" applyAlignment="1">
      <alignment horizontal="center" vertical="center"/>
      <protection/>
    </xf>
    <xf numFmtId="43" fontId="5" fillId="0" borderId="21" xfId="56" applyNumberFormat="1" applyFont="1" applyFill="1" applyBorder="1" applyAlignment="1">
      <alignment horizontal="center"/>
      <protection/>
    </xf>
    <xf numFmtId="49" fontId="5" fillId="0" borderId="0" xfId="54" applyNumberFormat="1" applyFont="1" applyFill="1" applyBorder="1" applyAlignment="1">
      <alignment/>
    </xf>
    <xf numFmtId="0" fontId="5" fillId="0" borderId="22" xfId="56" applyFont="1" applyFill="1" applyBorder="1" applyAlignment="1">
      <alignment horizontal="center"/>
      <protection/>
    </xf>
    <xf numFmtId="165" fontId="3" fillId="0" borderId="0" xfId="56" applyNumberFormat="1" applyFont="1" applyFill="1" applyBorder="1" applyAlignment="1">
      <alignment horizontal="right"/>
      <protection/>
    </xf>
    <xf numFmtId="165" fontId="6" fillId="0" borderId="18" xfId="56" applyNumberFormat="1" applyFont="1" applyFill="1" applyBorder="1" applyAlignment="1">
      <alignment horizontal="right"/>
      <protection/>
    </xf>
    <xf numFmtId="165" fontId="6" fillId="0" borderId="0" xfId="56" applyNumberFormat="1" applyFont="1" applyFill="1" applyBorder="1" applyAlignment="1">
      <alignment horizontal="right" wrapText="1"/>
      <protection/>
    </xf>
    <xf numFmtId="165" fontId="6" fillId="0" borderId="17" xfId="56" applyNumberFormat="1" applyFont="1" applyFill="1" applyBorder="1" applyAlignment="1">
      <alignment horizontal="right" wrapText="1"/>
      <protection/>
    </xf>
    <xf numFmtId="165" fontId="6" fillId="0" borderId="17" xfId="54" applyNumberFormat="1" applyFont="1" applyFill="1" applyBorder="1" applyAlignment="1">
      <alignment horizontal="right"/>
    </xf>
    <xf numFmtId="165" fontId="6" fillId="0" borderId="0" xfId="54" applyNumberFormat="1" applyFont="1" applyFill="1" applyBorder="1" applyAlignment="1">
      <alignment horizontal="right"/>
    </xf>
    <xf numFmtId="165" fontId="5" fillId="0" borderId="0" xfId="56" applyNumberFormat="1" applyFont="1" applyFill="1" applyBorder="1" applyAlignment="1">
      <alignment horizontal="right"/>
      <protection/>
    </xf>
    <xf numFmtId="167" fontId="3" fillId="0" borderId="0" xfId="56" applyNumberFormat="1" applyFont="1" applyFill="1" applyBorder="1" applyAlignment="1">
      <alignment horizontal="right"/>
      <protection/>
    </xf>
    <xf numFmtId="167" fontId="6" fillId="0" borderId="18" xfId="56" applyNumberFormat="1" applyFont="1" applyFill="1" applyBorder="1" applyAlignment="1">
      <alignment horizontal="right"/>
      <protection/>
    </xf>
    <xf numFmtId="167" fontId="6" fillId="0" borderId="0" xfId="54" applyNumberFormat="1" applyFont="1" applyFill="1" applyBorder="1" applyAlignment="1">
      <alignment horizontal="right"/>
    </xf>
    <xf numFmtId="167" fontId="6" fillId="0" borderId="17" xfId="54" applyNumberFormat="1" applyFont="1" applyFill="1" applyBorder="1" applyAlignment="1">
      <alignment horizontal="right"/>
    </xf>
    <xf numFmtId="167" fontId="5" fillId="0" borderId="0" xfId="56" applyNumberFormat="1" applyFont="1" applyFill="1" applyBorder="1" applyAlignment="1">
      <alignment horizontal="right"/>
      <protection/>
    </xf>
    <xf numFmtId="167" fontId="6" fillId="0" borderId="0" xfId="56" applyNumberFormat="1" applyFont="1" applyFill="1" applyBorder="1" applyAlignment="1">
      <alignment horizontal="right"/>
      <protection/>
    </xf>
    <xf numFmtId="167" fontId="6" fillId="0" borderId="17" xfId="56" applyNumberFormat="1" applyFont="1" applyFill="1" applyBorder="1" applyAlignment="1">
      <alignment horizontal="right"/>
      <protection/>
    </xf>
    <xf numFmtId="165" fontId="31" fillId="0" borderId="0" xfId="54" applyNumberFormat="1" applyFont="1" applyFill="1" applyBorder="1" applyAlignment="1">
      <alignment horizontal="right"/>
    </xf>
    <xf numFmtId="165" fontId="3" fillId="0" borderId="0" xfId="54" applyNumberFormat="1" applyFont="1" applyFill="1" applyBorder="1"/>
    <xf numFmtId="0" fontId="6" fillId="0" borderId="0" xfId="56" applyFont="1" applyFill="1" applyBorder="1" applyAlignment="1">
      <alignment horizontal="right"/>
      <protection/>
    </xf>
    <xf numFmtId="43" fontId="8" fillId="0" borderId="0" xfId="54" applyNumberFormat="1" applyFont="1" applyFill="1" applyBorder="1" applyAlignment="1">
      <alignment/>
    </xf>
    <xf numFmtId="43" fontId="5" fillId="0" borderId="17" xfId="54" applyNumberFormat="1" applyFont="1" applyFill="1" applyBorder="1" applyAlignment="1">
      <alignment/>
    </xf>
    <xf numFmtId="43" fontId="3" fillId="0" borderId="0" xfId="54" applyNumberFormat="1" applyFont="1" applyFill="1" applyBorder="1" applyAlignment="1">
      <alignment/>
    </xf>
    <xf numFmtId="165" fontId="3" fillId="0" borderId="0" xfId="56" applyNumberFormat="1" applyFont="1" applyFill="1" applyBorder="1" applyAlignment="1">
      <alignment horizontal="right" wrapText="1"/>
      <protection/>
    </xf>
    <xf numFmtId="165" fontId="6" fillId="0" borderId="18" xfId="56" applyNumberFormat="1" applyFont="1" applyFill="1" applyBorder="1" applyAlignment="1">
      <alignment horizontal="right" wrapText="1"/>
      <protection/>
    </xf>
    <xf numFmtId="165" fontId="6" fillId="0" borderId="17" xfId="54" applyNumberFormat="1" applyFont="1" applyFill="1" applyBorder="1" applyAlignment="1">
      <alignment horizontal="right" wrapText="1"/>
    </xf>
    <xf numFmtId="165" fontId="6" fillId="0" borderId="0" xfId="54" applyNumberFormat="1" applyFont="1" applyFill="1" applyBorder="1" applyAlignment="1">
      <alignment horizontal="right" wrapText="1"/>
    </xf>
    <xf numFmtId="165" fontId="5" fillId="0" borderId="0" xfId="56" applyNumberFormat="1" applyFont="1" applyFill="1" applyBorder="1" applyAlignment="1">
      <alignment horizontal="right" wrapText="1"/>
      <protection/>
    </xf>
    <xf numFmtId="2" fontId="29" fillId="0" borderId="0" xfId="52" applyNumberFormat="1" applyFont="1" applyFill="1" applyBorder="1" applyAlignment="1">
      <alignment/>
    </xf>
    <xf numFmtId="43" fontId="3" fillId="0" borderId="0" xfId="56" applyNumberFormat="1" applyFont="1" applyFill="1" applyBorder="1" applyAlignment="1">
      <alignment/>
      <protection/>
    </xf>
    <xf numFmtId="43" fontId="0" fillId="0" borderId="0" xfId="52" applyFont="1" applyFill="1"/>
    <xf numFmtId="43" fontId="8" fillId="24" borderId="0" xfId="56" applyNumberFormat="1" applyFont="1" applyFill="1" applyBorder="1" applyAlignment="1">
      <alignment horizontal="right"/>
      <protection/>
    </xf>
    <xf numFmtId="43" fontId="6" fillId="0" borderId="0" xfId="56" applyNumberFormat="1" applyFont="1" applyFill="1" applyBorder="1" applyAlignment="1">
      <alignment horizontal="right"/>
      <protection/>
    </xf>
    <xf numFmtId="43" fontId="6" fillId="0" borderId="17" xfId="56" applyNumberFormat="1" applyFont="1" applyFill="1" applyBorder="1" applyAlignment="1">
      <alignment horizontal="right"/>
      <protection/>
    </xf>
    <xf numFmtId="167" fontId="3" fillId="0" borderId="0" xfId="53" applyNumberFormat="1" applyFont="1" applyFill="1" applyBorder="1" applyAlignment="1">
      <alignment horizontal="right"/>
    </xf>
    <xf numFmtId="167" fontId="6" fillId="0" borderId="18" xfId="53" applyNumberFormat="1" applyFont="1" applyFill="1" applyBorder="1" applyAlignment="1">
      <alignment horizontal="right"/>
    </xf>
    <xf numFmtId="167" fontId="6" fillId="0" borderId="0" xfId="53" applyNumberFormat="1" applyFont="1" applyFill="1" applyBorder="1" applyAlignment="1">
      <alignment horizontal="right" wrapText="1"/>
    </xf>
    <xf numFmtId="167" fontId="6" fillId="0" borderId="17" xfId="53" applyNumberFormat="1" applyFont="1" applyFill="1" applyBorder="1" applyAlignment="1">
      <alignment horizontal="right" wrapText="1"/>
    </xf>
    <xf numFmtId="167" fontId="6" fillId="0" borderId="0" xfId="53" applyNumberFormat="1" applyFont="1" applyFill="1" applyBorder="1" applyAlignment="1">
      <alignment horizontal="right"/>
    </xf>
    <xf numFmtId="167" fontId="6" fillId="0" borderId="17" xfId="53" applyNumberFormat="1" applyFont="1" applyFill="1" applyBorder="1" applyAlignment="1">
      <alignment horizontal="right"/>
    </xf>
    <xf numFmtId="167" fontId="5" fillId="0" borderId="0" xfId="53" applyNumberFormat="1" applyFont="1" applyFill="1" applyBorder="1" applyAlignment="1">
      <alignment horizontal="right"/>
    </xf>
    <xf numFmtId="0" fontId="34" fillId="0" borderId="0" xfId="56" applyFont="1" applyFill="1" applyBorder="1" applyAlignment="1">
      <alignment horizontal="center" vertical="center" wrapText="1"/>
      <protection/>
    </xf>
    <xf numFmtId="43" fontId="5" fillId="0" borderId="10" xfId="56" applyNumberFormat="1" applyFont="1" applyFill="1" applyBorder="1" applyAlignment="1">
      <alignment horizontal="center" vertical="center" wrapText="1"/>
      <protection/>
    </xf>
    <xf numFmtId="43" fontId="5" fillId="0" borderId="15" xfId="56" applyNumberFormat="1" applyFont="1" applyFill="1" applyBorder="1" applyAlignment="1">
      <alignment horizontal="center" vertical="center" wrapText="1"/>
      <protection/>
    </xf>
    <xf numFmtId="43" fontId="5" fillId="0" borderId="0" xfId="56" applyNumberFormat="1" applyFont="1" applyFill="1" applyBorder="1" applyAlignment="1">
      <alignment wrapText="1"/>
      <protection/>
    </xf>
    <xf numFmtId="43" fontId="5" fillId="0" borderId="17" xfId="56" applyNumberFormat="1" applyFont="1" applyFill="1" applyBorder="1" applyAlignment="1">
      <alignment wrapText="1"/>
      <protection/>
    </xf>
    <xf numFmtId="43" fontId="5" fillId="0" borderId="17" xfId="56" applyNumberFormat="1" applyFont="1" applyFill="1" applyBorder="1" applyAlignment="1">
      <alignment/>
      <protection/>
    </xf>
    <xf numFmtId="43" fontId="4" fillId="0" borderId="0" xfId="56" applyNumberFormat="1" applyFont="1" applyFill="1" applyBorder="1">
      <alignment/>
      <protection/>
    </xf>
    <xf numFmtId="168" fontId="35" fillId="0" borderId="0" xfId="53" applyNumberFormat="1" applyFont="1" applyFill="1" applyBorder="1" applyAlignment="1">
      <alignment horizontal="center"/>
    </xf>
    <xf numFmtId="43" fontId="6" fillId="0" borderId="15" xfId="56" applyNumberFormat="1" applyFont="1" applyFill="1" applyBorder="1" applyAlignment="1">
      <alignment/>
      <protection/>
    </xf>
    <xf numFmtId="168" fontId="36" fillId="0" borderId="0" xfId="53" applyNumberFormat="1" applyFont="1" applyFill="1" applyBorder="1" applyAlignment="1">
      <alignment horizontal="center"/>
    </xf>
    <xf numFmtId="0" fontId="4" fillId="0" borderId="0" xfId="56" applyFont="1" applyFill="1" applyBorder="1" applyAlignment="1">
      <alignment horizontal="center" wrapText="1"/>
      <protection/>
    </xf>
    <xf numFmtId="10" fontId="5" fillId="0" borderId="15" xfId="66" applyNumberFormat="1" applyFont="1" applyFill="1" applyBorder="1" applyAlignment="1">
      <alignment horizontal="center"/>
    </xf>
    <xf numFmtId="10" fontId="5" fillId="0" borderId="16" xfId="66" applyNumberFormat="1" applyFont="1" applyFill="1" applyBorder="1" applyAlignment="1">
      <alignment horizontal="center"/>
    </xf>
    <xf numFmtId="10" fontId="5" fillId="0" borderId="16" xfId="56" applyNumberFormat="1" applyFont="1" applyFill="1" applyBorder="1" applyAlignment="1">
      <alignment horizontal="center"/>
      <protection/>
    </xf>
    <xf numFmtId="10" fontId="5" fillId="0" borderId="11" xfId="56" applyNumberFormat="1" applyFont="1" applyFill="1" applyBorder="1" applyAlignment="1">
      <alignment horizontal="center"/>
      <protection/>
    </xf>
    <xf numFmtId="10" fontId="5" fillId="0" borderId="11" xfId="66" applyNumberFormat="1" applyFont="1" applyFill="1" applyBorder="1" applyAlignment="1">
      <alignment horizontal="center"/>
    </xf>
    <xf numFmtId="0" fontId="8" fillId="25" borderId="0" xfId="0" applyFont="1" applyFill="1"/>
    <xf numFmtId="0" fontId="5" fillId="25" borderId="0" xfId="56" applyFont="1" applyFill="1" applyBorder="1" applyAlignment="1">
      <alignment horizontal="left" wrapText="1"/>
      <protection/>
    </xf>
    <xf numFmtId="43" fontId="5" fillId="25" borderId="0" xfId="54" applyNumberFormat="1" applyFont="1" applyFill="1" applyBorder="1" applyAlignment="1">
      <alignment/>
    </xf>
    <xf numFmtId="43" fontId="6" fillId="25" borderId="0" xfId="56" applyNumberFormat="1" applyFont="1" applyFill="1" applyBorder="1" applyAlignment="1">
      <alignment horizontal="right" wrapText="1"/>
      <protection/>
    </xf>
    <xf numFmtId="43" fontId="6" fillId="25" borderId="0" xfId="56" applyNumberFormat="1" applyFont="1" applyFill="1" applyBorder="1" applyAlignment="1">
      <alignment wrapText="1"/>
      <protection/>
    </xf>
    <xf numFmtId="0" fontId="4" fillId="26" borderId="11" xfId="56" applyFont="1" applyFill="1" applyBorder="1" applyAlignment="1">
      <alignment horizontal="center" wrapText="1"/>
      <protection/>
    </xf>
    <xf numFmtId="0" fontId="4" fillId="26" borderId="12" xfId="56" applyFont="1" applyFill="1" applyBorder="1" applyAlignment="1">
      <alignment horizontal="center" wrapText="1"/>
      <protection/>
    </xf>
    <xf numFmtId="10" fontId="5" fillId="26" borderId="15" xfId="66" applyNumberFormat="1" applyFont="1" applyFill="1" applyBorder="1" applyAlignment="1">
      <alignment horizontal="center"/>
    </xf>
    <xf numFmtId="10" fontId="5" fillId="26" borderId="16" xfId="66" applyNumberFormat="1" applyFont="1" applyFill="1" applyBorder="1" applyAlignment="1">
      <alignment horizontal="center"/>
    </xf>
    <xf numFmtId="10" fontId="5" fillId="26" borderId="16" xfId="56" applyNumberFormat="1" applyFont="1" applyFill="1" applyBorder="1" applyAlignment="1">
      <alignment horizontal="center"/>
      <protection/>
    </xf>
    <xf numFmtId="0" fontId="4" fillId="27" borderId="11" xfId="56" applyFont="1" applyFill="1" applyBorder="1" applyAlignment="1">
      <alignment horizontal="center" wrapText="1"/>
      <protection/>
    </xf>
    <xf numFmtId="0" fontId="4" fillId="27" borderId="12" xfId="56" applyFont="1" applyFill="1" applyBorder="1" applyAlignment="1">
      <alignment horizontal="center" wrapText="1"/>
      <protection/>
    </xf>
    <xf numFmtId="10" fontId="5" fillId="27" borderId="15" xfId="66" applyNumberFormat="1" applyFont="1" applyFill="1" applyBorder="1" applyAlignment="1">
      <alignment horizontal="center"/>
    </xf>
    <xf numFmtId="10" fontId="5" fillId="27" borderId="16" xfId="66" applyNumberFormat="1" applyFont="1" applyFill="1" applyBorder="1" applyAlignment="1">
      <alignment horizontal="center"/>
    </xf>
    <xf numFmtId="10" fontId="5" fillId="27" borderId="16" xfId="56" applyNumberFormat="1" applyFont="1" applyFill="1" applyBorder="1" applyAlignment="1">
      <alignment horizontal="center"/>
      <protection/>
    </xf>
    <xf numFmtId="43" fontId="5" fillId="0" borderId="15" xfId="56" applyNumberFormat="1" applyFont="1" applyFill="1" applyBorder="1" applyAlignment="1">
      <alignment horizontal="center" vertical="center"/>
      <protection/>
    </xf>
    <xf numFmtId="164" fontId="0" fillId="0" borderId="0" xfId="0" applyNumberFormat="1"/>
    <xf numFmtId="43" fontId="0" fillId="0" borderId="0" xfId="52" applyNumberFormat="1" applyFont="1" applyFill="1"/>
    <xf numFmtId="43" fontId="0" fillId="0" borderId="0" xfId="0" applyNumberFormat="1" applyFill="1"/>
    <xf numFmtId="2" fontId="3" fillId="0" borderId="0" xfId="56" applyNumberFormat="1" applyFont="1" applyFill="1" applyBorder="1" applyAlignment="1">
      <alignment horizontal="center"/>
      <protection/>
    </xf>
    <xf numFmtId="43" fontId="6" fillId="0" borderId="17" xfId="56" applyNumberFormat="1" applyFont="1" applyFill="1" applyBorder="1" applyAlignment="1">
      <alignment wrapText="1"/>
      <protection/>
    </xf>
    <xf numFmtId="0" fontId="29" fillId="0" borderId="17" xfId="56" applyFont="1" applyFill="1" applyBorder="1">
      <alignment/>
      <protection/>
    </xf>
    <xf numFmtId="10" fontId="0" fillId="0" borderId="0" xfId="66" applyNumberFormat="1" applyFont="1"/>
    <xf numFmtId="170" fontId="0" fillId="0" borderId="0" xfId="0" applyNumberFormat="1"/>
    <xf numFmtId="43" fontId="3" fillId="0" borderId="0" xfId="52" applyFont="1" applyFill="1" applyBorder="1" applyAlignment="1">
      <alignment horizontal="center"/>
    </xf>
    <xf numFmtId="168" fontId="36" fillId="0" borderId="0" xfId="53" applyNumberFormat="1" applyFont="1" applyFill="1" applyBorder="1" applyAlignment="1">
      <alignment vertical="center"/>
    </xf>
    <xf numFmtId="43" fontId="8" fillId="0" borderId="0" xfId="54" applyNumberFormat="1" applyFont="1" applyFill="1" applyBorder="1" applyAlignment="1" applyProtection="1">
      <alignment horizontal="right"/>
      <protection hidden="1" locked="0"/>
    </xf>
    <xf numFmtId="169" fontId="3" fillId="0" borderId="0" xfId="54" applyNumberFormat="1" applyFont="1" applyFill="1" applyBorder="1" applyAlignment="1">
      <alignment horizontal="center"/>
    </xf>
    <xf numFmtId="171" fontId="0" fillId="0" borderId="0" xfId="66" applyNumberFormat="1" applyFont="1"/>
    <xf numFmtId="172" fontId="0" fillId="0" borderId="0" xfId="0" applyNumberFormat="1" applyFill="1"/>
    <xf numFmtId="4" fontId="0" fillId="0" borderId="0" xfId="0" applyNumberFormat="1"/>
    <xf numFmtId="43" fontId="39" fillId="0" borderId="0" xfId="56" applyNumberFormat="1" applyFont="1" applyFill="1" applyBorder="1">
      <alignment/>
      <protection/>
    </xf>
    <xf numFmtId="173" fontId="0" fillId="0" borderId="0" xfId="0" applyNumberFormat="1"/>
    <xf numFmtId="174" fontId="0" fillId="0" borderId="0" xfId="0" applyNumberFormat="1"/>
    <xf numFmtId="170" fontId="0" fillId="0" borderId="0" xfId="0" applyNumberFormat="1" applyFont="1" applyFill="1"/>
    <xf numFmtId="0" fontId="30" fillId="0" borderId="0" xfId="56" applyFont="1" applyFill="1" applyBorder="1" applyAlignment="1">
      <alignment horizontal="left" vertical="center" wrapText="1"/>
      <protection/>
    </xf>
    <xf numFmtId="165" fontId="30" fillId="0" borderId="0" xfId="56" applyNumberFormat="1" applyFont="1" applyFill="1" applyBorder="1" applyAlignment="1">
      <alignment horizontal="left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165" fontId="4" fillId="0" borderId="19" xfId="56" applyNumberFormat="1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>
      <alignment horizontal="center" vertical="center" wrapText="1"/>
      <protection/>
    </xf>
    <xf numFmtId="1" fontId="4" fillId="0" borderId="20" xfId="56" applyNumberFormat="1" applyFont="1" applyFill="1" applyBorder="1" applyAlignment="1">
      <alignment horizontal="center" vertical="center" wrapText="1"/>
      <protection/>
    </xf>
    <xf numFmtId="44" fontId="4" fillId="0" borderId="19" xfId="56" applyNumberFormat="1" applyFont="1" applyFill="1" applyBorder="1" applyAlignment="1">
      <alignment horizontal="center" vertical="center"/>
      <protection/>
    </xf>
    <xf numFmtId="44" fontId="4" fillId="0" borderId="20" xfId="56" applyNumberFormat="1" applyFont="1" applyFill="1" applyBorder="1" applyAlignment="1">
      <alignment horizontal="center" vertical="center"/>
      <protection/>
    </xf>
    <xf numFmtId="43" fontId="37" fillId="0" borderId="0" xfId="52" applyFont="1" applyFill="1" applyBorder="1" applyAlignment="1">
      <alignment horizontal="center" wrapText="1"/>
    </xf>
    <xf numFmtId="173" fontId="38" fillId="0" borderId="0" xfId="53" applyNumberFormat="1" applyFont="1" applyFill="1" applyBorder="1" applyAlignment="1">
      <alignment horizontal="center"/>
    </xf>
    <xf numFmtId="43" fontId="39" fillId="0" borderId="0" xfId="56" applyNumberFormat="1" applyFont="1" applyFill="1" applyBorder="1" applyAlignment="1">
      <alignment horizontal="center"/>
      <protection/>
    </xf>
    <xf numFmtId="0" fontId="9" fillId="0" borderId="14" xfId="56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center" vertical="center" wrapText="1"/>
      <protection/>
    </xf>
    <xf numFmtId="0" fontId="0" fillId="26" borderId="0" xfId="0" applyFill="1" applyAlignment="1">
      <alignment horizontal="center" wrapText="1"/>
    </xf>
    <xf numFmtId="0" fontId="0" fillId="27" borderId="17" xfId="0" applyFill="1" applyBorder="1" applyAlignment="1">
      <alignment horizont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ipervínculo" xfId="50"/>
    <cellStyle name="Incorrecto" xfId="51"/>
    <cellStyle name="Millares" xfId="52"/>
    <cellStyle name="Moneda" xfId="53"/>
    <cellStyle name="Moneda_Tabla Docente 2003" xfId="54"/>
    <cellStyle name="Neutral" xfId="55"/>
    <cellStyle name="Normal_Tabla Docente 2003" xfId="56"/>
    <cellStyle name="Notas" xfId="57"/>
    <cellStyle name="Salida" xfId="58"/>
    <cellStyle name="Texto de advertencia" xfId="59"/>
    <cellStyle name="Texto explicativo" xfId="60"/>
    <cellStyle name="Título" xfId="61"/>
    <cellStyle name="Encabezado 1" xfId="62"/>
    <cellStyle name="Título 2" xfId="63"/>
    <cellStyle name="Título 3" xfId="64"/>
    <cellStyle name="Total" xfId="65"/>
    <cellStyle name="Porcentaje" xfId="66"/>
  </cellStyles>
  <dxfs count="69"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border>
        <bottom style="thin"/>
        <vertical/>
        <horizontal/>
      </border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68"/>
      <tableStyleElement type="headerRow" dxfId="6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25">
      <selection activeCell="C33" sqref="C33"/>
    </sheetView>
  </sheetViews>
  <sheetFormatPr defaultColWidth="11.421875" defaultRowHeight="12.75"/>
  <cols>
    <col min="1" max="1" width="4.7109375" style="0" customWidth="1"/>
    <col min="2" max="2" width="37.57421875" style="0" customWidth="1"/>
    <col min="3" max="3" width="11.421875" style="0" customWidth="1"/>
    <col min="4" max="4" width="13.28125" style="0" bestFit="1" customWidth="1"/>
    <col min="9" max="9" width="5.28125" style="0" bestFit="1" customWidth="1"/>
  </cols>
  <sheetData>
    <row r="1" spans="1:10" ht="12.75">
      <c r="A1" t="s">
        <v>565</v>
      </c>
      <c r="F1" s="21" t="s">
        <v>645</v>
      </c>
      <c r="I1" t="s">
        <v>383</v>
      </c>
      <c r="J1" t="s">
        <v>384</v>
      </c>
    </row>
    <row r="2" spans="1:10" ht="12.75">
      <c r="A2" t="s">
        <v>462</v>
      </c>
      <c r="B2" t="s">
        <v>380</v>
      </c>
      <c r="C2" s="199">
        <v>5.999304</v>
      </c>
      <c r="I2">
        <v>0</v>
      </c>
      <c r="J2" s="1">
        <v>0</v>
      </c>
    </row>
    <row r="3" spans="1:10" ht="12.75">
      <c r="A3" t="s">
        <v>462</v>
      </c>
      <c r="B3" t="s">
        <v>382</v>
      </c>
      <c r="C3" s="18">
        <v>0.15</v>
      </c>
      <c r="I3">
        <v>1</v>
      </c>
      <c r="J3" s="1">
        <v>0.15</v>
      </c>
    </row>
    <row r="4" spans="1:10" ht="12.75">
      <c r="A4" t="s">
        <v>462</v>
      </c>
      <c r="B4" t="s">
        <v>621</v>
      </c>
      <c r="C4" s="18">
        <v>0.35</v>
      </c>
      <c r="D4" s="183">
        <f>INT(('Escala Docente'!H139*0.35*100)+0.51)/100</f>
        <v>2683.49</v>
      </c>
      <c r="E4" s="14">
        <f>(INT(D4/15*100)/100)+0.01</f>
        <v>178.89999999999998</v>
      </c>
      <c r="F4" s="14"/>
      <c r="G4" s="14"/>
      <c r="H4" s="14"/>
      <c r="I4">
        <v>2</v>
      </c>
      <c r="J4" s="1">
        <v>0.15</v>
      </c>
    </row>
    <row r="5" spans="1:10" ht="12.75">
      <c r="A5" t="s">
        <v>461</v>
      </c>
      <c r="C5" s="18"/>
      <c r="I5">
        <v>3</v>
      </c>
      <c r="J5" s="1">
        <v>0.15</v>
      </c>
    </row>
    <row r="6" spans="1:10" ht="12.75">
      <c r="A6" t="s">
        <v>462</v>
      </c>
      <c r="B6" t="s">
        <v>622</v>
      </c>
      <c r="C6" s="138">
        <v>175.69</v>
      </c>
      <c r="D6" s="18"/>
      <c r="I6">
        <v>4</v>
      </c>
      <c r="J6" s="1">
        <v>0.15</v>
      </c>
    </row>
    <row r="7" spans="1:12" ht="12.75">
      <c r="A7" t="s">
        <v>462</v>
      </c>
      <c r="B7" t="s">
        <v>624</v>
      </c>
      <c r="C7" s="138">
        <v>204.98</v>
      </c>
      <c r="D7" s="18"/>
      <c r="I7">
        <v>5</v>
      </c>
      <c r="J7" s="1">
        <v>0.3</v>
      </c>
      <c r="L7" s="198"/>
    </row>
    <row r="8" spans="1:10" ht="12.75">
      <c r="A8" t="s">
        <v>462</v>
      </c>
      <c r="B8" t="s">
        <v>623</v>
      </c>
      <c r="C8" s="138">
        <v>234.26</v>
      </c>
      <c r="D8" s="18"/>
      <c r="I8">
        <v>6</v>
      </c>
      <c r="J8" s="1">
        <v>0.3</v>
      </c>
    </row>
    <row r="9" spans="1:10" ht="12.75">
      <c r="A9" t="s">
        <v>462</v>
      </c>
      <c r="B9" t="s">
        <v>625</v>
      </c>
      <c r="C9" s="138">
        <v>351.39</v>
      </c>
      <c r="D9" s="18"/>
      <c r="I9">
        <v>7</v>
      </c>
      <c r="J9" s="1">
        <v>0.4</v>
      </c>
    </row>
    <row r="10" spans="1:10" ht="12.75">
      <c r="A10" t="s">
        <v>461</v>
      </c>
      <c r="B10" t="s">
        <v>448</v>
      </c>
      <c r="C10" s="18">
        <v>0</v>
      </c>
      <c r="D10" s="18"/>
      <c r="I10">
        <v>8</v>
      </c>
      <c r="J10" s="1">
        <v>0.4</v>
      </c>
    </row>
    <row r="11" spans="1:10" ht="12.75">
      <c r="A11" t="s">
        <v>462</v>
      </c>
      <c r="B11" t="s">
        <v>449</v>
      </c>
      <c r="C11" s="182">
        <v>9.77</v>
      </c>
      <c r="D11" s="18"/>
      <c r="F11" s="14">
        <f>C9</f>
        <v>351.39</v>
      </c>
      <c r="I11">
        <v>9</v>
      </c>
      <c r="J11" s="1">
        <v>0.4</v>
      </c>
    </row>
    <row r="12" spans="1:10" ht="12.75">
      <c r="A12" t="s">
        <v>462</v>
      </c>
      <c r="B12" s="21" t="s">
        <v>485</v>
      </c>
      <c r="C12" s="194">
        <v>23.44</v>
      </c>
      <c r="D12" s="18"/>
      <c r="I12">
        <v>10</v>
      </c>
      <c r="J12" s="1">
        <v>0.5</v>
      </c>
    </row>
    <row r="13" spans="1:10" ht="12.75">
      <c r="A13" t="s">
        <v>461</v>
      </c>
      <c r="I13">
        <v>11</v>
      </c>
      <c r="J13" s="1">
        <v>0.5</v>
      </c>
    </row>
    <row r="14" spans="1:10" ht="12.75">
      <c r="A14" t="s">
        <v>462</v>
      </c>
      <c r="B14" t="s">
        <v>387</v>
      </c>
      <c r="C14" s="138">
        <v>137.54</v>
      </c>
      <c r="D14" s="181"/>
      <c r="I14">
        <v>12</v>
      </c>
      <c r="J14" s="1">
        <v>0.6</v>
      </c>
    </row>
    <row r="15" spans="1:10" ht="12.75">
      <c r="A15" t="s">
        <v>462</v>
      </c>
      <c r="B15" s="21" t="s">
        <v>658</v>
      </c>
      <c r="C15" s="18">
        <v>3695.48</v>
      </c>
      <c r="D15" s="14"/>
      <c r="I15">
        <v>13</v>
      </c>
      <c r="J15" s="1">
        <v>0.6</v>
      </c>
    </row>
    <row r="16" spans="1:10" ht="12.75">
      <c r="A16" t="s">
        <v>462</v>
      </c>
      <c r="B16" s="21" t="s">
        <v>659</v>
      </c>
      <c r="C16" s="18">
        <v>3718.92</v>
      </c>
      <c r="D16" s="14"/>
      <c r="I16">
        <v>14</v>
      </c>
      <c r="J16" s="1">
        <v>0.6</v>
      </c>
    </row>
    <row r="17" spans="1:10" ht="12.75">
      <c r="A17" t="s">
        <v>462</v>
      </c>
      <c r="B17" s="21" t="s">
        <v>656</v>
      </c>
      <c r="C17" s="138">
        <v>3836.04</v>
      </c>
      <c r="D17" s="14"/>
      <c r="E17" s="14"/>
      <c r="F17" s="14"/>
      <c r="G17" s="14"/>
      <c r="H17" s="14"/>
      <c r="I17">
        <v>15</v>
      </c>
      <c r="J17" s="1">
        <v>0.7</v>
      </c>
    </row>
    <row r="18" spans="1:10" ht="12.75">
      <c r="A18" t="s">
        <v>462</v>
      </c>
      <c r="B18" t="s">
        <v>620</v>
      </c>
      <c r="C18" s="138">
        <v>7089.27</v>
      </c>
      <c r="D18" s="14"/>
      <c r="I18">
        <v>16</v>
      </c>
      <c r="J18" s="1">
        <v>0.7</v>
      </c>
    </row>
    <row r="19" spans="1:10" ht="12.75">
      <c r="A19" s="21" t="s">
        <v>462</v>
      </c>
      <c r="B19" s="21" t="s">
        <v>655</v>
      </c>
      <c r="C19" s="138">
        <v>3894.61</v>
      </c>
      <c r="D19" s="14"/>
      <c r="E19" s="14"/>
      <c r="F19" s="14"/>
      <c r="G19" s="14"/>
      <c r="H19" s="14"/>
      <c r="I19">
        <v>17</v>
      </c>
      <c r="J19" s="1">
        <v>0.8</v>
      </c>
    </row>
    <row r="20" spans="1:10" ht="12.75">
      <c r="A20" t="s">
        <v>462</v>
      </c>
      <c r="B20" s="21" t="s">
        <v>657</v>
      </c>
      <c r="C20" s="138">
        <v>3519.79</v>
      </c>
      <c r="D20" s="14"/>
      <c r="E20" s="14"/>
      <c r="F20" s="14"/>
      <c r="G20" s="14"/>
      <c r="H20" s="14"/>
      <c r="I20">
        <v>18</v>
      </c>
      <c r="J20" s="1">
        <v>0.8</v>
      </c>
    </row>
    <row r="21" spans="1:10" ht="12.75">
      <c r="A21" t="s">
        <v>461</v>
      </c>
      <c r="E21" s="14"/>
      <c r="F21" s="14"/>
      <c r="G21" s="14"/>
      <c r="H21" s="14"/>
      <c r="I21">
        <v>19</v>
      </c>
      <c r="J21" s="1">
        <v>0.8</v>
      </c>
    </row>
    <row r="22" spans="1:10" ht="12.75">
      <c r="A22" t="s">
        <v>462</v>
      </c>
      <c r="B22" t="s">
        <v>389</v>
      </c>
      <c r="C22" s="138">
        <v>53.3</v>
      </c>
      <c r="D22" s="14"/>
      <c r="E22" s="14"/>
      <c r="F22" s="14"/>
      <c r="G22" s="14"/>
      <c r="H22" s="14"/>
      <c r="I22">
        <v>20</v>
      </c>
      <c r="J22" s="1">
        <v>1</v>
      </c>
    </row>
    <row r="23" spans="1:10" ht="12.75">
      <c r="A23" t="s">
        <v>462</v>
      </c>
      <c r="B23" t="s">
        <v>455</v>
      </c>
      <c r="C23" s="138">
        <v>2584.33</v>
      </c>
      <c r="E23" s="14"/>
      <c r="F23" s="14"/>
      <c r="G23" s="14"/>
      <c r="H23" s="14"/>
      <c r="I23">
        <v>21</v>
      </c>
      <c r="J23" s="1">
        <v>1</v>
      </c>
    </row>
    <row r="24" spans="1:10" ht="12.75">
      <c r="A24" t="s">
        <v>462</v>
      </c>
      <c r="B24" t="s">
        <v>456</v>
      </c>
      <c r="C24" s="138">
        <v>2549.17</v>
      </c>
      <c r="E24" s="14"/>
      <c r="F24" s="14"/>
      <c r="G24" s="14"/>
      <c r="H24" s="14"/>
      <c r="I24">
        <v>22</v>
      </c>
      <c r="J24" s="1">
        <v>1.1</v>
      </c>
    </row>
    <row r="25" spans="1:10" ht="12.75">
      <c r="A25" t="s">
        <v>461</v>
      </c>
      <c r="C25" s="138"/>
      <c r="E25" s="14"/>
      <c r="F25" s="14"/>
      <c r="G25" s="14"/>
      <c r="H25" s="14"/>
      <c r="I25">
        <v>23</v>
      </c>
      <c r="J25" s="1">
        <v>1.1</v>
      </c>
    </row>
    <row r="26" spans="1:10" ht="12.75">
      <c r="A26" t="s">
        <v>462</v>
      </c>
      <c r="B26" s="21" t="s">
        <v>464</v>
      </c>
      <c r="C26" s="138">
        <v>2700.67</v>
      </c>
      <c r="D26" s="181"/>
      <c r="I26">
        <v>24</v>
      </c>
      <c r="J26" s="1">
        <v>1.2</v>
      </c>
    </row>
    <row r="27" spans="1:10" ht="12.75">
      <c r="A27" t="s">
        <v>462</v>
      </c>
      <c r="B27" s="21" t="s">
        <v>465</v>
      </c>
      <c r="C27" s="138">
        <v>2472.27</v>
      </c>
      <c r="D27" s="181"/>
      <c r="I27">
        <v>25</v>
      </c>
      <c r="J27" s="1">
        <v>1.2</v>
      </c>
    </row>
    <row r="28" spans="1:10" ht="12.75">
      <c r="A28" t="s">
        <v>461</v>
      </c>
      <c r="B28" s="21"/>
      <c r="C28" s="138"/>
      <c r="D28" s="181"/>
      <c r="I28">
        <v>26</v>
      </c>
      <c r="J28" s="1">
        <v>1.3</v>
      </c>
    </row>
    <row r="29" spans="1:10" ht="12.75">
      <c r="A29" s="21" t="s">
        <v>462</v>
      </c>
      <c r="B29" s="21" t="s">
        <v>644</v>
      </c>
      <c r="C29" s="18">
        <v>151.15</v>
      </c>
      <c r="F29" s="195">
        <f>+C29*1.5</f>
        <v>226.72500000000002</v>
      </c>
      <c r="I29">
        <v>27</v>
      </c>
      <c r="J29" s="1">
        <v>1.3</v>
      </c>
    </row>
    <row r="30" spans="1:10" ht="12.75">
      <c r="A30" s="21" t="s">
        <v>462</v>
      </c>
      <c r="B30" s="21" t="s">
        <v>643</v>
      </c>
      <c r="C30" s="18">
        <v>151.15</v>
      </c>
      <c r="D30" s="14"/>
      <c r="F30" s="195">
        <v>151.15</v>
      </c>
      <c r="I30">
        <v>28</v>
      </c>
      <c r="J30" s="1">
        <v>1.4</v>
      </c>
    </row>
    <row r="31" spans="1:10" ht="12.75">
      <c r="A31" s="21" t="s">
        <v>461</v>
      </c>
      <c r="B31" s="21"/>
      <c r="C31" s="18"/>
      <c r="F31" s="195"/>
      <c r="I31">
        <v>29</v>
      </c>
      <c r="J31" s="1">
        <v>1.4</v>
      </c>
    </row>
    <row r="32" spans="1:13" ht="12.75">
      <c r="A32" t="s">
        <v>462</v>
      </c>
      <c r="B32" t="s">
        <v>609</v>
      </c>
      <c r="C32" s="18">
        <v>6.06</v>
      </c>
      <c r="F32" s="195">
        <f>F29</f>
        <v>226.72500000000002</v>
      </c>
      <c r="I32">
        <v>30</v>
      </c>
      <c r="J32" s="1">
        <v>1.5</v>
      </c>
      <c r="M32" s="181"/>
    </row>
    <row r="33" spans="1:10" ht="12.75">
      <c r="A33" t="s">
        <v>462</v>
      </c>
      <c r="B33" t="s">
        <v>608</v>
      </c>
      <c r="C33" s="18">
        <v>5.04</v>
      </c>
      <c r="F33" s="195">
        <f>F30</f>
        <v>151.15</v>
      </c>
      <c r="I33">
        <v>31</v>
      </c>
      <c r="J33" s="1">
        <v>1.5</v>
      </c>
    </row>
    <row r="34" spans="1:13" ht="12.75">
      <c r="A34" t="s">
        <v>461</v>
      </c>
      <c r="C34" s="18"/>
      <c r="I34">
        <v>32</v>
      </c>
      <c r="J34" s="1">
        <v>1.5</v>
      </c>
      <c r="M34" s="181"/>
    </row>
    <row r="35" spans="1:10" ht="12.75">
      <c r="A35" s="21" t="s">
        <v>462</v>
      </c>
      <c r="B35" s="21" t="s">
        <v>606</v>
      </c>
      <c r="C35" s="18">
        <v>415.59</v>
      </c>
      <c r="D35" s="14">
        <f>C35/C36</f>
        <v>14.997834716708768</v>
      </c>
      <c r="E35" s="14"/>
      <c r="F35" s="14">
        <v>364.14</v>
      </c>
      <c r="G35" s="14"/>
      <c r="H35" s="14"/>
      <c r="I35">
        <v>33</v>
      </c>
      <c r="J35" s="1">
        <v>1.5</v>
      </c>
    </row>
    <row r="36" spans="1:10" ht="12.75">
      <c r="A36" s="21" t="s">
        <v>462</v>
      </c>
      <c r="B36" s="21" t="s">
        <v>607</v>
      </c>
      <c r="C36" s="18">
        <v>27.71</v>
      </c>
      <c r="D36" s="181"/>
      <c r="E36" s="14"/>
      <c r="F36" s="14">
        <f>C35*2</f>
        <v>831.18</v>
      </c>
      <c r="G36" s="14"/>
      <c r="H36" s="14"/>
      <c r="I36">
        <v>34</v>
      </c>
      <c r="J36" s="1">
        <v>1.5</v>
      </c>
    </row>
    <row r="37" spans="1:10" ht="12.75">
      <c r="A37" t="s">
        <v>461</v>
      </c>
      <c r="B37" s="21"/>
      <c r="C37" s="18"/>
      <c r="D37" s="181"/>
      <c r="E37" s="14"/>
      <c r="F37" s="14"/>
      <c r="G37" s="14"/>
      <c r="H37" s="14"/>
      <c r="I37">
        <v>35</v>
      </c>
      <c r="J37" s="1">
        <v>1.5</v>
      </c>
    </row>
    <row r="38" spans="1:10" ht="12.75">
      <c r="A38" t="s">
        <v>461</v>
      </c>
      <c r="B38" t="s">
        <v>460</v>
      </c>
      <c r="C38" s="18">
        <v>0</v>
      </c>
      <c r="D38" s="14">
        <f>IF(C38&gt;0,(C38/30-0.01),0)</f>
        <v>0</v>
      </c>
      <c r="E38" s="14"/>
      <c r="F38" s="14"/>
      <c r="G38" s="14"/>
      <c r="H38" s="14"/>
      <c r="I38">
        <v>36</v>
      </c>
      <c r="J38" s="1">
        <v>1.5</v>
      </c>
    </row>
    <row r="39" spans="1:10" ht="12.75">
      <c r="A39" t="s">
        <v>461</v>
      </c>
      <c r="C39" s="18"/>
      <c r="D39" s="14"/>
      <c r="E39" s="14"/>
      <c r="F39" s="197">
        <f>12.13/182.07</f>
        <v>0.0666227275223815</v>
      </c>
      <c r="G39" s="14"/>
      <c r="H39" s="14"/>
      <c r="I39">
        <v>39</v>
      </c>
      <c r="J39" s="1">
        <v>1.5</v>
      </c>
    </row>
    <row r="40" spans="1:10" ht="12.75">
      <c r="A40" t="s">
        <v>462</v>
      </c>
      <c r="B40" s="21" t="s">
        <v>491</v>
      </c>
      <c r="C40" s="18">
        <v>653.49</v>
      </c>
      <c r="D40" s="18"/>
      <c r="E40" s="14"/>
      <c r="F40" s="14"/>
      <c r="G40" s="14"/>
      <c r="H40" s="14"/>
      <c r="I40">
        <v>40</v>
      </c>
      <c r="J40" s="1">
        <v>1.5</v>
      </c>
    </row>
    <row r="41" spans="1:10" ht="12.75">
      <c r="A41" t="s">
        <v>462</v>
      </c>
      <c r="B41" s="21" t="s">
        <v>490</v>
      </c>
      <c r="C41" s="18">
        <v>762.4</v>
      </c>
      <c r="D41" s="18"/>
      <c r="E41" s="14"/>
      <c r="F41" s="14"/>
      <c r="G41" s="14"/>
      <c r="H41" s="14"/>
      <c r="I41">
        <v>41</v>
      </c>
      <c r="J41" s="1">
        <v>1.5</v>
      </c>
    </row>
    <row r="42" spans="1:10" ht="12.75">
      <c r="A42" t="s">
        <v>462</v>
      </c>
      <c r="B42" s="21" t="s">
        <v>489</v>
      </c>
      <c r="C42" s="18">
        <v>871.33</v>
      </c>
      <c r="D42" s="18"/>
      <c r="I42">
        <v>42</v>
      </c>
      <c r="J42" s="1">
        <v>1.5</v>
      </c>
    </row>
    <row r="43" spans="1:10" ht="12.75">
      <c r="A43" s="21" t="s">
        <v>462</v>
      </c>
      <c r="B43" s="21" t="s">
        <v>488</v>
      </c>
      <c r="C43" s="18">
        <v>1306.98</v>
      </c>
      <c r="D43" s="18"/>
      <c r="I43">
        <v>43</v>
      </c>
      <c r="J43" s="1">
        <v>1.5</v>
      </c>
    </row>
    <row r="44" spans="1:10" ht="12.75">
      <c r="A44" t="s">
        <v>461</v>
      </c>
      <c r="B44" t="s">
        <v>483</v>
      </c>
      <c r="C44" s="18">
        <f>D44*0.25*1.2904</f>
        <v>0</v>
      </c>
      <c r="D44" s="18"/>
      <c r="E44" s="14"/>
      <c r="F44" s="14"/>
      <c r="G44" s="14"/>
      <c r="H44" s="14"/>
      <c r="I44">
        <v>44</v>
      </c>
      <c r="J44" s="1">
        <v>1.5</v>
      </c>
    </row>
    <row r="45" spans="1:10" ht="12.75">
      <c r="A45" t="s">
        <v>462</v>
      </c>
      <c r="B45" s="21" t="s">
        <v>487</v>
      </c>
      <c r="C45" s="39">
        <v>36.31</v>
      </c>
      <c r="D45" s="18"/>
      <c r="I45">
        <v>45</v>
      </c>
      <c r="J45" s="1">
        <v>1.5</v>
      </c>
    </row>
    <row r="46" spans="1:10" ht="12.75">
      <c r="A46" t="s">
        <v>462</v>
      </c>
      <c r="B46" s="21" t="s">
        <v>486</v>
      </c>
      <c r="C46" s="39">
        <v>87.1</v>
      </c>
      <c r="I46">
        <v>46</v>
      </c>
      <c r="J46" s="1">
        <v>1.5</v>
      </c>
    </row>
    <row r="47" spans="1:10" ht="12.75">
      <c r="A47" t="s">
        <v>461</v>
      </c>
      <c r="B47" s="21"/>
      <c r="C47" s="39"/>
      <c r="I47">
        <v>47</v>
      </c>
      <c r="J47" s="1">
        <v>1.5</v>
      </c>
    </row>
    <row r="48" spans="1:12" ht="12.75">
      <c r="A48" t="s">
        <v>461</v>
      </c>
      <c r="B48" s="21" t="s">
        <v>496</v>
      </c>
      <c r="C48" s="39">
        <f>INT((D48/15*100)+0.49)/100</f>
        <v>80.67</v>
      </c>
      <c r="D48">
        <f>D49</f>
        <v>1210</v>
      </c>
      <c r="F48">
        <v>1210</v>
      </c>
      <c r="I48">
        <v>48</v>
      </c>
      <c r="J48" s="1">
        <v>1.5</v>
      </c>
      <c r="L48">
        <f>267.87+5.37</f>
        <v>273.24</v>
      </c>
    </row>
    <row r="49" spans="1:10" ht="12.75">
      <c r="A49" t="s">
        <v>461</v>
      </c>
      <c r="B49" s="21" t="s">
        <v>513</v>
      </c>
      <c r="C49" s="39">
        <v>1210</v>
      </c>
      <c r="D49">
        <v>1210</v>
      </c>
      <c r="I49">
        <v>49</v>
      </c>
      <c r="J49" s="1">
        <v>1.5</v>
      </c>
    </row>
    <row r="50" spans="1:10" ht="12" customHeight="1">
      <c r="A50" t="s">
        <v>462</v>
      </c>
      <c r="B50" s="21" t="s">
        <v>647</v>
      </c>
      <c r="C50" s="39">
        <v>257.67</v>
      </c>
      <c r="I50">
        <v>50</v>
      </c>
      <c r="J50" s="1">
        <v>1.5</v>
      </c>
    </row>
    <row r="51" spans="1:10" ht="12.75">
      <c r="A51" t="s">
        <v>462</v>
      </c>
      <c r="B51" s="21" t="s">
        <v>648</v>
      </c>
      <c r="C51" s="39">
        <v>128.84</v>
      </c>
      <c r="I51">
        <v>51</v>
      </c>
      <c r="J51" s="1">
        <v>1.5</v>
      </c>
    </row>
    <row r="52" spans="1:10" ht="12.75">
      <c r="A52" t="s">
        <v>462</v>
      </c>
      <c r="B52" s="21" t="s">
        <v>649</v>
      </c>
      <c r="C52" s="39">
        <v>256.63</v>
      </c>
      <c r="I52">
        <v>52</v>
      </c>
      <c r="J52" s="1">
        <v>1.5</v>
      </c>
    </row>
    <row r="53" spans="1:10" ht="12.75">
      <c r="A53" t="s">
        <v>462</v>
      </c>
      <c r="B53" s="21" t="s">
        <v>650</v>
      </c>
      <c r="C53" s="39">
        <v>117.37</v>
      </c>
      <c r="I53">
        <v>53</v>
      </c>
      <c r="J53" s="1">
        <v>1.5</v>
      </c>
    </row>
    <row r="54" spans="1:3" ht="12.75">
      <c r="A54" t="s">
        <v>461</v>
      </c>
      <c r="B54" s="21" t="s">
        <v>651</v>
      </c>
      <c r="C54" s="39">
        <v>123.97</v>
      </c>
    </row>
    <row r="55" spans="1:3" ht="12.75">
      <c r="A55" t="s">
        <v>461</v>
      </c>
      <c r="B55" s="21" t="s">
        <v>652</v>
      </c>
      <c r="C55" s="39">
        <v>225.12</v>
      </c>
    </row>
    <row r="56" spans="1:6" ht="12.75">
      <c r="A56" t="s">
        <v>462</v>
      </c>
      <c r="B56" s="21" t="s">
        <v>653</v>
      </c>
      <c r="C56" s="39">
        <v>10.74</v>
      </c>
      <c r="F56" s="14">
        <f>C50</f>
        <v>257.67</v>
      </c>
    </row>
    <row r="57" spans="1:6" ht="12.75">
      <c r="A57" t="s">
        <v>462</v>
      </c>
      <c r="B57" s="21" t="s">
        <v>654</v>
      </c>
      <c r="C57" s="39">
        <v>8.59</v>
      </c>
      <c r="F57" s="14">
        <f>C50</f>
        <v>257.67</v>
      </c>
    </row>
    <row r="58" spans="1:6" ht="12.75">
      <c r="A58" t="s">
        <v>462</v>
      </c>
      <c r="B58" s="21" t="s">
        <v>556</v>
      </c>
      <c r="C58" s="1">
        <v>307.46</v>
      </c>
      <c r="D58" s="1">
        <v>20.5</v>
      </c>
      <c r="E58">
        <v>38.47</v>
      </c>
      <c r="F58">
        <f>+C58*2</f>
        <v>614.92</v>
      </c>
    </row>
    <row r="59" spans="1:4" ht="12.75">
      <c r="A59" t="s">
        <v>462</v>
      </c>
      <c r="B59" s="21" t="s">
        <v>660</v>
      </c>
      <c r="C59" s="1">
        <v>40.99</v>
      </c>
      <c r="D59" s="1"/>
    </row>
    <row r="60" spans="1:6" ht="12.75">
      <c r="A60" t="s">
        <v>462</v>
      </c>
      <c r="B60" s="21" t="s">
        <v>559</v>
      </c>
      <c r="C60" s="1">
        <v>87.85</v>
      </c>
      <c r="D60">
        <v>5.86</v>
      </c>
      <c r="E60">
        <v>10.99</v>
      </c>
      <c r="F60">
        <f>+C60*2</f>
        <v>175.7</v>
      </c>
    </row>
    <row r="61" spans="1:3" ht="12.75">
      <c r="A61" t="s">
        <v>462</v>
      </c>
      <c r="B61" s="21" t="s">
        <v>661</v>
      </c>
      <c r="C61" s="1">
        <v>11.71</v>
      </c>
    </row>
    <row r="62" spans="1:4" ht="12.75">
      <c r="A62" t="s">
        <v>461</v>
      </c>
      <c r="B62" s="21"/>
      <c r="C62" s="1"/>
      <c r="D62" s="1"/>
    </row>
    <row r="63" spans="1:4" ht="12.75">
      <c r="A63" t="s">
        <v>461</v>
      </c>
      <c r="B63" s="21" t="s">
        <v>639</v>
      </c>
      <c r="C63" s="188">
        <v>0</v>
      </c>
      <c r="D63" s="193"/>
    </row>
    <row r="64" spans="1:4" ht="12.75">
      <c r="A64" t="s">
        <v>461</v>
      </c>
      <c r="B64" s="21"/>
      <c r="C64" s="188"/>
      <c r="D64" s="193"/>
    </row>
    <row r="65" spans="1:3" ht="12.75">
      <c r="A65" t="s">
        <v>461</v>
      </c>
      <c r="B65" t="s">
        <v>626</v>
      </c>
      <c r="C65" s="187">
        <v>0.13</v>
      </c>
    </row>
    <row r="66" spans="1:3" ht="12.75">
      <c r="A66" t="s">
        <v>461</v>
      </c>
      <c r="B66" t="s">
        <v>627</v>
      </c>
      <c r="C66" s="187">
        <v>0.005</v>
      </c>
    </row>
    <row r="67" spans="1:3" ht="12.75">
      <c r="A67" t="s">
        <v>461</v>
      </c>
      <c r="B67" t="s">
        <v>628</v>
      </c>
      <c r="C67" s="187">
        <v>0.045</v>
      </c>
    </row>
    <row r="68" spans="1:3" ht="12.75">
      <c r="A68" t="s">
        <v>461</v>
      </c>
      <c r="B68" t="s">
        <v>629</v>
      </c>
      <c r="C68" s="187">
        <v>0.027000000000000003</v>
      </c>
    </row>
    <row r="69" spans="1:3" ht="12.75">
      <c r="A69" t="s">
        <v>461</v>
      </c>
      <c r="B69" t="s">
        <v>630</v>
      </c>
      <c r="C69" s="187">
        <v>0.003</v>
      </c>
    </row>
    <row r="70" spans="1:3" ht="12.75">
      <c r="A70" t="s">
        <v>461</v>
      </c>
      <c r="B70" t="s">
        <v>631</v>
      </c>
      <c r="C70" s="187">
        <v>0.16</v>
      </c>
    </row>
    <row r="71" spans="1:3" ht="12.75">
      <c r="A71" t="s">
        <v>461</v>
      </c>
      <c r="B71" t="s">
        <v>588</v>
      </c>
      <c r="C71" s="187">
        <v>0.045</v>
      </c>
    </row>
    <row r="72" ht="12.75">
      <c r="A72" t="s">
        <v>461</v>
      </c>
    </row>
    <row r="73" spans="1:3" ht="12.75">
      <c r="A73" t="s">
        <v>461</v>
      </c>
      <c r="B73" t="s">
        <v>632</v>
      </c>
      <c r="C73" s="187">
        <v>0.01</v>
      </c>
    </row>
    <row r="74" spans="1:3" ht="12.75">
      <c r="A74" t="s">
        <v>461</v>
      </c>
      <c r="B74" t="s">
        <v>589</v>
      </c>
      <c r="C74" s="187">
        <v>0.035</v>
      </c>
    </row>
    <row r="75" spans="1:3" ht="12.75">
      <c r="A75" t="s">
        <v>461</v>
      </c>
      <c r="B75" t="s">
        <v>592</v>
      </c>
      <c r="C75" s="187">
        <v>0.006</v>
      </c>
    </row>
    <row r="76" spans="1:3" ht="12.75">
      <c r="A76" t="s">
        <v>461</v>
      </c>
      <c r="B76" t="s">
        <v>590</v>
      </c>
      <c r="C76" s="187">
        <v>0.054000000000000006</v>
      </c>
    </row>
    <row r="77" ht="12.75">
      <c r="A77" t="s">
        <v>461</v>
      </c>
    </row>
    <row r="78" spans="1:3" ht="12.75">
      <c r="A78" t="s">
        <v>461</v>
      </c>
      <c r="B78" t="s">
        <v>394</v>
      </c>
      <c r="C78" s="138">
        <v>0.5</v>
      </c>
    </row>
  </sheetData>
  <autoFilter ref="A1:J78"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2"/>
  <sheetViews>
    <sheetView showGridLines="0" tabSelected="1" zoomScale="120" zoomScaleNormal="120" zoomScaleSheetLayoutView="100" workbookViewId="0" topLeftCell="A1">
      <pane xSplit="6" ySplit="6" topLeftCell="G228" activePane="bottomRight" state="frozen"/>
      <selection pane="topLeft" activeCell="D1" sqref="D1"/>
      <selection pane="topRight" activeCell="G1" sqref="G1"/>
      <selection pane="bottomLeft" activeCell="D7" sqref="D7"/>
      <selection pane="bottomRight" activeCell="C1" sqref="C1:AN1"/>
    </sheetView>
  </sheetViews>
  <sheetFormatPr defaultColWidth="11.421875" defaultRowHeight="11.25" customHeight="1"/>
  <cols>
    <col min="1" max="1" width="6.57421875" style="11" hidden="1" customWidth="1"/>
    <col min="2" max="2" width="8.7109375" style="11" hidden="1" customWidth="1"/>
    <col min="3" max="3" width="6.00390625" style="2" customWidth="1"/>
    <col min="4" max="5" width="3.7109375" style="2" hidden="1" customWidth="1"/>
    <col min="6" max="6" width="26.421875" style="2" customWidth="1"/>
    <col min="7" max="7" width="4.8515625" style="35" customWidth="1"/>
    <col min="8" max="8" width="7.57421875" style="130" customWidth="1"/>
    <col min="9" max="9" width="8.28125" style="131" customWidth="1"/>
    <col min="10" max="10" width="7.28125" style="137" customWidth="1"/>
    <col min="11" max="11" width="5.28125" style="142" customWidth="1"/>
    <col min="12" max="12" width="7.28125" style="4" customWidth="1"/>
    <col min="13" max="13" width="6.28125" style="118" customWidth="1"/>
    <col min="14" max="14" width="6.7109375" style="4" customWidth="1"/>
    <col min="15" max="15" width="7.8515625" style="4" customWidth="1"/>
    <col min="16" max="16" width="8.421875" style="4" customWidth="1"/>
    <col min="17" max="18" width="6.57421875" style="4" customWidth="1"/>
    <col min="19" max="19" width="7.140625" style="4" customWidth="1"/>
    <col min="20" max="20" width="7.7109375" style="4" customWidth="1"/>
    <col min="21" max="21" width="7.00390625" style="137" hidden="1" customWidth="1"/>
    <col min="22" max="22" width="7.140625" style="4" customWidth="1"/>
    <col min="23" max="23" width="7.00390625" style="4" customWidth="1"/>
    <col min="24" max="24" width="6.28125" style="4" customWidth="1"/>
    <col min="25" max="25" width="4.28125" style="111" customWidth="1"/>
    <col min="26" max="26" width="7.140625" style="4" customWidth="1"/>
    <col min="27" max="27" width="7.421875" style="4" customWidth="1"/>
    <col min="28" max="28" width="6.140625" style="19" customWidth="1"/>
    <col min="29" max="29" width="7.140625" style="4" customWidth="1"/>
    <col min="30" max="30" width="6.28125" style="4" customWidth="1"/>
    <col min="31" max="31" width="4.421875" style="111" customWidth="1"/>
    <col min="32" max="32" width="6.28125" style="4" customWidth="1"/>
    <col min="33" max="33" width="6.00390625" style="4" customWidth="1"/>
    <col min="34" max="34" width="6.28125" style="4" customWidth="1"/>
    <col min="35" max="35" width="7.8515625" style="4" hidden="1" customWidth="1"/>
    <col min="36" max="36" width="7.8515625" style="4" customWidth="1"/>
    <col min="37" max="37" width="6.421875" style="4" customWidth="1"/>
    <col min="38" max="38" width="6.140625" style="17" customWidth="1"/>
    <col min="39" max="39" width="5.421875" style="17" customWidth="1"/>
    <col min="40" max="40" width="7.28125" style="4" hidden="1" customWidth="1"/>
    <col min="41" max="41" width="7.28125" style="4" customWidth="1"/>
    <col min="42" max="42" width="8.421875" style="4" customWidth="1"/>
    <col min="43" max="43" width="6.7109375" style="4" customWidth="1"/>
    <col min="44" max="44" width="7.421875" style="4" customWidth="1"/>
    <col min="45" max="45" width="7.8515625" style="4" customWidth="1"/>
    <col min="46" max="47" width="7.8515625" style="155" customWidth="1"/>
    <col min="48" max="53" width="7.140625" style="4" customWidth="1"/>
    <col min="54" max="54" width="7.140625" style="17" customWidth="1"/>
    <col min="55" max="55" width="5.00390625" style="11" customWidth="1"/>
    <col min="56" max="56" width="3.7109375" style="11" customWidth="1"/>
    <col min="57" max="57" width="3.421875" style="9" customWidth="1"/>
    <col min="58" max="58" width="9.8515625" style="2" customWidth="1"/>
    <col min="59" max="16384" width="11.421875" style="2" customWidth="1"/>
  </cols>
  <sheetData>
    <row r="1" spans="3:42" ht="50.25" customHeight="1">
      <c r="C1" s="200" t="str">
        <f ca="1">MID(CELL("FILENAME",N33),FIND("[",CELL("FILENAME",N33))+1,FIND("]",CELL("FILENAME",N33))-FIND("[",CELL("FILENAME",N33))-1)</f>
        <v>Esc Doc 2018 10 Cba v1 1 (1).xlsx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1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149"/>
      <c r="AP1" s="149"/>
    </row>
    <row r="2" spans="2:57" ht="11.25" customHeight="1">
      <c r="B2" s="66"/>
      <c r="C2" s="33" t="s">
        <v>445</v>
      </c>
      <c r="D2" s="33"/>
      <c r="E2" s="33"/>
      <c r="F2" s="33"/>
      <c r="H2" s="192">
        <v>10</v>
      </c>
      <c r="J2" s="136">
        <f>LOOKUP(H2,Valores!I:I,Valores!J:J)</f>
        <v>0.5</v>
      </c>
      <c r="O2" s="25">
        <v>0.15</v>
      </c>
      <c r="P2" s="16"/>
      <c r="AM2" s="211"/>
      <c r="BE2" s="22">
        <f>(((H139+U139)*1.15)+Q139+R139+S139+AB139+AD139)*0.05</f>
        <v>912.7151000000002</v>
      </c>
    </row>
    <row r="3" spans="2:53" ht="11.25" customHeight="1">
      <c r="B3" s="66"/>
      <c r="C3" s="33" t="s">
        <v>446</v>
      </c>
      <c r="D3" s="33"/>
      <c r="E3" s="33"/>
      <c r="F3" s="33"/>
      <c r="H3" s="192">
        <v>0</v>
      </c>
      <c r="I3" s="213" t="s">
        <v>646</v>
      </c>
      <c r="J3" s="213"/>
      <c r="K3" s="212">
        <f>Valores!C2</f>
        <v>5.999304</v>
      </c>
      <c r="L3" s="212"/>
      <c r="AM3" s="211"/>
      <c r="AN3" s="31"/>
      <c r="AO3" s="190" t="s">
        <v>462</v>
      </c>
      <c r="AP3" s="31"/>
      <c r="AQ3" s="158">
        <f>Valores!C2</f>
        <v>5.999304</v>
      </c>
      <c r="AR3" s="27"/>
      <c r="AS3" s="27"/>
      <c r="AT3" s="156"/>
      <c r="AU3" s="156"/>
      <c r="AV3" s="27"/>
      <c r="AW3" s="27"/>
      <c r="AX3" s="27"/>
      <c r="AY3" s="27"/>
      <c r="AZ3" s="27"/>
      <c r="BA3" s="27"/>
    </row>
    <row r="4" spans="1:53" ht="11.25" customHeight="1">
      <c r="A4" s="28"/>
      <c r="B4" s="66"/>
      <c r="C4" s="33" t="s">
        <v>642</v>
      </c>
      <c r="D4" s="66"/>
      <c r="E4" s="66"/>
      <c r="F4" s="66"/>
      <c r="H4" s="189" t="s">
        <v>461</v>
      </c>
      <c r="AM4" s="189"/>
      <c r="AN4" s="190">
        <f>Valores!C2</f>
        <v>5.999304</v>
      </c>
      <c r="AO4" s="190" t="s">
        <v>461</v>
      </c>
      <c r="AP4" s="31"/>
      <c r="AQ4" s="27"/>
      <c r="AR4" s="27"/>
      <c r="AS4" s="27"/>
      <c r="AT4" s="156"/>
      <c r="AU4" s="156"/>
      <c r="AV4" s="27"/>
      <c r="AW4" s="27"/>
      <c r="AX4" s="27"/>
      <c r="AY4" s="27"/>
      <c r="AZ4" s="27"/>
      <c r="BA4" s="27"/>
    </row>
    <row r="5" spans="1:57" ht="48" customHeight="1">
      <c r="A5" s="184"/>
      <c r="B5" s="184"/>
      <c r="C5" s="5"/>
      <c r="F5" s="5"/>
      <c r="G5" s="205" t="s">
        <v>361</v>
      </c>
      <c r="H5" s="206"/>
      <c r="I5" s="207" t="s">
        <v>362</v>
      </c>
      <c r="J5" s="208"/>
      <c r="K5" s="209" t="s">
        <v>363</v>
      </c>
      <c r="L5" s="210"/>
      <c r="M5" s="202" t="s">
        <v>364</v>
      </c>
      <c r="N5" s="203"/>
      <c r="O5" s="73" t="s">
        <v>388</v>
      </c>
      <c r="P5" s="74" t="s">
        <v>379</v>
      </c>
      <c r="Q5" s="73" t="s">
        <v>365</v>
      </c>
      <c r="R5" s="73" t="s">
        <v>366</v>
      </c>
      <c r="S5" s="73" t="s">
        <v>367</v>
      </c>
      <c r="T5" s="73" t="s">
        <v>484</v>
      </c>
      <c r="U5" s="74" t="s">
        <v>368</v>
      </c>
      <c r="V5" s="73" t="s">
        <v>368</v>
      </c>
      <c r="W5" s="73" t="s">
        <v>369</v>
      </c>
      <c r="X5" s="73" t="s">
        <v>370</v>
      </c>
      <c r="Y5" s="204" t="s">
        <v>371</v>
      </c>
      <c r="Z5" s="203"/>
      <c r="AA5" s="73" t="s">
        <v>372</v>
      </c>
      <c r="AB5" s="75" t="s">
        <v>395</v>
      </c>
      <c r="AC5" s="73" t="s">
        <v>444</v>
      </c>
      <c r="AD5" s="73" t="s">
        <v>396</v>
      </c>
      <c r="AE5" s="202" t="s">
        <v>373</v>
      </c>
      <c r="AF5" s="203"/>
      <c r="AG5" s="73" t="s">
        <v>556</v>
      </c>
      <c r="AH5" s="73" t="s">
        <v>557</v>
      </c>
      <c r="AI5" s="73" t="s">
        <v>637</v>
      </c>
      <c r="AJ5" s="105" t="s">
        <v>494</v>
      </c>
      <c r="AK5" s="73" t="s">
        <v>604</v>
      </c>
      <c r="AL5" s="76" t="s">
        <v>377</v>
      </c>
      <c r="AM5" s="76" t="s">
        <v>450</v>
      </c>
      <c r="AN5" s="76" t="s">
        <v>640</v>
      </c>
      <c r="AO5" s="105" t="s">
        <v>495</v>
      </c>
      <c r="AP5" s="150" t="s">
        <v>584</v>
      </c>
      <c r="AQ5" s="150" t="s">
        <v>585</v>
      </c>
      <c r="AR5" s="150" t="s">
        <v>568</v>
      </c>
      <c r="AS5" s="150" t="s">
        <v>569</v>
      </c>
      <c r="AT5" s="150" t="s">
        <v>591</v>
      </c>
      <c r="AU5" s="105" t="s">
        <v>570</v>
      </c>
      <c r="AV5" s="105" t="s">
        <v>571</v>
      </c>
      <c r="AW5" s="150" t="s">
        <v>586</v>
      </c>
      <c r="AX5" s="150" t="s">
        <v>588</v>
      </c>
      <c r="AY5" s="150" t="s">
        <v>587</v>
      </c>
      <c r="AZ5" s="150" t="s">
        <v>589</v>
      </c>
      <c r="BA5" s="150" t="s">
        <v>592</v>
      </c>
      <c r="BB5" s="150" t="s">
        <v>590</v>
      </c>
      <c r="BC5" s="76" t="s">
        <v>452</v>
      </c>
      <c r="BD5" s="76" t="s">
        <v>453</v>
      </c>
      <c r="BE5" s="92" t="s">
        <v>463</v>
      </c>
    </row>
    <row r="6" spans="1:57" s="8" customFormat="1" ht="11.25" customHeight="1">
      <c r="A6" s="20" t="s">
        <v>0</v>
      </c>
      <c r="B6" s="20"/>
      <c r="C6" s="40" t="s">
        <v>1</v>
      </c>
      <c r="F6" s="41" t="s">
        <v>2</v>
      </c>
      <c r="G6" s="68" t="s">
        <v>3</v>
      </c>
      <c r="H6" s="72" t="s">
        <v>397</v>
      </c>
      <c r="I6" s="132" t="s">
        <v>4</v>
      </c>
      <c r="J6" s="69" t="s">
        <v>398</v>
      </c>
      <c r="K6" s="143" t="s">
        <v>5</v>
      </c>
      <c r="L6" s="69" t="s">
        <v>399</v>
      </c>
      <c r="M6" s="119" t="s">
        <v>6</v>
      </c>
      <c r="N6" s="69" t="s">
        <v>400</v>
      </c>
      <c r="O6" s="41" t="s">
        <v>401</v>
      </c>
      <c r="P6" s="41" t="s">
        <v>454</v>
      </c>
      <c r="Q6" s="41" t="s">
        <v>402</v>
      </c>
      <c r="R6" s="41" t="s">
        <v>403</v>
      </c>
      <c r="S6" s="41" t="s">
        <v>404</v>
      </c>
      <c r="T6" s="41" t="s">
        <v>492</v>
      </c>
      <c r="U6" s="13" t="s">
        <v>405</v>
      </c>
      <c r="V6" s="41" t="s">
        <v>405</v>
      </c>
      <c r="W6" s="41" t="s">
        <v>406</v>
      </c>
      <c r="X6" s="41" t="s">
        <v>407</v>
      </c>
      <c r="Y6" s="112" t="s">
        <v>385</v>
      </c>
      <c r="Z6" s="69" t="s">
        <v>408</v>
      </c>
      <c r="AA6" s="41" t="s">
        <v>409</v>
      </c>
      <c r="AB6" s="70" t="s">
        <v>410</v>
      </c>
      <c r="AC6" s="70" t="s">
        <v>457</v>
      </c>
      <c r="AD6" s="41" t="s">
        <v>411</v>
      </c>
      <c r="AE6" s="112" t="s">
        <v>381</v>
      </c>
      <c r="AF6" s="69" t="s">
        <v>412</v>
      </c>
      <c r="AG6" s="41" t="s">
        <v>555</v>
      </c>
      <c r="AH6" s="41" t="s">
        <v>558</v>
      </c>
      <c r="AI6" s="41" t="s">
        <v>638</v>
      </c>
      <c r="AJ6" s="107" t="s">
        <v>549</v>
      </c>
      <c r="AK6" s="180" t="s">
        <v>605</v>
      </c>
      <c r="AL6" s="70" t="s">
        <v>414</v>
      </c>
      <c r="AM6" s="70" t="s">
        <v>451</v>
      </c>
      <c r="AN6" s="70" t="s">
        <v>641</v>
      </c>
      <c r="AO6" s="106" t="s">
        <v>550</v>
      </c>
      <c r="AP6" s="151" t="s">
        <v>593</v>
      </c>
      <c r="AQ6" s="151" t="s">
        <v>594</v>
      </c>
      <c r="AR6" s="41" t="s">
        <v>595</v>
      </c>
      <c r="AS6" s="41" t="s">
        <v>596</v>
      </c>
      <c r="AT6" s="41" t="s">
        <v>597</v>
      </c>
      <c r="AU6" s="157"/>
      <c r="AV6" s="157"/>
      <c r="AW6" s="41" t="s">
        <v>598</v>
      </c>
      <c r="AX6" s="41" t="s">
        <v>600</v>
      </c>
      <c r="AY6" s="41" t="s">
        <v>599</v>
      </c>
      <c r="AZ6" s="41" t="s">
        <v>601</v>
      </c>
      <c r="BA6" s="41" t="s">
        <v>602</v>
      </c>
      <c r="BB6" s="41" t="s">
        <v>603</v>
      </c>
      <c r="BC6" s="91"/>
      <c r="BD6" s="91"/>
      <c r="BE6" s="71"/>
    </row>
    <row r="7" spans="1:57" s="9" customFormat="1" ht="11.25" customHeight="1">
      <c r="A7" s="20">
        <v>6</v>
      </c>
      <c r="B7" s="20"/>
      <c r="C7" s="9" t="s">
        <v>7</v>
      </c>
      <c r="E7" s="9">
        <f>LEN(F7)</f>
        <v>19</v>
      </c>
      <c r="F7" s="10" t="s">
        <v>8</v>
      </c>
      <c r="G7" s="123">
        <v>107</v>
      </c>
      <c r="H7" s="7">
        <f>INT((G7*Valores!$C$2*100)+0.5)/100</f>
        <v>641.93</v>
      </c>
      <c r="I7" s="113">
        <v>3779</v>
      </c>
      <c r="J7" s="77">
        <f>INT((I7*Valores!$C$2*100)+0.5)/100</f>
        <v>22671.37</v>
      </c>
      <c r="K7" s="144">
        <v>219</v>
      </c>
      <c r="L7" s="77">
        <f>INT((K7*Valores!$C$2*100)+0.5)/100</f>
        <v>1313.85</v>
      </c>
      <c r="M7" s="123">
        <v>0</v>
      </c>
      <c r="N7" s="77">
        <f>INT((M7*Valores!$C$2*100)+0.5)/100</f>
        <v>0</v>
      </c>
      <c r="O7" s="77">
        <f aca="true" t="shared" si="0" ref="O7:O70">IF($J$2=0,IF(C7&lt;&gt;"13-930",(SUM(H7,J7,L7,N7,Z7,U7,T7)*$O$2),0),0)</f>
        <v>0</v>
      </c>
      <c r="P7" s="77">
        <f aca="true" t="shared" si="1" ref="P7:P70">SUM(H7,J7,L7,N7,Z7,T7)*$J$2</f>
        <v>12967.064999999999</v>
      </c>
      <c r="Q7" s="78">
        <f>Valores!$C$16</f>
        <v>3718.92</v>
      </c>
      <c r="R7" s="78">
        <f>Valores!$D$4</f>
        <v>2683.49</v>
      </c>
      <c r="S7" s="77">
        <v>0</v>
      </c>
      <c r="T7" s="79">
        <f>Valores!$C$43</f>
        <v>1306.98</v>
      </c>
      <c r="U7" s="77">
        <v>0</v>
      </c>
      <c r="V7" s="77">
        <f aca="true" t="shared" si="2" ref="V7:V44">U7*(1+$J$2)</f>
        <v>0</v>
      </c>
      <c r="W7" s="78">
        <f>SUM(H7,J7,L7)</f>
        <v>24627.149999999998</v>
      </c>
      <c r="X7" s="78">
        <f>INT((SUM(H7,J7,L7)*0.4*100)+0.49)/100</f>
        <v>9850.86</v>
      </c>
      <c r="Y7" s="116">
        <v>0</v>
      </c>
      <c r="Z7" s="77">
        <f>Y7*Valores!$C$2</f>
        <v>0</v>
      </c>
      <c r="AA7" s="77">
        <v>0</v>
      </c>
      <c r="AB7" s="89">
        <f>Valores!$C$29</f>
        <v>151.15</v>
      </c>
      <c r="AC7" s="77">
        <f aca="true" t="shared" si="3" ref="AC7:AC70">SUM(H7,J7,L7,Z7,T7,N7)*$H$3/100</f>
        <v>0</v>
      </c>
      <c r="AD7" s="77">
        <f>Valores!$C$30</f>
        <v>151.15</v>
      </c>
      <c r="AE7" s="116">
        <v>0</v>
      </c>
      <c r="AF7" s="77">
        <f>AE7*Valores!$C$2</f>
        <v>0</v>
      </c>
      <c r="AG7" s="77">
        <f>Valores!$C$58</f>
        <v>307.46</v>
      </c>
      <c r="AH7" s="77">
        <f>Valores!$C$60</f>
        <v>87.85</v>
      </c>
      <c r="AI7" s="77">
        <f>SUM(H7,J7,L7,N7,O7,P7,Q7,R7,S7,T7,V7,W7,X7,Z7,AA7,AB7,AC7,AD7,AF7,AG7,AH7)*Valores!$C$63</f>
        <v>0</v>
      </c>
      <c r="AJ7" s="15">
        <f aca="true" t="shared" si="4" ref="AJ7:AJ70">SUM(H7,J7,L7,N7,O7,P7,Q7,R7,S7,V7,W7,X7,Z7,AA7,AB7,AC7,AD7,AF7,T7,AG7,AH7,AI7)</f>
        <v>80479.22499999999</v>
      </c>
      <c r="AK7" s="78">
        <f>Valores!$C$35</f>
        <v>415.59</v>
      </c>
      <c r="AL7" s="79">
        <f>Valores!$C$9</f>
        <v>351.39</v>
      </c>
      <c r="AM7" s="89">
        <f>Valores!$C$50</f>
        <v>257.67</v>
      </c>
      <c r="AN7" s="79">
        <f>IF($H$4="SI",SUM(AL7+AM7),AL7)*Valores!$C$63</f>
        <v>0</v>
      </c>
      <c r="AO7" s="12">
        <f>SUM(AK7:AL7,AM7,AN7)</f>
        <v>1024.65</v>
      </c>
      <c r="AP7" s="152">
        <f>AJ7*-Valores!$C$65</f>
        <v>-10462.29925</v>
      </c>
      <c r="AQ7" s="13">
        <f>AJ7*-Valores!$C$66</f>
        <v>-402.396125</v>
      </c>
      <c r="AR7" s="78">
        <f>AJ7*-Valores!$C$67</f>
        <v>-3621.5651249999996</v>
      </c>
      <c r="AS7" s="78">
        <f>AJ7*-Valores!$C$68</f>
        <v>-2172.9390750000002</v>
      </c>
      <c r="AT7" s="78">
        <f>AJ7*-Valores!$C$69</f>
        <v>-241.43767499999998</v>
      </c>
      <c r="AU7" s="15">
        <f aca="true" t="shared" si="5" ref="AU7:AU70">AJ7+AO7+AQ7+AR7+AP7</f>
        <v>67017.6145</v>
      </c>
      <c r="AV7" s="15">
        <f aca="true" t="shared" si="6" ref="AV7:AV70">AJ7+AO7+AQ7+AS7+AP7+AT7</f>
        <v>68224.802875</v>
      </c>
      <c r="AW7" s="78">
        <f>AJ7*Valores!$C$70</f>
        <v>12876.676</v>
      </c>
      <c r="AX7" s="78">
        <f>AJ7*Valores!$C$71</f>
        <v>3621.5651249999996</v>
      </c>
      <c r="AY7" s="78">
        <f>AJ7*Valores!$C$73</f>
        <v>804.79225</v>
      </c>
      <c r="AZ7" s="78">
        <f>AJ7*Valores!$C$74</f>
        <v>2816.772875</v>
      </c>
      <c r="BA7" s="78">
        <f>AJ7*Valores!$C$75</f>
        <v>482.87534999999997</v>
      </c>
      <c r="BB7" s="78">
        <f>AJ7*5.4/100</f>
        <v>4345.8781500000005</v>
      </c>
      <c r="BC7" s="20">
        <v>33</v>
      </c>
      <c r="BD7" s="20">
        <v>45</v>
      </c>
      <c r="BE7" s="9" t="s">
        <v>461</v>
      </c>
    </row>
    <row r="8" spans="1:57" s="9" customFormat="1" ht="11.25" customHeight="1">
      <c r="A8" s="20">
        <v>7</v>
      </c>
      <c r="B8" s="20"/>
      <c r="C8" s="9" t="s">
        <v>9</v>
      </c>
      <c r="E8" s="9">
        <f aca="true" t="shared" si="7" ref="E8:E71">LEN(F8)</f>
        <v>20</v>
      </c>
      <c r="F8" s="10" t="s">
        <v>10</v>
      </c>
      <c r="G8" s="123">
        <v>107</v>
      </c>
      <c r="H8" s="7">
        <f>INT((G8*Valores!$C$2*100)+0.5)/100</f>
        <v>641.93</v>
      </c>
      <c r="I8" s="113">
        <v>3779</v>
      </c>
      <c r="J8" s="77">
        <f>INT((I8*Valores!$C$2*100)+0.5)/100</f>
        <v>22671.37</v>
      </c>
      <c r="K8" s="144">
        <v>219</v>
      </c>
      <c r="L8" s="77">
        <f>INT((K8*Valores!$C$2*100)+0.5)/100</f>
        <v>1313.85</v>
      </c>
      <c r="M8" s="123">
        <v>0</v>
      </c>
      <c r="N8" s="77">
        <f>INT((M8*Valores!$C$2*100)+0.5)/100</f>
        <v>0</v>
      </c>
      <c r="O8" s="77">
        <f t="shared" si="0"/>
        <v>0</v>
      </c>
      <c r="P8" s="77">
        <f t="shared" si="1"/>
        <v>12967.064999999999</v>
      </c>
      <c r="Q8" s="78">
        <f>Valores!$C$16</f>
        <v>3718.92</v>
      </c>
      <c r="R8" s="78">
        <f>Valores!$D$4</f>
        <v>2683.49</v>
      </c>
      <c r="S8" s="77">
        <v>0</v>
      </c>
      <c r="T8" s="79">
        <f>Valores!$C$43</f>
        <v>1306.98</v>
      </c>
      <c r="U8" s="77">
        <v>0</v>
      </c>
      <c r="V8" s="77">
        <f t="shared" si="2"/>
        <v>0</v>
      </c>
      <c r="W8" s="78">
        <f>SUM(H8,J8,L8)</f>
        <v>24627.149999999998</v>
      </c>
      <c r="X8" s="78">
        <f>INT((SUM(H8,J8,L8)*0.4*100)+0.49)/100</f>
        <v>9850.86</v>
      </c>
      <c r="Y8" s="116">
        <v>0</v>
      </c>
      <c r="Z8" s="77">
        <f>Y8*Valores!$C$2</f>
        <v>0</v>
      </c>
      <c r="AA8" s="77">
        <v>0</v>
      </c>
      <c r="AB8" s="89">
        <f>Valores!$C$29</f>
        <v>151.15</v>
      </c>
      <c r="AC8" s="77">
        <f t="shared" si="3"/>
        <v>0</v>
      </c>
      <c r="AD8" s="77">
        <f>Valores!$C$30</f>
        <v>151.15</v>
      </c>
      <c r="AE8" s="116">
        <v>0</v>
      </c>
      <c r="AF8" s="77">
        <f>INT(((AE8*Valores!$C$2)*100)+0.5)/100</f>
        <v>0</v>
      </c>
      <c r="AG8" s="77">
        <f>Valores!$C$58</f>
        <v>307.46</v>
      </c>
      <c r="AH8" s="77">
        <f>Valores!$C$60</f>
        <v>87.85</v>
      </c>
      <c r="AI8" s="77">
        <f>SUM(H8,J8,L8,N8,O8,P8,Q8,R8,S8,T8,V8,W8,X8,Z8,AA8,AB8,AC8,AD8,AF8,AG8,AH8)*Valores!$C$63</f>
        <v>0</v>
      </c>
      <c r="AJ8" s="15">
        <f t="shared" si="4"/>
        <v>80479.22499999999</v>
      </c>
      <c r="AK8" s="78">
        <f>Valores!$C$35</f>
        <v>415.59</v>
      </c>
      <c r="AL8" s="79">
        <f>Valores!$C$9</f>
        <v>351.39</v>
      </c>
      <c r="AM8" s="89">
        <f>Valores!$C$50</f>
        <v>257.67</v>
      </c>
      <c r="AN8" s="191">
        <f>IF($H$4="SI",SUM(AL8+AM8),AL8)*Valores!$C$63</f>
        <v>0</v>
      </c>
      <c r="AO8" s="12">
        <f>SUM(AK8:AL8,AM8,AN8)</f>
        <v>1024.65</v>
      </c>
      <c r="AP8" s="152">
        <f>AJ8*-Valores!$C$65</f>
        <v>-10462.29925</v>
      </c>
      <c r="AQ8" s="152">
        <f>AJ8*-Valores!$C$66</f>
        <v>-402.396125</v>
      </c>
      <c r="AR8" s="78">
        <f>AJ8*-Valores!$C$67</f>
        <v>-3621.5651249999996</v>
      </c>
      <c r="AS8" s="78">
        <f>AJ8*-Valores!$C$68</f>
        <v>-2172.9390750000002</v>
      </c>
      <c r="AT8" s="78">
        <f>AJ8*-Valores!$C$69</f>
        <v>-241.43767499999998</v>
      </c>
      <c r="AU8" s="15">
        <f t="shared" si="5"/>
        <v>67017.6145</v>
      </c>
      <c r="AV8" s="15">
        <f t="shared" si="6"/>
        <v>68224.802875</v>
      </c>
      <c r="AW8" s="78">
        <f>AJ8*Valores!$C$70</f>
        <v>12876.676</v>
      </c>
      <c r="AX8" s="78">
        <f>AJ8*Valores!$C$71</f>
        <v>3621.5651249999996</v>
      </c>
      <c r="AY8" s="78">
        <f>AJ8*Valores!$C$73</f>
        <v>804.79225</v>
      </c>
      <c r="AZ8" s="78">
        <f>AJ8*Valores!$C$74</f>
        <v>2816.772875</v>
      </c>
      <c r="BA8" s="78">
        <f>AJ8*Valores!$C$75</f>
        <v>482.87534999999997</v>
      </c>
      <c r="BB8" s="78">
        <f>AJ8*Valores!$C$76</f>
        <v>4345.8781500000005</v>
      </c>
      <c r="BC8" s="20">
        <v>33</v>
      </c>
      <c r="BD8" s="20">
        <v>45</v>
      </c>
      <c r="BE8" s="9" t="s">
        <v>461</v>
      </c>
    </row>
    <row r="9" spans="1:57" s="9" customFormat="1" ht="11.25" customHeight="1">
      <c r="A9" s="20">
        <v>8</v>
      </c>
      <c r="B9" s="20"/>
      <c r="C9" s="9" t="s">
        <v>11</v>
      </c>
      <c r="E9" s="9">
        <f t="shared" si="7"/>
        <v>14</v>
      </c>
      <c r="F9" s="10" t="s">
        <v>12</v>
      </c>
      <c r="G9" s="123">
        <v>107</v>
      </c>
      <c r="H9" s="128">
        <f>INT((G9*Valores!$C$2*100)+0.5)/100</f>
        <v>641.93</v>
      </c>
      <c r="I9" s="113">
        <v>3720</v>
      </c>
      <c r="J9" s="77">
        <f>INT((I9*Valores!$C$2*100)+0.5)/100</f>
        <v>22317.41</v>
      </c>
      <c r="K9" s="144">
        <v>1226</v>
      </c>
      <c r="L9" s="77">
        <f>INT((K9*Valores!$C$2*100)+0.5)/100</f>
        <v>7355.15</v>
      </c>
      <c r="M9" s="123">
        <v>0</v>
      </c>
      <c r="N9" s="77">
        <f>INT((M9*Valores!$C$2*100)+0.5)/100</f>
        <v>0</v>
      </c>
      <c r="O9" s="77">
        <f t="shared" si="0"/>
        <v>0</v>
      </c>
      <c r="P9" s="77">
        <f t="shared" si="1"/>
        <v>15810.734999999999</v>
      </c>
      <c r="Q9" s="78">
        <f>Valores!$C$19</f>
        <v>3894.61</v>
      </c>
      <c r="R9" s="78">
        <f>Valores!$D$4</f>
        <v>2683.49</v>
      </c>
      <c r="S9" s="77">
        <v>0</v>
      </c>
      <c r="T9" s="79">
        <f>Valores!$C$43</f>
        <v>1306.98</v>
      </c>
      <c r="U9" s="77">
        <f>Valores!$C$23</f>
        <v>2584.33</v>
      </c>
      <c r="V9" s="77">
        <f t="shared" si="2"/>
        <v>3876.495</v>
      </c>
      <c r="W9" s="77">
        <v>0</v>
      </c>
      <c r="X9" s="77">
        <v>0</v>
      </c>
      <c r="Y9" s="116">
        <v>0</v>
      </c>
      <c r="Z9" s="77">
        <f>Y9*Valores!$C$2</f>
        <v>0</v>
      </c>
      <c r="AA9" s="77">
        <v>0</v>
      </c>
      <c r="AB9" s="89">
        <f>Valores!$C$29</f>
        <v>151.15</v>
      </c>
      <c r="AC9" s="77">
        <f t="shared" si="3"/>
        <v>0</v>
      </c>
      <c r="AD9" s="77">
        <f>Valores!$C$30</f>
        <v>151.15</v>
      </c>
      <c r="AE9" s="116">
        <v>0</v>
      </c>
      <c r="AF9" s="77">
        <f>INT(((AE9*Valores!$C$2)*100)+0.5)/100</f>
        <v>0</v>
      </c>
      <c r="AG9" s="77">
        <f>Valores!$C$58</f>
        <v>307.46</v>
      </c>
      <c r="AH9" s="77">
        <f>Valores!$C$60</f>
        <v>87.85</v>
      </c>
      <c r="AI9" s="77">
        <f>SUM(H9,J9,L9,N9,O9,P9,Q9,R9,S9,T9,V9,W9,X9,Z9,AA9,AB9,AC9,AD9,AF9,AG9,AH9)*Valores!$C$63</f>
        <v>0</v>
      </c>
      <c r="AJ9" s="15">
        <f t="shared" si="4"/>
        <v>58584.41</v>
      </c>
      <c r="AK9" s="78">
        <f>Valores!$C$35</f>
        <v>415.59</v>
      </c>
      <c r="AL9" s="79">
        <f>Valores!$C$9</f>
        <v>351.39</v>
      </c>
      <c r="AM9" s="89">
        <f>Valores!$C$50</f>
        <v>257.67</v>
      </c>
      <c r="AN9" s="79">
        <f>IF($H$4="SI",SUM(AL9+AM9),AL9)*Valores!$C$63</f>
        <v>0</v>
      </c>
      <c r="AO9" s="12">
        <f aca="true" t="shared" si="8" ref="AO9:AO71">SUM(AK9:AL9,AM9,AN9)</f>
        <v>1024.65</v>
      </c>
      <c r="AP9" s="152">
        <f>AJ9*-Valores!$C$65</f>
        <v>-7615.973300000001</v>
      </c>
      <c r="AQ9" s="152">
        <f>AJ9*-Valores!$C$66</f>
        <v>-292.92205</v>
      </c>
      <c r="AR9" s="78">
        <f>AJ9*-Valores!$C$67</f>
        <v>-2636.2984500000002</v>
      </c>
      <c r="AS9" s="78">
        <f>AJ9*-Valores!$C$68</f>
        <v>-1581.7790700000003</v>
      </c>
      <c r="AT9" s="78">
        <f>AJ9*-Valores!$C$69</f>
        <v>-175.75323</v>
      </c>
      <c r="AU9" s="15">
        <f t="shared" si="5"/>
        <v>49063.866200000004</v>
      </c>
      <c r="AV9" s="15">
        <f t="shared" si="6"/>
        <v>49942.63235000001</v>
      </c>
      <c r="AW9" s="78">
        <f>AJ9*Valores!$C$70</f>
        <v>9373.5056</v>
      </c>
      <c r="AX9" s="78">
        <f>AJ9*Valores!$C$71</f>
        <v>2636.2984500000002</v>
      </c>
      <c r="AY9" s="78">
        <f>AJ9*Valores!$C$73</f>
        <v>585.8441</v>
      </c>
      <c r="AZ9" s="78">
        <f>AJ9*Valores!$C$74</f>
        <v>2050.4543500000004</v>
      </c>
      <c r="BA9" s="78">
        <f>AJ9*Valores!$C$75</f>
        <v>351.50646</v>
      </c>
      <c r="BB9" s="78">
        <f aca="true" t="shared" si="9" ref="BB9:BB72">AJ9*5.4/100</f>
        <v>3163.55814</v>
      </c>
      <c r="BC9" s="20">
        <v>35</v>
      </c>
      <c r="BD9" s="20">
        <v>45</v>
      </c>
      <c r="BE9" s="9" t="s">
        <v>462</v>
      </c>
    </row>
    <row r="10" spans="1:57" s="9" customFormat="1" ht="11.25" customHeight="1">
      <c r="A10" s="20">
        <v>9</v>
      </c>
      <c r="B10" s="20"/>
      <c r="C10" s="9" t="s">
        <v>13</v>
      </c>
      <c r="E10" s="9">
        <f t="shared" si="7"/>
        <v>17</v>
      </c>
      <c r="F10" s="10" t="s">
        <v>14</v>
      </c>
      <c r="G10" s="123">
        <v>107</v>
      </c>
      <c r="H10" s="7">
        <f>INT((G10*Valores!$C$2*100)+0.5)/100</f>
        <v>641.93</v>
      </c>
      <c r="I10" s="113">
        <v>3779</v>
      </c>
      <c r="J10" s="77">
        <f>INT((I10*Valores!$C$2*100)+0.5)/100</f>
        <v>22671.37</v>
      </c>
      <c r="K10" s="144">
        <v>219</v>
      </c>
      <c r="L10" s="77">
        <f>INT((K10*Valores!$C$2*100)+0.5)/100</f>
        <v>1313.85</v>
      </c>
      <c r="M10" s="123">
        <v>0</v>
      </c>
      <c r="N10" s="77">
        <f>INT((M10*Valores!$C$2*100)+0.5)/100</f>
        <v>0</v>
      </c>
      <c r="O10" s="77">
        <f t="shared" si="0"/>
        <v>0</v>
      </c>
      <c r="P10" s="77">
        <f t="shared" si="1"/>
        <v>12967.064999999999</v>
      </c>
      <c r="Q10" s="78">
        <f>Valores!$C$16</f>
        <v>3718.92</v>
      </c>
      <c r="R10" s="78">
        <f>Valores!$D$4</f>
        <v>2683.49</v>
      </c>
      <c r="S10" s="77">
        <v>0</v>
      </c>
      <c r="T10" s="79">
        <f>Valores!$C$43</f>
        <v>1306.98</v>
      </c>
      <c r="U10" s="77">
        <v>0</v>
      </c>
      <c r="V10" s="77">
        <f t="shared" si="2"/>
        <v>0</v>
      </c>
      <c r="W10" s="78">
        <f aca="true" t="shared" si="10" ref="W10:W19">SUM(H10,J10,L10)</f>
        <v>24627.149999999998</v>
      </c>
      <c r="X10" s="78">
        <f aca="true" t="shared" si="11" ref="X10:X19">INT((SUM(H10,J10,L10)*0.4*100)+0.49)/100</f>
        <v>9850.86</v>
      </c>
      <c r="Y10" s="116">
        <v>0</v>
      </c>
      <c r="Z10" s="77">
        <f>Y10*Valores!$C$2</f>
        <v>0</v>
      </c>
      <c r="AA10" s="77">
        <v>0</v>
      </c>
      <c r="AB10" s="89">
        <f>Valores!$C$29</f>
        <v>151.15</v>
      </c>
      <c r="AC10" s="77">
        <f t="shared" si="3"/>
        <v>0</v>
      </c>
      <c r="AD10" s="77">
        <f>Valores!$C$30</f>
        <v>151.15</v>
      </c>
      <c r="AE10" s="116">
        <v>0</v>
      </c>
      <c r="AF10" s="77">
        <f>INT(((AE10*Valores!$C$2)*100)+0.5)/100</f>
        <v>0</v>
      </c>
      <c r="AG10" s="77">
        <f>Valores!$C$58</f>
        <v>307.46</v>
      </c>
      <c r="AH10" s="77">
        <f>Valores!$C$60</f>
        <v>87.85</v>
      </c>
      <c r="AI10" s="77">
        <f>SUM(H10,J10,L10,N10,O10,P10,Q10,R10,S10,T10,V10,W10,X10,Z10,AA10,AB10,AC10,AD10,AF10,AG10,AH10)*Valores!$C$63</f>
        <v>0</v>
      </c>
      <c r="AJ10" s="15">
        <f t="shared" si="4"/>
        <v>80479.22499999999</v>
      </c>
      <c r="AK10" s="78">
        <f>Valores!$C$35</f>
        <v>415.59</v>
      </c>
      <c r="AL10" s="79">
        <f>Valores!$C$9</f>
        <v>351.39</v>
      </c>
      <c r="AM10" s="89">
        <f>Valores!$C$50</f>
        <v>257.67</v>
      </c>
      <c r="AN10" s="79">
        <f>IF($H$4="SI",SUM(AL10+AM10),AL10)*Valores!$C$63</f>
        <v>0</v>
      </c>
      <c r="AO10" s="12">
        <f t="shared" si="8"/>
        <v>1024.65</v>
      </c>
      <c r="AP10" s="152">
        <f>AJ10*-Valores!$C$65</f>
        <v>-10462.29925</v>
      </c>
      <c r="AQ10" s="152">
        <f>AJ10*-Valores!$C$66</f>
        <v>-402.396125</v>
      </c>
      <c r="AR10" s="78">
        <f>AJ10*-Valores!$C$67</f>
        <v>-3621.5651249999996</v>
      </c>
      <c r="AS10" s="78">
        <f>AJ10*-Valores!$C$68</f>
        <v>-2172.9390750000002</v>
      </c>
      <c r="AT10" s="78">
        <f>AJ10*-Valores!$C$69</f>
        <v>-241.43767499999998</v>
      </c>
      <c r="AU10" s="15">
        <f t="shared" si="5"/>
        <v>67017.6145</v>
      </c>
      <c r="AV10" s="15">
        <f t="shared" si="6"/>
        <v>68224.802875</v>
      </c>
      <c r="AW10" s="78">
        <f>AJ10*Valores!$C$70</f>
        <v>12876.676</v>
      </c>
      <c r="AX10" s="78">
        <f>AJ10*Valores!$C$71</f>
        <v>3621.5651249999996</v>
      </c>
      <c r="AY10" s="78">
        <f>AJ10*Valores!$C$73</f>
        <v>804.79225</v>
      </c>
      <c r="AZ10" s="78">
        <f>AJ10*Valores!$C$74</f>
        <v>2816.772875</v>
      </c>
      <c r="BA10" s="78">
        <f>AJ10*Valores!$C$75</f>
        <v>482.87534999999997</v>
      </c>
      <c r="BB10" s="78">
        <f t="shared" si="9"/>
        <v>4345.8781500000005</v>
      </c>
      <c r="BC10" s="20">
        <v>33</v>
      </c>
      <c r="BD10" s="20">
        <v>45</v>
      </c>
      <c r="BE10" s="9" t="s">
        <v>461</v>
      </c>
    </row>
    <row r="11" spans="1:57" s="9" customFormat="1" ht="11.25" customHeight="1">
      <c r="A11" s="55">
        <v>10</v>
      </c>
      <c r="B11" s="55" t="s">
        <v>458</v>
      </c>
      <c r="C11" s="52" t="s">
        <v>15</v>
      </c>
      <c r="D11" s="52"/>
      <c r="E11" s="52">
        <f t="shared" si="7"/>
        <v>17</v>
      </c>
      <c r="F11" s="53" t="s">
        <v>16</v>
      </c>
      <c r="G11" s="124">
        <v>107</v>
      </c>
      <c r="H11" s="129">
        <f>INT((G11*Valores!$C$2*100)+0.5)/100</f>
        <v>641.93</v>
      </c>
      <c r="I11" s="114">
        <v>3779</v>
      </c>
      <c r="J11" s="80">
        <f>INT((I11*Valores!$C$2*100)+0.5)/100</f>
        <v>22671.37</v>
      </c>
      <c r="K11" s="145">
        <v>219</v>
      </c>
      <c r="L11" s="80">
        <f>INT((K11*Valores!$C$2*100)+0.5)/100</f>
        <v>1313.85</v>
      </c>
      <c r="M11" s="124">
        <v>0</v>
      </c>
      <c r="N11" s="80">
        <f>INT((M11*Valores!$C$2*100)+0.5)/100</f>
        <v>0</v>
      </c>
      <c r="O11" s="80">
        <f t="shared" si="0"/>
        <v>0</v>
      </c>
      <c r="P11" s="80">
        <f t="shared" si="1"/>
        <v>12967.064999999999</v>
      </c>
      <c r="Q11" s="81">
        <f>Valores!$C$16</f>
        <v>3718.92</v>
      </c>
      <c r="R11" s="81">
        <f>Valores!$D$4</f>
        <v>2683.49</v>
      </c>
      <c r="S11" s="80">
        <v>0</v>
      </c>
      <c r="T11" s="82">
        <f>Valores!$C$43</f>
        <v>1306.98</v>
      </c>
      <c r="U11" s="80">
        <v>0</v>
      </c>
      <c r="V11" s="80">
        <f t="shared" si="2"/>
        <v>0</v>
      </c>
      <c r="W11" s="81">
        <f t="shared" si="10"/>
        <v>24627.149999999998</v>
      </c>
      <c r="X11" s="81">
        <f t="shared" si="11"/>
        <v>9850.86</v>
      </c>
      <c r="Y11" s="115">
        <v>0</v>
      </c>
      <c r="Z11" s="80">
        <f>Y11*Valores!$C$2</f>
        <v>0</v>
      </c>
      <c r="AA11" s="80">
        <v>0</v>
      </c>
      <c r="AB11" s="90">
        <f>Valores!$C$29</f>
        <v>151.15</v>
      </c>
      <c r="AC11" s="80">
        <f t="shared" si="3"/>
        <v>0</v>
      </c>
      <c r="AD11" s="80">
        <f>Valores!$C$30</f>
        <v>151.15</v>
      </c>
      <c r="AE11" s="115">
        <v>0</v>
      </c>
      <c r="AF11" s="80">
        <f>INT(((AE11*Valores!$C$2)*100)+0.5)/100</f>
        <v>0</v>
      </c>
      <c r="AG11" s="80">
        <f>Valores!$C$58</f>
        <v>307.46</v>
      </c>
      <c r="AH11" s="80">
        <f>Valores!$C$60</f>
        <v>87.85</v>
      </c>
      <c r="AI11" s="80">
        <f>SUM(H11,J11,L11,N11,O11,P11,Q11,R11,S11,T11,V11,W11,X11,Z11,AA11,AB11,AC11,AD11,AF11,AG11,AH11)*Valores!$C$63</f>
        <v>0</v>
      </c>
      <c r="AJ11" s="54">
        <f t="shared" si="4"/>
        <v>80479.22499999999</v>
      </c>
      <c r="AK11" s="81">
        <f>Valores!$C$35</f>
        <v>415.59</v>
      </c>
      <c r="AL11" s="82">
        <f>Valores!$C$9</f>
        <v>351.39</v>
      </c>
      <c r="AM11" s="90">
        <f>Valores!$C$50</f>
        <v>257.67</v>
      </c>
      <c r="AN11" s="82">
        <f>IF($H$4="SI",SUM(AL11+AM11),AL11)*Valores!$C$63</f>
        <v>0</v>
      </c>
      <c r="AO11" s="185">
        <f t="shared" si="8"/>
        <v>1024.65</v>
      </c>
      <c r="AP11" s="153">
        <f>AJ11*-Valores!$C$65</f>
        <v>-10462.29925</v>
      </c>
      <c r="AQ11" s="153">
        <f>AJ11*-Valores!$C$66</f>
        <v>-402.396125</v>
      </c>
      <c r="AR11" s="81">
        <f>AJ11*-Valores!$C$67</f>
        <v>-3621.5651249999996</v>
      </c>
      <c r="AS11" s="81">
        <f>AJ11*-Valores!$C$68</f>
        <v>-2172.9390750000002</v>
      </c>
      <c r="AT11" s="81">
        <f>AJ11*-Valores!$C$69</f>
        <v>-241.43767499999998</v>
      </c>
      <c r="AU11" s="54">
        <f t="shared" si="5"/>
        <v>67017.6145</v>
      </c>
      <c r="AV11" s="54">
        <f t="shared" si="6"/>
        <v>68224.802875</v>
      </c>
      <c r="AW11" s="81">
        <f>AJ11*Valores!$C$70</f>
        <v>12876.676</v>
      </c>
      <c r="AX11" s="81">
        <f>AJ11*Valores!$C$71</f>
        <v>3621.5651249999996</v>
      </c>
      <c r="AY11" s="81">
        <f>AJ11*Valores!$C$73</f>
        <v>804.79225</v>
      </c>
      <c r="AZ11" s="81">
        <f>AJ11*Valores!$C$74</f>
        <v>2816.772875</v>
      </c>
      <c r="BA11" s="81">
        <f>AJ11*Valores!$C$75</f>
        <v>482.87534999999997</v>
      </c>
      <c r="BB11" s="81">
        <f t="shared" si="9"/>
        <v>4345.8781500000005</v>
      </c>
      <c r="BC11" s="55">
        <v>33</v>
      </c>
      <c r="BD11" s="55">
        <v>45</v>
      </c>
      <c r="BE11" s="52" t="s">
        <v>461</v>
      </c>
    </row>
    <row r="12" spans="1:57" s="9" customFormat="1" ht="11.25" customHeight="1">
      <c r="A12" s="20">
        <v>11</v>
      </c>
      <c r="B12" s="20"/>
      <c r="C12" s="9" t="s">
        <v>17</v>
      </c>
      <c r="E12" s="9">
        <f t="shared" si="7"/>
        <v>17</v>
      </c>
      <c r="F12" s="10" t="s">
        <v>18</v>
      </c>
      <c r="G12" s="123">
        <v>107</v>
      </c>
      <c r="H12" s="7">
        <f>INT((G12*Valores!$C$2*100)+0.5)/100</f>
        <v>641.93</v>
      </c>
      <c r="I12" s="113">
        <v>3779</v>
      </c>
      <c r="J12" s="77">
        <f>INT((I12*Valores!$C$2*100)+0.5)/100</f>
        <v>22671.37</v>
      </c>
      <c r="K12" s="144">
        <v>219</v>
      </c>
      <c r="L12" s="77">
        <f>INT((K12*Valores!$C$2*100)+0.5)/100</f>
        <v>1313.85</v>
      </c>
      <c r="M12" s="123">
        <v>0</v>
      </c>
      <c r="N12" s="77">
        <f>INT((M12*Valores!$C$2*100)+0.5)/100</f>
        <v>0</v>
      </c>
      <c r="O12" s="77">
        <f t="shared" si="0"/>
        <v>0</v>
      </c>
      <c r="P12" s="77">
        <f t="shared" si="1"/>
        <v>12967.064999999999</v>
      </c>
      <c r="Q12" s="78">
        <f>Valores!$C$16</f>
        <v>3718.92</v>
      </c>
      <c r="R12" s="78">
        <f>Valores!$D$4</f>
        <v>2683.49</v>
      </c>
      <c r="S12" s="77">
        <v>0</v>
      </c>
      <c r="T12" s="79">
        <f>Valores!$C$43</f>
        <v>1306.98</v>
      </c>
      <c r="U12" s="77">
        <v>0</v>
      </c>
      <c r="V12" s="77">
        <f t="shared" si="2"/>
        <v>0</v>
      </c>
      <c r="W12" s="78">
        <f t="shared" si="10"/>
        <v>24627.149999999998</v>
      </c>
      <c r="X12" s="78">
        <f t="shared" si="11"/>
        <v>9850.86</v>
      </c>
      <c r="Y12" s="116">
        <v>0</v>
      </c>
      <c r="Z12" s="77">
        <f>Y12*Valores!$C$2</f>
        <v>0</v>
      </c>
      <c r="AA12" s="77">
        <v>0</v>
      </c>
      <c r="AB12" s="89">
        <f>Valores!$C$29</f>
        <v>151.15</v>
      </c>
      <c r="AC12" s="77">
        <f t="shared" si="3"/>
        <v>0</v>
      </c>
      <c r="AD12" s="77">
        <f>Valores!$C$30</f>
        <v>151.15</v>
      </c>
      <c r="AE12" s="116">
        <v>0</v>
      </c>
      <c r="AF12" s="77">
        <f>INT(((AE12*Valores!$C$2)*100)+0.5)/100</f>
        <v>0</v>
      </c>
      <c r="AG12" s="77">
        <f>Valores!$C$58</f>
        <v>307.46</v>
      </c>
      <c r="AH12" s="77">
        <f>Valores!$C$60</f>
        <v>87.85</v>
      </c>
      <c r="AI12" s="77">
        <f>SUM(H12,J12,L12,N12,O12,P12,Q12,R12,S12,T12,V12,W12,X12,Z12,AA12,AB12,AC12,AD12,AF12,AG12,AH12)*Valores!$C$63</f>
        <v>0</v>
      </c>
      <c r="AJ12" s="15">
        <f t="shared" si="4"/>
        <v>80479.22499999999</v>
      </c>
      <c r="AK12" s="78">
        <f>Valores!$C$35</f>
        <v>415.59</v>
      </c>
      <c r="AL12" s="79">
        <f>Valores!$C$9</f>
        <v>351.39</v>
      </c>
      <c r="AM12" s="89">
        <f>Valores!$C$50</f>
        <v>257.67</v>
      </c>
      <c r="AN12" s="79">
        <f>IF($H$4="SI",SUM(AL12+AM12),AL12)*Valores!$C$63</f>
        <v>0</v>
      </c>
      <c r="AO12" s="12">
        <f t="shared" si="8"/>
        <v>1024.65</v>
      </c>
      <c r="AP12" s="152">
        <f>AJ12*-Valores!$C$65</f>
        <v>-10462.29925</v>
      </c>
      <c r="AQ12" s="152">
        <f>AJ12*-Valores!$C$66</f>
        <v>-402.396125</v>
      </c>
      <c r="AR12" s="78">
        <f>AJ12*-Valores!$C$67</f>
        <v>-3621.5651249999996</v>
      </c>
      <c r="AS12" s="78">
        <f>AJ12*-Valores!$C$68</f>
        <v>-2172.9390750000002</v>
      </c>
      <c r="AT12" s="78">
        <f>AJ12*-Valores!$C$69</f>
        <v>-241.43767499999998</v>
      </c>
      <c r="AU12" s="15">
        <f t="shared" si="5"/>
        <v>67017.6145</v>
      </c>
      <c r="AV12" s="15">
        <f t="shared" si="6"/>
        <v>68224.802875</v>
      </c>
      <c r="AW12" s="78">
        <f>AJ12*Valores!$C$70</f>
        <v>12876.676</v>
      </c>
      <c r="AX12" s="78">
        <f>AJ12*Valores!$C$71</f>
        <v>3621.5651249999996</v>
      </c>
      <c r="AY12" s="78">
        <f>AJ12*Valores!$C$73</f>
        <v>804.79225</v>
      </c>
      <c r="AZ12" s="78">
        <f>AJ12*Valores!$C$74</f>
        <v>2816.772875</v>
      </c>
      <c r="BA12" s="78">
        <f>AJ12*Valores!$C$75</f>
        <v>482.87534999999997</v>
      </c>
      <c r="BB12" s="78">
        <f t="shared" si="9"/>
        <v>4345.8781500000005</v>
      </c>
      <c r="BC12" s="20">
        <v>33</v>
      </c>
      <c r="BD12" s="20">
        <v>45</v>
      </c>
      <c r="BE12" s="9" t="s">
        <v>461</v>
      </c>
    </row>
    <row r="13" spans="1:57" s="9" customFormat="1" ht="11.25" customHeight="1">
      <c r="A13" s="20">
        <v>12</v>
      </c>
      <c r="B13" s="20"/>
      <c r="C13" s="9" t="s">
        <v>19</v>
      </c>
      <c r="E13" s="9">
        <f t="shared" si="7"/>
        <v>14</v>
      </c>
      <c r="F13" s="10" t="s">
        <v>20</v>
      </c>
      <c r="G13" s="123">
        <v>107</v>
      </c>
      <c r="H13" s="7">
        <f>INT((G13*Valores!$C$2*100)+0.5)/100</f>
        <v>641.93</v>
      </c>
      <c r="I13" s="113">
        <v>3779</v>
      </c>
      <c r="J13" s="77">
        <f>INT((I13*Valores!$C$2*100)+0.5)/100</f>
        <v>22671.37</v>
      </c>
      <c r="K13" s="144">
        <v>219</v>
      </c>
      <c r="L13" s="77">
        <f>INT((K13*Valores!$C$2*100)+0.5)/100</f>
        <v>1313.85</v>
      </c>
      <c r="M13" s="123">
        <v>0</v>
      </c>
      <c r="N13" s="77">
        <f>INT((M13*Valores!$C$2*100)+0.5)/100</f>
        <v>0</v>
      </c>
      <c r="O13" s="77">
        <f t="shared" si="0"/>
        <v>0</v>
      </c>
      <c r="P13" s="77">
        <f t="shared" si="1"/>
        <v>12967.064999999999</v>
      </c>
      <c r="Q13" s="78">
        <f>Valores!$C$16</f>
        <v>3718.92</v>
      </c>
      <c r="R13" s="78">
        <f>Valores!$D$4</f>
        <v>2683.49</v>
      </c>
      <c r="S13" s="77">
        <v>0</v>
      </c>
      <c r="T13" s="79">
        <f>Valores!$C$43</f>
        <v>1306.98</v>
      </c>
      <c r="U13" s="77">
        <v>0</v>
      </c>
      <c r="V13" s="77">
        <f t="shared" si="2"/>
        <v>0</v>
      </c>
      <c r="W13" s="78">
        <f t="shared" si="10"/>
        <v>24627.149999999998</v>
      </c>
      <c r="X13" s="78">
        <f t="shared" si="11"/>
        <v>9850.86</v>
      </c>
      <c r="Y13" s="116">
        <v>0</v>
      </c>
      <c r="Z13" s="77">
        <f>Y13*Valores!$C$2</f>
        <v>0</v>
      </c>
      <c r="AA13" s="77">
        <v>0</v>
      </c>
      <c r="AB13" s="89">
        <f>Valores!$C$29</f>
        <v>151.15</v>
      </c>
      <c r="AC13" s="77">
        <f t="shared" si="3"/>
        <v>0</v>
      </c>
      <c r="AD13" s="77">
        <f>Valores!$C$30</f>
        <v>151.15</v>
      </c>
      <c r="AE13" s="116">
        <v>0</v>
      </c>
      <c r="AF13" s="77">
        <f>INT(((AE13*Valores!$C$2)*100)+0.5)/100</f>
        <v>0</v>
      </c>
      <c r="AG13" s="77">
        <f>Valores!$C$58</f>
        <v>307.46</v>
      </c>
      <c r="AH13" s="77">
        <f>Valores!$C$60</f>
        <v>87.85</v>
      </c>
      <c r="AI13" s="77">
        <f>SUM(H13,J13,L13,N13,O13,P13,Q13,R13,S13,T13,V13,W13,X13,Z13,AA13,AB13,AC13,AD13,AF13,AG13,AH13)*Valores!$C$63</f>
        <v>0</v>
      </c>
      <c r="AJ13" s="15">
        <f t="shared" si="4"/>
        <v>80479.22499999999</v>
      </c>
      <c r="AK13" s="78">
        <f>Valores!$C$35</f>
        <v>415.59</v>
      </c>
      <c r="AL13" s="79">
        <f>Valores!$C$9</f>
        <v>351.39</v>
      </c>
      <c r="AM13" s="89">
        <f>Valores!$C$50</f>
        <v>257.67</v>
      </c>
      <c r="AN13" s="79">
        <f>IF($H$4="SI",SUM(AL13+AM13),AL13)*Valores!$C$63</f>
        <v>0</v>
      </c>
      <c r="AO13" s="12">
        <f t="shared" si="8"/>
        <v>1024.65</v>
      </c>
      <c r="AP13" s="152">
        <f>AJ13*-Valores!$C$65</f>
        <v>-10462.29925</v>
      </c>
      <c r="AQ13" s="152">
        <f>AJ13*-Valores!$C$66</f>
        <v>-402.396125</v>
      </c>
      <c r="AR13" s="78">
        <f>AJ13*-Valores!$C$67</f>
        <v>-3621.5651249999996</v>
      </c>
      <c r="AS13" s="78">
        <f>AJ13*-Valores!$C$68</f>
        <v>-2172.9390750000002</v>
      </c>
      <c r="AT13" s="78">
        <f>AJ13*-Valores!$C$69</f>
        <v>-241.43767499999998</v>
      </c>
      <c r="AU13" s="15">
        <f t="shared" si="5"/>
        <v>67017.6145</v>
      </c>
      <c r="AV13" s="15">
        <f t="shared" si="6"/>
        <v>68224.802875</v>
      </c>
      <c r="AW13" s="78">
        <f>AJ13*Valores!$C$70</f>
        <v>12876.676</v>
      </c>
      <c r="AX13" s="78">
        <f>AJ13*Valores!$C$71</f>
        <v>3621.5651249999996</v>
      </c>
      <c r="AY13" s="78">
        <f>AJ13*Valores!$C$73</f>
        <v>804.79225</v>
      </c>
      <c r="AZ13" s="78">
        <f>AJ13*Valores!$C$74</f>
        <v>2816.772875</v>
      </c>
      <c r="BA13" s="78">
        <f>AJ13*Valores!$C$75</f>
        <v>482.87534999999997</v>
      </c>
      <c r="BB13" s="78">
        <f t="shared" si="9"/>
        <v>4345.8781500000005</v>
      </c>
      <c r="BC13" s="20">
        <v>33</v>
      </c>
      <c r="BD13" s="20">
        <v>45</v>
      </c>
      <c r="BE13" s="9" t="s">
        <v>461</v>
      </c>
    </row>
    <row r="14" spans="1:57" s="9" customFormat="1" ht="11.25" customHeight="1">
      <c r="A14" s="20">
        <v>13</v>
      </c>
      <c r="B14" s="20"/>
      <c r="C14" s="9" t="s">
        <v>21</v>
      </c>
      <c r="E14" s="9">
        <f t="shared" si="7"/>
        <v>15</v>
      </c>
      <c r="F14" s="10" t="s">
        <v>22</v>
      </c>
      <c r="G14" s="123">
        <v>107</v>
      </c>
      <c r="H14" s="7">
        <f>INT((G14*Valores!$C$2*100)+0.5)/100</f>
        <v>641.93</v>
      </c>
      <c r="I14" s="113">
        <v>3779</v>
      </c>
      <c r="J14" s="77">
        <f>INT((I14*Valores!$C$2*100)+0.5)/100</f>
        <v>22671.37</v>
      </c>
      <c r="K14" s="144">
        <v>219</v>
      </c>
      <c r="L14" s="77">
        <f>INT((K14*Valores!$C$2*100)+0.5)/100</f>
        <v>1313.85</v>
      </c>
      <c r="M14" s="123">
        <v>0</v>
      </c>
      <c r="N14" s="77">
        <f>INT((M14*Valores!$C$2*100)+0.5)/100</f>
        <v>0</v>
      </c>
      <c r="O14" s="77">
        <f t="shared" si="0"/>
        <v>0</v>
      </c>
      <c r="P14" s="77">
        <f t="shared" si="1"/>
        <v>12967.064999999999</v>
      </c>
      <c r="Q14" s="78">
        <f>Valores!$C$16</f>
        <v>3718.92</v>
      </c>
      <c r="R14" s="78">
        <f>Valores!$D$4</f>
        <v>2683.49</v>
      </c>
      <c r="S14" s="77">
        <v>0</v>
      </c>
      <c r="T14" s="79">
        <f>Valores!$C$43</f>
        <v>1306.98</v>
      </c>
      <c r="U14" s="77">
        <v>0</v>
      </c>
      <c r="V14" s="77">
        <f t="shared" si="2"/>
        <v>0</v>
      </c>
      <c r="W14" s="78">
        <f t="shared" si="10"/>
        <v>24627.149999999998</v>
      </c>
      <c r="X14" s="78">
        <f t="shared" si="11"/>
        <v>9850.86</v>
      </c>
      <c r="Y14" s="116">
        <v>0</v>
      </c>
      <c r="Z14" s="77">
        <f>Y14*Valores!$C$2</f>
        <v>0</v>
      </c>
      <c r="AA14" s="77">
        <v>0</v>
      </c>
      <c r="AB14" s="89">
        <f>Valores!$C$29</f>
        <v>151.15</v>
      </c>
      <c r="AC14" s="77">
        <f t="shared" si="3"/>
        <v>0</v>
      </c>
      <c r="AD14" s="77">
        <f>Valores!$C$30</f>
        <v>151.15</v>
      </c>
      <c r="AE14" s="116">
        <v>0</v>
      </c>
      <c r="AF14" s="77">
        <f>INT(((AE14*Valores!$C$2)*100)+0.5)/100</f>
        <v>0</v>
      </c>
      <c r="AG14" s="77">
        <f>Valores!$C$58</f>
        <v>307.46</v>
      </c>
      <c r="AH14" s="77">
        <f>Valores!$C$60</f>
        <v>87.85</v>
      </c>
      <c r="AI14" s="77">
        <f>SUM(H14,J14,L14,N14,O14,P14,Q14,R14,S14,T14,V14,W14,X14,Z14,AA14,AB14,AC14,AD14,AF14,AG14,AH14)*Valores!$C$63</f>
        <v>0</v>
      </c>
      <c r="AJ14" s="15">
        <f t="shared" si="4"/>
        <v>80479.22499999999</v>
      </c>
      <c r="AK14" s="78">
        <f>Valores!$C$35</f>
        <v>415.59</v>
      </c>
      <c r="AL14" s="79">
        <f>Valores!$C$9</f>
        <v>351.39</v>
      </c>
      <c r="AM14" s="89">
        <f>Valores!$C$50</f>
        <v>257.67</v>
      </c>
      <c r="AN14" s="79">
        <f>IF($H$4="SI",SUM(AL14+AM14),AL14)*Valores!$C$63</f>
        <v>0</v>
      </c>
      <c r="AO14" s="12">
        <f t="shared" si="8"/>
        <v>1024.65</v>
      </c>
      <c r="AP14" s="152">
        <f>AJ14*-Valores!$C$65</f>
        <v>-10462.29925</v>
      </c>
      <c r="AQ14" s="152">
        <f>AJ14*-Valores!$C$66</f>
        <v>-402.396125</v>
      </c>
      <c r="AR14" s="78">
        <f>AJ14*-Valores!$C$67</f>
        <v>-3621.5651249999996</v>
      </c>
      <c r="AS14" s="78">
        <f>AJ14*-Valores!$C$68</f>
        <v>-2172.9390750000002</v>
      </c>
      <c r="AT14" s="78">
        <f>AJ14*-Valores!$C$69</f>
        <v>-241.43767499999998</v>
      </c>
      <c r="AU14" s="15">
        <f t="shared" si="5"/>
        <v>67017.6145</v>
      </c>
      <c r="AV14" s="15">
        <f t="shared" si="6"/>
        <v>68224.802875</v>
      </c>
      <c r="AW14" s="78">
        <f>AJ14*Valores!$C$70</f>
        <v>12876.676</v>
      </c>
      <c r="AX14" s="78">
        <f>AJ14*Valores!$C$71</f>
        <v>3621.5651249999996</v>
      </c>
      <c r="AY14" s="78">
        <f>AJ14*Valores!$C$73</f>
        <v>804.79225</v>
      </c>
      <c r="AZ14" s="78">
        <f>AJ14*Valores!$C$74</f>
        <v>2816.772875</v>
      </c>
      <c r="BA14" s="78">
        <f>AJ14*Valores!$C$75</f>
        <v>482.87534999999997</v>
      </c>
      <c r="BB14" s="78">
        <f t="shared" si="9"/>
        <v>4345.8781500000005</v>
      </c>
      <c r="BC14" s="20">
        <v>33</v>
      </c>
      <c r="BD14" s="20">
        <v>45</v>
      </c>
      <c r="BE14" s="9" t="s">
        <v>461</v>
      </c>
    </row>
    <row r="15" spans="1:57" s="9" customFormat="1" ht="11.25" customHeight="1">
      <c r="A15" s="20">
        <v>14</v>
      </c>
      <c r="B15" s="20"/>
      <c r="C15" s="9" t="s">
        <v>23</v>
      </c>
      <c r="E15" s="9">
        <f t="shared" si="7"/>
        <v>20</v>
      </c>
      <c r="F15" s="10" t="s">
        <v>24</v>
      </c>
      <c r="G15" s="123">
        <v>100</v>
      </c>
      <c r="H15" s="7">
        <f>INT((G15*Valores!$C$2*100)+0.5)/100</f>
        <v>599.93</v>
      </c>
      <c r="I15" s="113">
        <v>3727</v>
      </c>
      <c r="J15" s="77">
        <f>INT((I15*Valores!$C$2*100)+0.5)/100</f>
        <v>22359.41</v>
      </c>
      <c r="K15" s="144">
        <v>219</v>
      </c>
      <c r="L15" s="77">
        <f>INT((K15*Valores!$C$2*100)+0.5)/100</f>
        <v>1313.85</v>
      </c>
      <c r="M15" s="123">
        <v>0</v>
      </c>
      <c r="N15" s="77">
        <f>INT((M15*Valores!$C$2*100)+0.5)/100</f>
        <v>0</v>
      </c>
      <c r="O15" s="77">
        <f t="shared" si="0"/>
        <v>0</v>
      </c>
      <c r="P15" s="77">
        <f t="shared" si="1"/>
        <v>12790.085</v>
      </c>
      <c r="Q15" s="78">
        <f>Valores!$C$16</f>
        <v>3718.92</v>
      </c>
      <c r="R15" s="78">
        <f>Valores!$D$4</f>
        <v>2683.49</v>
      </c>
      <c r="S15" s="77">
        <v>0</v>
      </c>
      <c r="T15" s="79">
        <f>Valores!$C$43</f>
        <v>1306.98</v>
      </c>
      <c r="U15" s="77">
        <v>0</v>
      </c>
      <c r="V15" s="77">
        <f t="shared" si="2"/>
        <v>0</v>
      </c>
      <c r="W15" s="78">
        <f t="shared" si="10"/>
        <v>24273.19</v>
      </c>
      <c r="X15" s="78">
        <f t="shared" si="11"/>
        <v>9709.28</v>
      </c>
      <c r="Y15" s="116">
        <v>0</v>
      </c>
      <c r="Z15" s="77">
        <f>Y15*Valores!$C$2</f>
        <v>0</v>
      </c>
      <c r="AA15" s="77">
        <v>0</v>
      </c>
      <c r="AB15" s="89">
        <f>Valores!$C$29</f>
        <v>151.15</v>
      </c>
      <c r="AC15" s="77">
        <f t="shared" si="3"/>
        <v>0</v>
      </c>
      <c r="AD15" s="77">
        <f>Valores!$C$30</f>
        <v>151.15</v>
      </c>
      <c r="AE15" s="116">
        <v>0</v>
      </c>
      <c r="AF15" s="77">
        <f>INT(((AE15*Valores!$C$2)*100)+0.5)/100</f>
        <v>0</v>
      </c>
      <c r="AG15" s="77">
        <f>Valores!$C$58</f>
        <v>307.46</v>
      </c>
      <c r="AH15" s="77">
        <f>Valores!$C$60</f>
        <v>87.85</v>
      </c>
      <c r="AI15" s="77">
        <f>SUM(H15,J15,L15,N15,O15,P15,Q15,R15,S15,T15,V15,W15,X15,Z15,AA15,AB15,AC15,AD15,AF15,AG15,AH15)*Valores!$C$63</f>
        <v>0</v>
      </c>
      <c r="AJ15" s="15">
        <f t="shared" si="4"/>
        <v>79452.74499999998</v>
      </c>
      <c r="AK15" s="78">
        <f>Valores!$C$35</f>
        <v>415.59</v>
      </c>
      <c r="AL15" s="79">
        <f>Valores!$C$9</f>
        <v>351.39</v>
      </c>
      <c r="AM15" s="89">
        <f>Valores!$C$50</f>
        <v>257.67</v>
      </c>
      <c r="AN15" s="79">
        <f>IF($H$4="SI",SUM(AL15+AM15),AL15)*Valores!$C$63</f>
        <v>0</v>
      </c>
      <c r="AO15" s="12">
        <f t="shared" si="8"/>
        <v>1024.65</v>
      </c>
      <c r="AP15" s="152">
        <f>AJ15*-Valores!$C$65</f>
        <v>-10328.856849999998</v>
      </c>
      <c r="AQ15" s="152">
        <f>AJ15*-Valores!$C$66</f>
        <v>-397.2637249999999</v>
      </c>
      <c r="AR15" s="78">
        <f>AJ15*-Valores!$C$67</f>
        <v>-3575.373524999999</v>
      </c>
      <c r="AS15" s="78">
        <f>AJ15*-Valores!$C$68</f>
        <v>-2145.2241149999995</v>
      </c>
      <c r="AT15" s="78">
        <f>AJ15*-Valores!$C$69</f>
        <v>-238.35823499999995</v>
      </c>
      <c r="AU15" s="15">
        <f t="shared" si="5"/>
        <v>66175.90089999998</v>
      </c>
      <c r="AV15" s="15">
        <f t="shared" si="6"/>
        <v>67367.69207499997</v>
      </c>
      <c r="AW15" s="78">
        <f>AJ15*Valores!$C$70</f>
        <v>12712.439199999997</v>
      </c>
      <c r="AX15" s="78">
        <f>AJ15*Valores!$C$71</f>
        <v>3575.373524999999</v>
      </c>
      <c r="AY15" s="78">
        <f>AJ15*Valores!$C$73</f>
        <v>794.5274499999998</v>
      </c>
      <c r="AZ15" s="78">
        <f>AJ15*Valores!$C$74</f>
        <v>2780.8460749999995</v>
      </c>
      <c r="BA15" s="78">
        <f>AJ15*Valores!$C$75</f>
        <v>476.7164699999999</v>
      </c>
      <c r="BB15" s="78">
        <f t="shared" si="9"/>
        <v>4290.448229999999</v>
      </c>
      <c r="BC15" s="20">
        <v>33</v>
      </c>
      <c r="BD15" s="20">
        <v>45</v>
      </c>
      <c r="BE15" s="9" t="s">
        <v>461</v>
      </c>
    </row>
    <row r="16" spans="1:57" s="9" customFormat="1" ht="11.25" customHeight="1">
      <c r="A16" s="55">
        <v>15</v>
      </c>
      <c r="B16" s="55" t="s">
        <v>458</v>
      </c>
      <c r="C16" s="52" t="s">
        <v>25</v>
      </c>
      <c r="D16" s="52"/>
      <c r="E16" s="52">
        <f t="shared" si="7"/>
        <v>22</v>
      </c>
      <c r="F16" s="53" t="s">
        <v>26</v>
      </c>
      <c r="G16" s="124">
        <v>100</v>
      </c>
      <c r="H16" s="129">
        <f>INT((G16*Valores!$C$2*100)+0.5)/100</f>
        <v>599.93</v>
      </c>
      <c r="I16" s="114">
        <v>3727</v>
      </c>
      <c r="J16" s="80">
        <f>INT((I16*Valores!$C$2*100)+0.5)/100</f>
        <v>22359.41</v>
      </c>
      <c r="K16" s="145">
        <v>219</v>
      </c>
      <c r="L16" s="80">
        <f>INT((K16*Valores!$C$2*100)+0.5)/100</f>
        <v>1313.85</v>
      </c>
      <c r="M16" s="124">
        <v>0</v>
      </c>
      <c r="N16" s="80">
        <f>INT((M16*Valores!$C$2*100)+0.5)/100</f>
        <v>0</v>
      </c>
      <c r="O16" s="80">
        <f t="shared" si="0"/>
        <v>0</v>
      </c>
      <c r="P16" s="80">
        <f t="shared" si="1"/>
        <v>12790.085</v>
      </c>
      <c r="Q16" s="81">
        <f>Valores!$C$16</f>
        <v>3718.92</v>
      </c>
      <c r="R16" s="81">
        <f>Valores!$D$4</f>
        <v>2683.49</v>
      </c>
      <c r="S16" s="80">
        <v>0</v>
      </c>
      <c r="T16" s="82">
        <f>Valores!$C$43</f>
        <v>1306.98</v>
      </c>
      <c r="U16" s="80">
        <v>0</v>
      </c>
      <c r="V16" s="80">
        <f t="shared" si="2"/>
        <v>0</v>
      </c>
      <c r="W16" s="81">
        <f t="shared" si="10"/>
        <v>24273.19</v>
      </c>
      <c r="X16" s="81">
        <f t="shared" si="11"/>
        <v>9709.28</v>
      </c>
      <c r="Y16" s="115">
        <v>0</v>
      </c>
      <c r="Z16" s="80">
        <f>Y16*Valores!$C$2</f>
        <v>0</v>
      </c>
      <c r="AA16" s="80">
        <v>0</v>
      </c>
      <c r="AB16" s="90">
        <f>Valores!$C$29</f>
        <v>151.15</v>
      </c>
      <c r="AC16" s="80">
        <f t="shared" si="3"/>
        <v>0</v>
      </c>
      <c r="AD16" s="80">
        <f>Valores!$C$30</f>
        <v>151.15</v>
      </c>
      <c r="AE16" s="115">
        <v>0</v>
      </c>
      <c r="AF16" s="80">
        <f>INT(((AE16*Valores!$C$2)*100)+0.5)/100</f>
        <v>0</v>
      </c>
      <c r="AG16" s="80">
        <f>Valores!$C$58</f>
        <v>307.46</v>
      </c>
      <c r="AH16" s="80">
        <f>Valores!$C$60</f>
        <v>87.85</v>
      </c>
      <c r="AI16" s="80">
        <f>SUM(H16,J16,L16,N16,O16,P16,Q16,R16,S16,T16,V16,W16,X16,Z16,AA16,AB16,AC16,AD16,AF16,AG16,AH16)*Valores!$C$63</f>
        <v>0</v>
      </c>
      <c r="AJ16" s="54">
        <f t="shared" si="4"/>
        <v>79452.74499999998</v>
      </c>
      <c r="AK16" s="81">
        <f>Valores!$C$35</f>
        <v>415.59</v>
      </c>
      <c r="AL16" s="82">
        <f>Valores!$C$9</f>
        <v>351.39</v>
      </c>
      <c r="AM16" s="90">
        <f>Valores!$C$50</f>
        <v>257.67</v>
      </c>
      <c r="AN16" s="82">
        <f>IF($H$4="SI",SUM(AL16+AM16),AL16)*Valores!$C$63</f>
        <v>0</v>
      </c>
      <c r="AO16" s="185">
        <f t="shared" si="8"/>
        <v>1024.65</v>
      </c>
      <c r="AP16" s="153">
        <f>AJ16*-Valores!$C$65</f>
        <v>-10328.856849999998</v>
      </c>
      <c r="AQ16" s="153">
        <f>AJ16*-Valores!$C$66</f>
        <v>-397.2637249999999</v>
      </c>
      <c r="AR16" s="81">
        <f>AJ16*-Valores!$C$67</f>
        <v>-3575.373524999999</v>
      </c>
      <c r="AS16" s="81">
        <f>AJ16*-Valores!$C$68</f>
        <v>-2145.2241149999995</v>
      </c>
      <c r="AT16" s="81">
        <f>AJ16*-Valores!$C$69</f>
        <v>-238.35823499999995</v>
      </c>
      <c r="AU16" s="54">
        <f t="shared" si="5"/>
        <v>66175.90089999998</v>
      </c>
      <c r="AV16" s="54">
        <f t="shared" si="6"/>
        <v>67367.69207499997</v>
      </c>
      <c r="AW16" s="81">
        <f>AJ16*Valores!$C$70</f>
        <v>12712.439199999997</v>
      </c>
      <c r="AX16" s="81">
        <f>AJ16*Valores!$C$71</f>
        <v>3575.373524999999</v>
      </c>
      <c r="AY16" s="81">
        <f>AJ16*Valores!$C$73</f>
        <v>794.5274499999998</v>
      </c>
      <c r="AZ16" s="81">
        <f>AJ16*Valores!$C$74</f>
        <v>2780.8460749999995</v>
      </c>
      <c r="BA16" s="81">
        <f>AJ16*Valores!$C$75</f>
        <v>476.7164699999999</v>
      </c>
      <c r="BB16" s="81">
        <f t="shared" si="9"/>
        <v>4290.448229999999</v>
      </c>
      <c r="BC16" s="55">
        <v>33</v>
      </c>
      <c r="BD16" s="55">
        <v>45</v>
      </c>
      <c r="BE16" s="52" t="s">
        <v>461</v>
      </c>
    </row>
    <row r="17" spans="1:57" s="9" customFormat="1" ht="11.25" customHeight="1">
      <c r="A17" s="20">
        <v>16</v>
      </c>
      <c r="B17" s="20"/>
      <c r="C17" s="9" t="s">
        <v>27</v>
      </c>
      <c r="E17" s="9">
        <f t="shared" si="7"/>
        <v>30</v>
      </c>
      <c r="F17" s="10" t="s">
        <v>28</v>
      </c>
      <c r="G17" s="123">
        <v>100</v>
      </c>
      <c r="H17" s="7">
        <f>INT((G17*Valores!$C$2*100)+0.5)/100</f>
        <v>599.93</v>
      </c>
      <c r="I17" s="113">
        <v>3727</v>
      </c>
      <c r="J17" s="77">
        <f>INT((I17*Valores!$C$2*100)+0.5)/100</f>
        <v>22359.41</v>
      </c>
      <c r="K17" s="144">
        <v>219</v>
      </c>
      <c r="L17" s="77">
        <f>INT((K17*Valores!$C$2*100)+0.5)/100</f>
        <v>1313.85</v>
      </c>
      <c r="M17" s="123">
        <v>0</v>
      </c>
      <c r="N17" s="77">
        <f>INT((M17*Valores!$C$2*100)+0.5)/100</f>
        <v>0</v>
      </c>
      <c r="O17" s="77">
        <f t="shared" si="0"/>
        <v>0</v>
      </c>
      <c r="P17" s="77">
        <f t="shared" si="1"/>
        <v>12790.085</v>
      </c>
      <c r="Q17" s="78">
        <f>Valores!$C$16</f>
        <v>3718.92</v>
      </c>
      <c r="R17" s="78">
        <f>Valores!$D$4</f>
        <v>2683.49</v>
      </c>
      <c r="S17" s="77">
        <v>0</v>
      </c>
      <c r="T17" s="79">
        <f>Valores!$C$43</f>
        <v>1306.98</v>
      </c>
      <c r="U17" s="77">
        <v>0</v>
      </c>
      <c r="V17" s="77">
        <f t="shared" si="2"/>
        <v>0</v>
      </c>
      <c r="W17" s="78">
        <f t="shared" si="10"/>
        <v>24273.19</v>
      </c>
      <c r="X17" s="78">
        <f t="shared" si="11"/>
        <v>9709.28</v>
      </c>
      <c r="Y17" s="116">
        <v>0</v>
      </c>
      <c r="Z17" s="77">
        <f>Y17*Valores!$C$2</f>
        <v>0</v>
      </c>
      <c r="AA17" s="77">
        <v>0</v>
      </c>
      <c r="AB17" s="89">
        <f>Valores!$C$29</f>
        <v>151.15</v>
      </c>
      <c r="AC17" s="77">
        <f t="shared" si="3"/>
        <v>0</v>
      </c>
      <c r="AD17" s="77">
        <f>Valores!$C$30</f>
        <v>151.15</v>
      </c>
      <c r="AE17" s="116">
        <v>0</v>
      </c>
      <c r="AF17" s="77">
        <f>INT(((AE17*Valores!$C$2)*100)+0.5)/100</f>
        <v>0</v>
      </c>
      <c r="AG17" s="77">
        <f>Valores!$C$58</f>
        <v>307.46</v>
      </c>
      <c r="AH17" s="77">
        <f>Valores!$C$60</f>
        <v>87.85</v>
      </c>
      <c r="AI17" s="77">
        <f>SUM(H17,J17,L17,N17,O17,P17,Q17,R17,S17,T17,V17,W17,X17,Z17,AA17,AB17,AC17,AD17,AF17,AG17,AH17)*Valores!$C$63</f>
        <v>0</v>
      </c>
      <c r="AJ17" s="15">
        <f t="shared" si="4"/>
        <v>79452.74499999998</v>
      </c>
      <c r="AK17" s="78">
        <f>Valores!$C$35</f>
        <v>415.59</v>
      </c>
      <c r="AL17" s="79">
        <f>Valores!$C$9</f>
        <v>351.39</v>
      </c>
      <c r="AM17" s="89">
        <f>Valores!$C$50</f>
        <v>257.67</v>
      </c>
      <c r="AN17" s="79">
        <f>IF($H$4="SI",SUM(AL17+AM17),AL17)*Valores!$C$63</f>
        <v>0</v>
      </c>
      <c r="AO17" s="12">
        <f t="shared" si="8"/>
        <v>1024.65</v>
      </c>
      <c r="AP17" s="152">
        <f>AJ17*-Valores!$C$65</f>
        <v>-10328.856849999998</v>
      </c>
      <c r="AQ17" s="152">
        <f>AJ17*-Valores!$C$66</f>
        <v>-397.2637249999999</v>
      </c>
      <c r="AR17" s="78">
        <f>AJ17*-Valores!$C$67</f>
        <v>-3575.373524999999</v>
      </c>
      <c r="AS17" s="78">
        <f>AJ17*-Valores!$C$68</f>
        <v>-2145.2241149999995</v>
      </c>
      <c r="AT17" s="78">
        <f>AJ17*-Valores!$C$69</f>
        <v>-238.35823499999995</v>
      </c>
      <c r="AU17" s="15">
        <f t="shared" si="5"/>
        <v>66175.90089999998</v>
      </c>
      <c r="AV17" s="15">
        <f t="shared" si="6"/>
        <v>67367.69207499997</v>
      </c>
      <c r="AW17" s="78">
        <f>AJ17*Valores!$C$70</f>
        <v>12712.439199999997</v>
      </c>
      <c r="AX17" s="78">
        <f>AJ17*Valores!$C$71</f>
        <v>3575.373524999999</v>
      </c>
      <c r="AY17" s="78">
        <f>AJ17*Valores!$C$73</f>
        <v>794.5274499999998</v>
      </c>
      <c r="AZ17" s="78">
        <f>AJ17*Valores!$C$74</f>
        <v>2780.8460749999995</v>
      </c>
      <c r="BA17" s="78">
        <f>AJ17*Valores!$C$75</f>
        <v>476.7164699999999</v>
      </c>
      <c r="BB17" s="78">
        <f t="shared" si="9"/>
        <v>4290.448229999999</v>
      </c>
      <c r="BC17" s="20"/>
      <c r="BD17" s="20">
        <v>45</v>
      </c>
      <c r="BE17" s="9" t="s">
        <v>461</v>
      </c>
    </row>
    <row r="18" spans="1:57" s="9" customFormat="1" ht="11.25" customHeight="1">
      <c r="A18" s="20">
        <v>17</v>
      </c>
      <c r="B18" s="20"/>
      <c r="C18" s="9" t="s">
        <v>29</v>
      </c>
      <c r="E18" s="9">
        <f t="shared" si="7"/>
        <v>24</v>
      </c>
      <c r="F18" s="10" t="s">
        <v>30</v>
      </c>
      <c r="G18" s="123">
        <v>100</v>
      </c>
      <c r="H18" s="7">
        <f>INT((G18*Valores!$C$2*100)+0.5)/100</f>
        <v>599.93</v>
      </c>
      <c r="I18" s="113">
        <v>3727</v>
      </c>
      <c r="J18" s="77">
        <f>INT((I18*Valores!$C$2*100)+0.5)/100</f>
        <v>22359.41</v>
      </c>
      <c r="K18" s="144">
        <v>219</v>
      </c>
      <c r="L18" s="77">
        <f>INT((K18*Valores!$C$2*100)+0.5)/100</f>
        <v>1313.85</v>
      </c>
      <c r="M18" s="123">
        <v>0</v>
      </c>
      <c r="N18" s="77">
        <f>INT((M18*Valores!$C$2*100)+0.5)/100</f>
        <v>0</v>
      </c>
      <c r="O18" s="77">
        <f t="shared" si="0"/>
        <v>0</v>
      </c>
      <c r="P18" s="77">
        <f t="shared" si="1"/>
        <v>12790.085</v>
      </c>
      <c r="Q18" s="78">
        <f>Valores!$C$16</f>
        <v>3718.92</v>
      </c>
      <c r="R18" s="78">
        <f>Valores!$D$4</f>
        <v>2683.49</v>
      </c>
      <c r="S18" s="77">
        <v>0</v>
      </c>
      <c r="T18" s="79">
        <f>Valores!$C$43</f>
        <v>1306.98</v>
      </c>
      <c r="U18" s="77">
        <v>0</v>
      </c>
      <c r="V18" s="77">
        <f t="shared" si="2"/>
        <v>0</v>
      </c>
      <c r="W18" s="78">
        <f t="shared" si="10"/>
        <v>24273.19</v>
      </c>
      <c r="X18" s="78">
        <f t="shared" si="11"/>
        <v>9709.28</v>
      </c>
      <c r="Y18" s="116">
        <v>0</v>
      </c>
      <c r="Z18" s="77">
        <f>Y18*Valores!$C$2</f>
        <v>0</v>
      </c>
      <c r="AA18" s="77">
        <v>0</v>
      </c>
      <c r="AB18" s="89">
        <f>Valores!$C$29</f>
        <v>151.15</v>
      </c>
      <c r="AC18" s="77">
        <f t="shared" si="3"/>
        <v>0</v>
      </c>
      <c r="AD18" s="77">
        <f>Valores!$C$30</f>
        <v>151.15</v>
      </c>
      <c r="AE18" s="116">
        <v>0</v>
      </c>
      <c r="AF18" s="77">
        <f>INT(((AE18*Valores!$C$2)*100)+0.5)/100</f>
        <v>0</v>
      </c>
      <c r="AG18" s="77">
        <f>Valores!$C$58</f>
        <v>307.46</v>
      </c>
      <c r="AH18" s="77">
        <f>Valores!$C$60</f>
        <v>87.85</v>
      </c>
      <c r="AI18" s="77">
        <f>SUM(H18,J18,L18,N18,O18,P18,Q18,R18,S18,T18,V18,W18,X18,Z18,AA18,AB18,AC18,AD18,AF18,AG18,AH18)*Valores!$C$63</f>
        <v>0</v>
      </c>
      <c r="AJ18" s="15">
        <f t="shared" si="4"/>
        <v>79452.74499999998</v>
      </c>
      <c r="AK18" s="78">
        <f>Valores!$C$35</f>
        <v>415.59</v>
      </c>
      <c r="AL18" s="79">
        <f>Valores!$C$9</f>
        <v>351.39</v>
      </c>
      <c r="AM18" s="89">
        <f>Valores!$C$50</f>
        <v>257.67</v>
      </c>
      <c r="AN18" s="79">
        <f>IF($H$4="SI",SUM(AL18+AM18),AL18)*Valores!$C$63</f>
        <v>0</v>
      </c>
      <c r="AO18" s="12">
        <f t="shared" si="8"/>
        <v>1024.65</v>
      </c>
      <c r="AP18" s="152">
        <f>AJ18*-Valores!$C$65</f>
        <v>-10328.856849999998</v>
      </c>
      <c r="AQ18" s="152">
        <f>AJ18*-Valores!$C$66</f>
        <v>-397.2637249999999</v>
      </c>
      <c r="AR18" s="78">
        <f>AJ18*-Valores!$C$67</f>
        <v>-3575.373524999999</v>
      </c>
      <c r="AS18" s="78">
        <f>AJ18*-Valores!$C$68</f>
        <v>-2145.2241149999995</v>
      </c>
      <c r="AT18" s="78">
        <f>AJ18*-Valores!$C$69</f>
        <v>-238.35823499999995</v>
      </c>
      <c r="AU18" s="15">
        <f t="shared" si="5"/>
        <v>66175.90089999998</v>
      </c>
      <c r="AV18" s="15">
        <f t="shared" si="6"/>
        <v>67367.69207499997</v>
      </c>
      <c r="AW18" s="78">
        <f>AJ18*Valores!$C$70</f>
        <v>12712.439199999997</v>
      </c>
      <c r="AX18" s="78">
        <f>AJ18*Valores!$C$71</f>
        <v>3575.373524999999</v>
      </c>
      <c r="AY18" s="78">
        <f>AJ18*Valores!$C$73</f>
        <v>794.5274499999998</v>
      </c>
      <c r="AZ18" s="78">
        <f>AJ18*Valores!$C$74</f>
        <v>2780.8460749999995</v>
      </c>
      <c r="BA18" s="78">
        <f>AJ18*Valores!$C$75</f>
        <v>476.7164699999999</v>
      </c>
      <c r="BB18" s="78">
        <f t="shared" si="9"/>
        <v>4290.448229999999</v>
      </c>
      <c r="BC18" s="20"/>
      <c r="BD18" s="20">
        <v>45</v>
      </c>
      <c r="BE18" s="9" t="s">
        <v>461</v>
      </c>
    </row>
    <row r="19" spans="1:57" s="9" customFormat="1" ht="11.25" customHeight="1">
      <c r="A19" s="20">
        <v>18</v>
      </c>
      <c r="B19" s="20"/>
      <c r="C19" s="9" t="s">
        <v>31</v>
      </c>
      <c r="E19" s="9">
        <f t="shared" si="7"/>
        <v>20</v>
      </c>
      <c r="F19" s="10" t="s">
        <v>32</v>
      </c>
      <c r="G19" s="123">
        <v>100</v>
      </c>
      <c r="H19" s="7">
        <f>INT((G19*Valores!$C$2*100)+0.5)/100</f>
        <v>599.93</v>
      </c>
      <c r="I19" s="113">
        <v>3727</v>
      </c>
      <c r="J19" s="77">
        <f>INT((I19*Valores!$C$2*100)+0.5)/100</f>
        <v>22359.41</v>
      </c>
      <c r="K19" s="144">
        <v>219</v>
      </c>
      <c r="L19" s="77">
        <f>INT((K19*Valores!$C$2*100)+0.5)/100</f>
        <v>1313.85</v>
      </c>
      <c r="M19" s="123">
        <v>0</v>
      </c>
      <c r="N19" s="77">
        <f>INT((M19*Valores!$C$2*100)+0.5)/100</f>
        <v>0</v>
      </c>
      <c r="O19" s="77">
        <f t="shared" si="0"/>
        <v>0</v>
      </c>
      <c r="P19" s="77">
        <f t="shared" si="1"/>
        <v>12790.085</v>
      </c>
      <c r="Q19" s="78">
        <f>Valores!$C$16</f>
        <v>3718.92</v>
      </c>
      <c r="R19" s="78">
        <f>Valores!$D$4</f>
        <v>2683.49</v>
      </c>
      <c r="S19" s="77">
        <v>0</v>
      </c>
      <c r="T19" s="79">
        <f>Valores!$C$43</f>
        <v>1306.98</v>
      </c>
      <c r="U19" s="77">
        <v>0</v>
      </c>
      <c r="V19" s="77">
        <f t="shared" si="2"/>
        <v>0</v>
      </c>
      <c r="W19" s="78">
        <f t="shared" si="10"/>
        <v>24273.19</v>
      </c>
      <c r="X19" s="78">
        <f t="shared" si="11"/>
        <v>9709.28</v>
      </c>
      <c r="Y19" s="116">
        <v>0</v>
      </c>
      <c r="Z19" s="77">
        <f>Y19*Valores!$C$2</f>
        <v>0</v>
      </c>
      <c r="AA19" s="77">
        <v>0</v>
      </c>
      <c r="AB19" s="89">
        <f>Valores!$C$29</f>
        <v>151.15</v>
      </c>
      <c r="AC19" s="77">
        <f t="shared" si="3"/>
        <v>0</v>
      </c>
      <c r="AD19" s="77">
        <f>Valores!$C$30</f>
        <v>151.15</v>
      </c>
      <c r="AE19" s="116">
        <v>0</v>
      </c>
      <c r="AF19" s="77">
        <f>INT(((AE19*Valores!$C$2)*100)+0.5)/100</f>
        <v>0</v>
      </c>
      <c r="AG19" s="77">
        <f>Valores!$C$58</f>
        <v>307.46</v>
      </c>
      <c r="AH19" s="77">
        <f>Valores!$C$60</f>
        <v>87.85</v>
      </c>
      <c r="AI19" s="77">
        <f>SUM(H19,J19,L19,N19,O19,P19,Q19,R19,S19,T19,V19,W19,X19,Z19,AA19,AB19,AC19,AD19,AF19,AG19,AH19)*Valores!$C$63</f>
        <v>0</v>
      </c>
      <c r="AJ19" s="15">
        <f t="shared" si="4"/>
        <v>79452.74499999998</v>
      </c>
      <c r="AK19" s="78">
        <f>Valores!$C$35</f>
        <v>415.59</v>
      </c>
      <c r="AL19" s="79">
        <f>Valores!$C$9</f>
        <v>351.39</v>
      </c>
      <c r="AM19" s="89">
        <f>Valores!$C$50</f>
        <v>257.67</v>
      </c>
      <c r="AN19" s="79">
        <f>IF($H$4="SI",SUM(AL19+AM19),AL19)*Valores!$C$63</f>
        <v>0</v>
      </c>
      <c r="AO19" s="12">
        <f t="shared" si="8"/>
        <v>1024.65</v>
      </c>
      <c r="AP19" s="152">
        <f>AJ19*-Valores!$C$65</f>
        <v>-10328.856849999998</v>
      </c>
      <c r="AQ19" s="152">
        <f>AJ19*-Valores!$C$66</f>
        <v>-397.2637249999999</v>
      </c>
      <c r="AR19" s="78">
        <f>AJ19*-Valores!$C$67</f>
        <v>-3575.373524999999</v>
      </c>
      <c r="AS19" s="78">
        <f>AJ19*-Valores!$C$68</f>
        <v>-2145.2241149999995</v>
      </c>
      <c r="AT19" s="78">
        <f>AJ19*-Valores!$C$69</f>
        <v>-238.35823499999995</v>
      </c>
      <c r="AU19" s="15">
        <f t="shared" si="5"/>
        <v>66175.90089999998</v>
      </c>
      <c r="AV19" s="15">
        <f t="shared" si="6"/>
        <v>67367.69207499997</v>
      </c>
      <c r="AW19" s="78">
        <f>AJ19*Valores!$C$70</f>
        <v>12712.439199999997</v>
      </c>
      <c r="AX19" s="78">
        <f>AJ19*Valores!$C$71</f>
        <v>3575.373524999999</v>
      </c>
      <c r="AY19" s="78">
        <f>AJ19*Valores!$C$73</f>
        <v>794.5274499999998</v>
      </c>
      <c r="AZ19" s="78">
        <f>AJ19*Valores!$C$74</f>
        <v>2780.8460749999995</v>
      </c>
      <c r="BA19" s="78">
        <f>AJ19*Valores!$C$75</f>
        <v>476.7164699999999</v>
      </c>
      <c r="BB19" s="78">
        <f t="shared" si="9"/>
        <v>4290.448229999999</v>
      </c>
      <c r="BC19" s="20"/>
      <c r="BD19" s="20">
        <v>45</v>
      </c>
      <c r="BE19" s="9" t="s">
        <v>461</v>
      </c>
    </row>
    <row r="20" spans="1:57" s="9" customFormat="1" ht="11.25" customHeight="1">
      <c r="A20" s="20">
        <v>19</v>
      </c>
      <c r="B20" s="20"/>
      <c r="C20" s="9" t="s">
        <v>33</v>
      </c>
      <c r="E20" s="9">
        <f t="shared" si="7"/>
        <v>29</v>
      </c>
      <c r="F20" s="10" t="s">
        <v>34</v>
      </c>
      <c r="G20" s="123">
        <v>107</v>
      </c>
      <c r="H20" s="7">
        <f>INT((G20*Valores!$C$2*100)+0.5)/100</f>
        <v>641.93</v>
      </c>
      <c r="I20" s="113">
        <v>3720</v>
      </c>
      <c r="J20" s="77">
        <f>INT((I20*Valores!$C$2*100)+0.5)/100</f>
        <v>22317.41</v>
      </c>
      <c r="K20" s="144">
        <v>1226</v>
      </c>
      <c r="L20" s="77">
        <f>INT((K20*Valores!$C$2*100)+0.5)/100</f>
        <v>7355.15</v>
      </c>
      <c r="M20" s="123">
        <v>0</v>
      </c>
      <c r="N20" s="77">
        <f>INT((M20*Valores!$C$2*100)+0.5)/100</f>
        <v>0</v>
      </c>
      <c r="O20" s="77">
        <f t="shared" si="0"/>
        <v>0</v>
      </c>
      <c r="P20" s="77">
        <f t="shared" si="1"/>
        <v>15810.734999999999</v>
      </c>
      <c r="Q20" s="78">
        <f>Valores!$C$19</f>
        <v>3894.61</v>
      </c>
      <c r="R20" s="78">
        <f>Valores!$D$4</f>
        <v>2683.49</v>
      </c>
      <c r="S20" s="77">
        <v>0</v>
      </c>
      <c r="T20" s="79">
        <f>Valores!$C$43</f>
        <v>1306.98</v>
      </c>
      <c r="U20" s="77">
        <f>Valores!$C$23</f>
        <v>2584.33</v>
      </c>
      <c r="V20" s="77">
        <f t="shared" si="2"/>
        <v>3876.495</v>
      </c>
      <c r="W20" s="77">
        <v>0</v>
      </c>
      <c r="X20" s="77">
        <v>0</v>
      </c>
      <c r="Y20" s="116">
        <v>0</v>
      </c>
      <c r="Z20" s="77">
        <f>Y20*Valores!$C$2</f>
        <v>0</v>
      </c>
      <c r="AA20" s="77">
        <v>0</v>
      </c>
      <c r="AB20" s="89">
        <f>Valores!$C$29</f>
        <v>151.15</v>
      </c>
      <c r="AC20" s="77">
        <f t="shared" si="3"/>
        <v>0</v>
      </c>
      <c r="AD20" s="77">
        <f>Valores!$C$30</f>
        <v>151.15</v>
      </c>
      <c r="AE20" s="116">
        <v>0</v>
      </c>
      <c r="AF20" s="77">
        <f>INT(((AE20*Valores!$C$2)*100)+0.5)/100</f>
        <v>0</v>
      </c>
      <c r="AG20" s="77">
        <f>Valores!$C$58</f>
        <v>307.46</v>
      </c>
      <c r="AH20" s="77">
        <f>Valores!$C$60</f>
        <v>87.85</v>
      </c>
      <c r="AI20" s="77">
        <f>SUM(H20,J20,L20,N20,O20,P20,Q20,R20,S20,T20,V20,W20,X20,Z20,AA20,AB20,AC20,AD20,AF20,AG20,AH20)*Valores!$C$63</f>
        <v>0</v>
      </c>
      <c r="AJ20" s="15">
        <f t="shared" si="4"/>
        <v>58584.41</v>
      </c>
      <c r="AK20" s="78">
        <f>Valores!$C$35</f>
        <v>415.59</v>
      </c>
      <c r="AL20" s="79">
        <f>Valores!$C$9</f>
        <v>351.39</v>
      </c>
      <c r="AM20" s="89">
        <f>Valores!$C$50</f>
        <v>257.67</v>
      </c>
      <c r="AN20" s="79">
        <f>IF($H$4="SI",SUM(AL20+AM20),AL20)*Valores!$C$63</f>
        <v>0</v>
      </c>
      <c r="AO20" s="12">
        <f t="shared" si="8"/>
        <v>1024.65</v>
      </c>
      <c r="AP20" s="152">
        <f>AJ20*-Valores!$C$65</f>
        <v>-7615.973300000001</v>
      </c>
      <c r="AQ20" s="152">
        <f>AJ20*-Valores!$C$66</f>
        <v>-292.92205</v>
      </c>
      <c r="AR20" s="78">
        <f>AJ20*-Valores!$C$67</f>
        <v>-2636.2984500000002</v>
      </c>
      <c r="AS20" s="78">
        <f>AJ20*-Valores!$C$68</f>
        <v>-1581.7790700000003</v>
      </c>
      <c r="AT20" s="78">
        <f>AJ20*-Valores!$C$69</f>
        <v>-175.75323</v>
      </c>
      <c r="AU20" s="15">
        <f t="shared" si="5"/>
        <v>49063.866200000004</v>
      </c>
      <c r="AV20" s="15">
        <f t="shared" si="6"/>
        <v>49942.63235000001</v>
      </c>
      <c r="AW20" s="78">
        <f>AJ20*Valores!$C$70</f>
        <v>9373.5056</v>
      </c>
      <c r="AX20" s="78">
        <f>AJ20*Valores!$C$71</f>
        <v>2636.2984500000002</v>
      </c>
      <c r="AY20" s="78">
        <f>AJ20*Valores!$C$73</f>
        <v>585.8441</v>
      </c>
      <c r="AZ20" s="78">
        <f>AJ20*Valores!$C$74</f>
        <v>2050.4543500000004</v>
      </c>
      <c r="BA20" s="78">
        <f>AJ20*Valores!$C$75</f>
        <v>351.50646</v>
      </c>
      <c r="BB20" s="78">
        <f t="shared" si="9"/>
        <v>3163.55814</v>
      </c>
      <c r="BC20" s="20"/>
      <c r="BD20" s="20">
        <v>45</v>
      </c>
      <c r="BE20" s="9" t="s">
        <v>462</v>
      </c>
    </row>
    <row r="21" spans="1:57" s="9" customFormat="1" ht="11.25" customHeight="1">
      <c r="A21" s="55">
        <v>20</v>
      </c>
      <c r="B21" s="55" t="s">
        <v>458</v>
      </c>
      <c r="C21" s="52" t="s">
        <v>35</v>
      </c>
      <c r="D21" s="52"/>
      <c r="E21" s="52">
        <f t="shared" si="7"/>
        <v>20</v>
      </c>
      <c r="F21" s="53" t="s">
        <v>36</v>
      </c>
      <c r="G21" s="124">
        <v>100</v>
      </c>
      <c r="H21" s="129">
        <f>INT((G21*Valores!$C$2*100)+0.5)/100</f>
        <v>599.93</v>
      </c>
      <c r="I21" s="114">
        <v>3727</v>
      </c>
      <c r="J21" s="80">
        <f>INT((I21*Valores!$C$2*100)+0.5)/100</f>
        <v>22359.41</v>
      </c>
      <c r="K21" s="145">
        <v>219</v>
      </c>
      <c r="L21" s="80">
        <f>INT((K21*Valores!$C$2*100)+0.5)/100</f>
        <v>1313.85</v>
      </c>
      <c r="M21" s="124">
        <v>0</v>
      </c>
      <c r="N21" s="80">
        <f>INT((M21*Valores!$C$2*100)+0.5)/100</f>
        <v>0</v>
      </c>
      <c r="O21" s="80">
        <f t="shared" si="0"/>
        <v>0</v>
      </c>
      <c r="P21" s="80">
        <f t="shared" si="1"/>
        <v>12790.085</v>
      </c>
      <c r="Q21" s="81">
        <f>Valores!$C$16</f>
        <v>3718.92</v>
      </c>
      <c r="R21" s="81">
        <f>Valores!$D$4</f>
        <v>2683.49</v>
      </c>
      <c r="S21" s="80">
        <v>0</v>
      </c>
      <c r="T21" s="82">
        <f>Valores!$C$43</f>
        <v>1306.98</v>
      </c>
      <c r="U21" s="80">
        <v>0</v>
      </c>
      <c r="V21" s="80">
        <f t="shared" si="2"/>
        <v>0</v>
      </c>
      <c r="W21" s="81">
        <f>SUM(H21,J21,L21)</f>
        <v>24273.19</v>
      </c>
      <c r="X21" s="81">
        <f>INT((SUM(H21,J21,L21)*0.4*100)+0.49)/100</f>
        <v>9709.28</v>
      </c>
      <c r="Y21" s="115">
        <v>0</v>
      </c>
      <c r="Z21" s="80">
        <f>Y21*Valores!$C$2</f>
        <v>0</v>
      </c>
      <c r="AA21" s="80">
        <v>0</v>
      </c>
      <c r="AB21" s="90">
        <f>Valores!$C$29</f>
        <v>151.15</v>
      </c>
      <c r="AC21" s="80">
        <f t="shared" si="3"/>
        <v>0</v>
      </c>
      <c r="AD21" s="80">
        <f>Valores!$C$30</f>
        <v>151.15</v>
      </c>
      <c r="AE21" s="115">
        <v>0</v>
      </c>
      <c r="AF21" s="80">
        <f>INT(((AE21*Valores!$C$2)*100)+0.5)/100</f>
        <v>0</v>
      </c>
      <c r="AG21" s="80">
        <f>Valores!$C$58</f>
        <v>307.46</v>
      </c>
      <c r="AH21" s="80">
        <f>Valores!$C$60</f>
        <v>87.85</v>
      </c>
      <c r="AI21" s="80">
        <f>SUM(H21,J21,L21,N21,O21,P21,Q21,R21,S21,T21,V21,W21,X21,Z21,AA21,AB21,AC21,AD21,AF21,AG21,AH21)*Valores!$C$63</f>
        <v>0</v>
      </c>
      <c r="AJ21" s="54">
        <f t="shared" si="4"/>
        <v>79452.74499999998</v>
      </c>
      <c r="AK21" s="81">
        <f>Valores!$C$35</f>
        <v>415.59</v>
      </c>
      <c r="AL21" s="82">
        <f>Valores!$C$9</f>
        <v>351.39</v>
      </c>
      <c r="AM21" s="90">
        <f>Valores!$C$50</f>
        <v>257.67</v>
      </c>
      <c r="AN21" s="82">
        <f>IF($H$4="SI",SUM(AL21+AM21),AL21)*Valores!$C$63</f>
        <v>0</v>
      </c>
      <c r="AO21" s="185">
        <f t="shared" si="8"/>
        <v>1024.65</v>
      </c>
      <c r="AP21" s="153">
        <f>AJ21*-Valores!$C$65</f>
        <v>-10328.856849999998</v>
      </c>
      <c r="AQ21" s="153">
        <f>AJ21*-Valores!$C$66</f>
        <v>-397.2637249999999</v>
      </c>
      <c r="AR21" s="81">
        <f>AJ21*-Valores!$C$67</f>
        <v>-3575.373524999999</v>
      </c>
      <c r="AS21" s="81">
        <f>AJ21*-Valores!$C$68</f>
        <v>-2145.2241149999995</v>
      </c>
      <c r="AT21" s="81">
        <f>AJ21*-Valores!$C$69</f>
        <v>-238.35823499999995</v>
      </c>
      <c r="AU21" s="54">
        <f t="shared" si="5"/>
        <v>66175.90089999998</v>
      </c>
      <c r="AV21" s="54">
        <f t="shared" si="6"/>
        <v>67367.69207499997</v>
      </c>
      <c r="AW21" s="81">
        <f>AJ21*Valores!$C$70</f>
        <v>12712.439199999997</v>
      </c>
      <c r="AX21" s="81">
        <f>AJ21*Valores!$C$71</f>
        <v>3575.373524999999</v>
      </c>
      <c r="AY21" s="81">
        <f>AJ21*Valores!$C$73</f>
        <v>794.5274499999998</v>
      </c>
      <c r="AZ21" s="81">
        <f>AJ21*Valores!$C$74</f>
        <v>2780.8460749999995</v>
      </c>
      <c r="BA21" s="81">
        <f>AJ21*Valores!$C$75</f>
        <v>476.7164699999999</v>
      </c>
      <c r="BB21" s="81">
        <f t="shared" si="9"/>
        <v>4290.448229999999</v>
      </c>
      <c r="BC21" s="55"/>
      <c r="BD21" s="55">
        <v>45</v>
      </c>
      <c r="BE21" s="52" t="s">
        <v>461</v>
      </c>
    </row>
    <row r="22" spans="1:57" s="9" customFormat="1" ht="11.25" customHeight="1">
      <c r="A22" s="20">
        <v>21</v>
      </c>
      <c r="B22" s="20"/>
      <c r="C22" s="9" t="s">
        <v>37</v>
      </c>
      <c r="E22" s="9">
        <f t="shared" si="7"/>
        <v>18</v>
      </c>
      <c r="F22" s="10" t="s">
        <v>38</v>
      </c>
      <c r="G22" s="123">
        <v>100</v>
      </c>
      <c r="H22" s="7">
        <f>INT((G22*Valores!$C$2*100)+0.5)/100</f>
        <v>599.93</v>
      </c>
      <c r="I22" s="113">
        <v>3727</v>
      </c>
      <c r="J22" s="77">
        <f>INT((I22*Valores!$C$2*100)+0.5)/100</f>
        <v>22359.41</v>
      </c>
      <c r="K22" s="144">
        <v>219</v>
      </c>
      <c r="L22" s="77">
        <f>INT((K22*Valores!$C$2*100)+0.5)/100</f>
        <v>1313.85</v>
      </c>
      <c r="M22" s="123">
        <v>0</v>
      </c>
      <c r="N22" s="77">
        <f>INT((M22*Valores!$C$2*100)+0.5)/100</f>
        <v>0</v>
      </c>
      <c r="O22" s="77">
        <f t="shared" si="0"/>
        <v>0</v>
      </c>
      <c r="P22" s="77">
        <f t="shared" si="1"/>
        <v>12790.085</v>
      </c>
      <c r="Q22" s="78">
        <f>Valores!$C$16</f>
        <v>3718.92</v>
      </c>
      <c r="R22" s="78">
        <f>Valores!$D$4</f>
        <v>2683.49</v>
      </c>
      <c r="S22" s="77">
        <v>0</v>
      </c>
      <c r="T22" s="79">
        <f>Valores!$C$43</f>
        <v>1306.98</v>
      </c>
      <c r="U22" s="77">
        <v>0</v>
      </c>
      <c r="V22" s="77">
        <f t="shared" si="2"/>
        <v>0</v>
      </c>
      <c r="W22" s="78">
        <f>SUM(H22,J22,L22)</f>
        <v>24273.19</v>
      </c>
      <c r="X22" s="78">
        <f>INT((SUM(H22,J22,L22)*0.4*100)+0.49)/100</f>
        <v>9709.28</v>
      </c>
      <c r="Y22" s="116">
        <v>0</v>
      </c>
      <c r="Z22" s="77">
        <f>Y22*Valores!$C$2</f>
        <v>0</v>
      </c>
      <c r="AA22" s="77">
        <v>0</v>
      </c>
      <c r="AB22" s="89">
        <f>Valores!$C$29</f>
        <v>151.15</v>
      </c>
      <c r="AC22" s="77">
        <f t="shared" si="3"/>
        <v>0</v>
      </c>
      <c r="AD22" s="77">
        <f>Valores!$C$30</f>
        <v>151.15</v>
      </c>
      <c r="AE22" s="116">
        <v>0</v>
      </c>
      <c r="AF22" s="77">
        <f>INT(((AE22*Valores!$C$2)*100)+0.5)/100</f>
        <v>0</v>
      </c>
      <c r="AG22" s="77">
        <f>Valores!$C$58</f>
        <v>307.46</v>
      </c>
      <c r="AH22" s="77">
        <f>Valores!$C$60</f>
        <v>87.85</v>
      </c>
      <c r="AI22" s="77">
        <f>SUM(H22,J22,L22,N22,O22,P22,Q22,R22,S22,T22,V22,W22,X22,Z22,AA22,AB22,AC22,AD22,AF22,AG22,AH22)*Valores!$C$63</f>
        <v>0</v>
      </c>
      <c r="AJ22" s="15">
        <f t="shared" si="4"/>
        <v>79452.74499999998</v>
      </c>
      <c r="AK22" s="78">
        <f>Valores!$C$35</f>
        <v>415.59</v>
      </c>
      <c r="AL22" s="79">
        <f>Valores!$C$9</f>
        <v>351.39</v>
      </c>
      <c r="AM22" s="89">
        <f>Valores!$C$50</f>
        <v>257.67</v>
      </c>
      <c r="AN22" s="79">
        <f>IF($H$4="SI",SUM(AL22+AM22),AL22)*Valores!$C$63</f>
        <v>0</v>
      </c>
      <c r="AO22" s="12">
        <f t="shared" si="8"/>
        <v>1024.65</v>
      </c>
      <c r="AP22" s="152">
        <f>AJ22*-Valores!$C$65</f>
        <v>-10328.856849999998</v>
      </c>
      <c r="AQ22" s="152">
        <f>AJ22*-Valores!$C$66</f>
        <v>-397.2637249999999</v>
      </c>
      <c r="AR22" s="78">
        <f>AJ22*-Valores!$C$67</f>
        <v>-3575.373524999999</v>
      </c>
      <c r="AS22" s="78">
        <f>AJ22*-Valores!$C$68</f>
        <v>-2145.2241149999995</v>
      </c>
      <c r="AT22" s="78">
        <f>AJ22*-Valores!$C$69</f>
        <v>-238.35823499999995</v>
      </c>
      <c r="AU22" s="15">
        <f t="shared" si="5"/>
        <v>66175.90089999998</v>
      </c>
      <c r="AV22" s="15">
        <f t="shared" si="6"/>
        <v>67367.69207499997</v>
      </c>
      <c r="AW22" s="78">
        <f>AJ22*Valores!$C$70</f>
        <v>12712.439199999997</v>
      </c>
      <c r="AX22" s="78">
        <f>AJ22*Valores!$C$71</f>
        <v>3575.373524999999</v>
      </c>
      <c r="AY22" s="78">
        <f>AJ22*Valores!$C$73</f>
        <v>794.5274499999998</v>
      </c>
      <c r="AZ22" s="78">
        <f>AJ22*Valores!$C$74</f>
        <v>2780.8460749999995</v>
      </c>
      <c r="BA22" s="78">
        <f>AJ22*Valores!$C$75</f>
        <v>476.7164699999999</v>
      </c>
      <c r="BB22" s="78">
        <f t="shared" si="9"/>
        <v>4290.448229999999</v>
      </c>
      <c r="BC22" s="20"/>
      <c r="BD22" s="20">
        <v>45</v>
      </c>
      <c r="BE22" s="9" t="s">
        <v>461</v>
      </c>
    </row>
    <row r="23" spans="1:57" s="9" customFormat="1" ht="11.25" customHeight="1">
      <c r="A23" s="20">
        <v>22</v>
      </c>
      <c r="B23" s="20"/>
      <c r="C23" s="9" t="s">
        <v>39</v>
      </c>
      <c r="E23" s="9">
        <f t="shared" si="7"/>
        <v>18</v>
      </c>
      <c r="F23" s="10" t="s">
        <v>40</v>
      </c>
      <c r="G23" s="123">
        <v>100</v>
      </c>
      <c r="H23" s="7">
        <f>INT((G23*Valores!$C$2*100)+0.5)/100</f>
        <v>599.93</v>
      </c>
      <c r="I23" s="113">
        <v>3727</v>
      </c>
      <c r="J23" s="77">
        <f>INT((I23*Valores!$C$2*100)+0.5)/100</f>
        <v>22359.41</v>
      </c>
      <c r="K23" s="144">
        <v>219</v>
      </c>
      <c r="L23" s="77">
        <f>INT((K23*Valores!$C$2*100)+0.5)/100</f>
        <v>1313.85</v>
      </c>
      <c r="M23" s="123">
        <v>0</v>
      </c>
      <c r="N23" s="77">
        <f>INT((M23*Valores!$C$2*100)+0.5)/100</f>
        <v>0</v>
      </c>
      <c r="O23" s="77">
        <f t="shared" si="0"/>
        <v>0</v>
      </c>
      <c r="P23" s="77">
        <f t="shared" si="1"/>
        <v>12790.085</v>
      </c>
      <c r="Q23" s="78">
        <f>Valores!$C$16</f>
        <v>3718.92</v>
      </c>
      <c r="R23" s="78">
        <f>Valores!$D$4</f>
        <v>2683.49</v>
      </c>
      <c r="S23" s="77">
        <v>0</v>
      </c>
      <c r="T23" s="79">
        <f>Valores!$C$43</f>
        <v>1306.98</v>
      </c>
      <c r="U23" s="77">
        <v>0</v>
      </c>
      <c r="V23" s="77">
        <f t="shared" si="2"/>
        <v>0</v>
      </c>
      <c r="W23" s="78">
        <f>SUM(H23,J23,L23)</f>
        <v>24273.19</v>
      </c>
      <c r="X23" s="78">
        <f>INT((SUM(H23,J23,L23)*0.4*100)+0.49)/100</f>
        <v>9709.28</v>
      </c>
      <c r="Y23" s="116">
        <v>0</v>
      </c>
      <c r="Z23" s="77">
        <f>Y23*Valores!$C$2</f>
        <v>0</v>
      </c>
      <c r="AA23" s="77">
        <v>0</v>
      </c>
      <c r="AB23" s="89">
        <f>Valores!$C$29</f>
        <v>151.15</v>
      </c>
      <c r="AC23" s="77">
        <f t="shared" si="3"/>
        <v>0</v>
      </c>
      <c r="AD23" s="77">
        <f>Valores!$C$30</f>
        <v>151.15</v>
      </c>
      <c r="AE23" s="116">
        <v>0</v>
      </c>
      <c r="AF23" s="77">
        <f>INT(((AE23*Valores!$C$2)*100)+0.5)/100</f>
        <v>0</v>
      </c>
      <c r="AG23" s="77">
        <f>Valores!$C$58</f>
        <v>307.46</v>
      </c>
      <c r="AH23" s="77">
        <f>Valores!$C$60</f>
        <v>87.85</v>
      </c>
      <c r="AI23" s="77">
        <f>SUM(H23,J23,L23,N23,O23,P23,Q23,R23,S23,T23,V23,W23,X23,Z23,AA23,AB23,AC23,AD23,AF23,AG23,AH23)*Valores!$C$63</f>
        <v>0</v>
      </c>
      <c r="AJ23" s="15">
        <f t="shared" si="4"/>
        <v>79452.74499999998</v>
      </c>
      <c r="AK23" s="78">
        <f>Valores!$C$35</f>
        <v>415.59</v>
      </c>
      <c r="AL23" s="79">
        <f>Valores!$C$9</f>
        <v>351.39</v>
      </c>
      <c r="AM23" s="89">
        <f>Valores!$C$50</f>
        <v>257.67</v>
      </c>
      <c r="AN23" s="79">
        <f>IF($H$4="SI",SUM(AL23+AM23),AL23)*Valores!$C$63</f>
        <v>0</v>
      </c>
      <c r="AO23" s="12">
        <f t="shared" si="8"/>
        <v>1024.65</v>
      </c>
      <c r="AP23" s="152">
        <f>AJ23*-Valores!$C$65</f>
        <v>-10328.856849999998</v>
      </c>
      <c r="AQ23" s="152">
        <f>AJ23*-Valores!$C$66</f>
        <v>-397.2637249999999</v>
      </c>
      <c r="AR23" s="78">
        <f>AJ23*-Valores!$C$67</f>
        <v>-3575.373524999999</v>
      </c>
      <c r="AS23" s="78">
        <f>AJ23*-Valores!$C$68</f>
        <v>-2145.2241149999995</v>
      </c>
      <c r="AT23" s="78">
        <f>AJ23*-Valores!$C$69</f>
        <v>-238.35823499999995</v>
      </c>
      <c r="AU23" s="15">
        <f t="shared" si="5"/>
        <v>66175.90089999998</v>
      </c>
      <c r="AV23" s="15">
        <f t="shared" si="6"/>
        <v>67367.69207499997</v>
      </c>
      <c r="AW23" s="78">
        <f>AJ23*Valores!$C$70</f>
        <v>12712.439199999997</v>
      </c>
      <c r="AX23" s="78">
        <f>AJ23*Valores!$C$71</f>
        <v>3575.373524999999</v>
      </c>
      <c r="AY23" s="78">
        <f>AJ23*Valores!$C$73</f>
        <v>794.5274499999998</v>
      </c>
      <c r="AZ23" s="78">
        <f>AJ23*Valores!$C$74</f>
        <v>2780.8460749999995</v>
      </c>
      <c r="BA23" s="78">
        <f>AJ23*Valores!$C$75</f>
        <v>476.7164699999999</v>
      </c>
      <c r="BB23" s="78">
        <f t="shared" si="9"/>
        <v>4290.448229999999</v>
      </c>
      <c r="BC23" s="20"/>
      <c r="BD23" s="20">
        <v>45</v>
      </c>
      <c r="BE23" s="9" t="s">
        <v>461</v>
      </c>
    </row>
    <row r="24" spans="1:57" s="9" customFormat="1" ht="11.25" customHeight="1">
      <c r="A24" s="20">
        <v>23</v>
      </c>
      <c r="B24" s="20"/>
      <c r="C24" s="9" t="s">
        <v>41</v>
      </c>
      <c r="E24" s="9">
        <f t="shared" si="7"/>
        <v>25</v>
      </c>
      <c r="F24" s="10" t="s">
        <v>42</v>
      </c>
      <c r="G24" s="123">
        <v>96</v>
      </c>
      <c r="H24" s="7">
        <f>INT((G24*Valores!$C$2*100)+0.5)/100</f>
        <v>575.93</v>
      </c>
      <c r="I24" s="113">
        <v>3737</v>
      </c>
      <c r="J24" s="77">
        <f>INT((I24*Valores!$C$2*100)+0.5)/100</f>
        <v>22419.4</v>
      </c>
      <c r="K24" s="144">
        <v>1220</v>
      </c>
      <c r="L24" s="77">
        <f>INT((K24*Valores!$C$2*100)+0.5)/100</f>
        <v>7319.15</v>
      </c>
      <c r="M24" s="123">
        <v>0</v>
      </c>
      <c r="N24" s="77">
        <f>INT((M24*Valores!$C$2*100)+0.5)/100</f>
        <v>0</v>
      </c>
      <c r="O24" s="77">
        <f t="shared" si="0"/>
        <v>0</v>
      </c>
      <c r="P24" s="77">
        <f t="shared" si="1"/>
        <v>15810.730000000001</v>
      </c>
      <c r="Q24" s="78">
        <f>Valores!$C$19</f>
        <v>3894.61</v>
      </c>
      <c r="R24" s="78">
        <f>Valores!$D$4</f>
        <v>2683.49</v>
      </c>
      <c r="S24" s="77">
        <v>0</v>
      </c>
      <c r="T24" s="79">
        <f>Valores!$C$43</f>
        <v>1306.98</v>
      </c>
      <c r="U24" s="77">
        <f>Valores!$C$23</f>
        <v>2584.33</v>
      </c>
      <c r="V24" s="77">
        <f t="shared" si="2"/>
        <v>3876.495</v>
      </c>
      <c r="W24" s="77">
        <v>0</v>
      </c>
      <c r="X24" s="77">
        <v>0</v>
      </c>
      <c r="Y24" s="116">
        <v>0</v>
      </c>
      <c r="Z24" s="77">
        <f>Y24*Valores!$C$2</f>
        <v>0</v>
      </c>
      <c r="AA24" s="77">
        <v>0</v>
      </c>
      <c r="AB24" s="89">
        <f>Valores!$C$29</f>
        <v>151.15</v>
      </c>
      <c r="AC24" s="77">
        <f t="shared" si="3"/>
        <v>0</v>
      </c>
      <c r="AD24" s="77">
        <f>Valores!$C$30</f>
        <v>151.15</v>
      </c>
      <c r="AE24" s="116">
        <v>0</v>
      </c>
      <c r="AF24" s="77">
        <f>INT(((AE24*Valores!$C$2)*100)+0.5)/100</f>
        <v>0</v>
      </c>
      <c r="AG24" s="77">
        <f>Valores!$C$58</f>
        <v>307.46</v>
      </c>
      <c r="AH24" s="77">
        <f>Valores!$C$60</f>
        <v>87.85</v>
      </c>
      <c r="AI24" s="77">
        <f>SUM(H24,J24,L24,N24,O24,P24,Q24,R24,S24,T24,V24,W24,X24,Z24,AA24,AB24,AC24,AD24,AF24,AG24,AH24)*Valores!$C$63</f>
        <v>0</v>
      </c>
      <c r="AJ24" s="15">
        <f t="shared" si="4"/>
        <v>58584.39500000001</v>
      </c>
      <c r="AK24" s="78">
        <f>Valores!$C$35</f>
        <v>415.59</v>
      </c>
      <c r="AL24" s="79">
        <f>Valores!$C$9</f>
        <v>351.39</v>
      </c>
      <c r="AM24" s="89">
        <f>Valores!$C$50</f>
        <v>257.67</v>
      </c>
      <c r="AN24" s="79">
        <f>IF($H$4="SI",SUM(AL24+AM24),AL24)*Valores!$C$63</f>
        <v>0</v>
      </c>
      <c r="AO24" s="12">
        <f t="shared" si="8"/>
        <v>1024.65</v>
      </c>
      <c r="AP24" s="152">
        <f>AJ24*-Valores!$C$65</f>
        <v>-7615.971350000002</v>
      </c>
      <c r="AQ24" s="152">
        <f>AJ24*-Valores!$C$66</f>
        <v>-292.9219750000001</v>
      </c>
      <c r="AR24" s="78">
        <f>AJ24*-Valores!$C$67</f>
        <v>-2636.2977750000005</v>
      </c>
      <c r="AS24" s="78">
        <f>AJ24*-Valores!$C$68</f>
        <v>-1581.7786650000005</v>
      </c>
      <c r="AT24" s="78">
        <f>AJ24*-Valores!$C$69</f>
        <v>-175.75318500000003</v>
      </c>
      <c r="AU24" s="15">
        <f t="shared" si="5"/>
        <v>49063.85390000002</v>
      </c>
      <c r="AV24" s="15">
        <f t="shared" si="6"/>
        <v>49942.619825000016</v>
      </c>
      <c r="AW24" s="78">
        <f>AJ24*Valores!$C$70</f>
        <v>9373.503200000003</v>
      </c>
      <c r="AX24" s="78">
        <f>AJ24*Valores!$C$71</f>
        <v>2636.2977750000005</v>
      </c>
      <c r="AY24" s="78">
        <f>AJ24*Valores!$C$73</f>
        <v>585.8439500000002</v>
      </c>
      <c r="AZ24" s="78">
        <f>AJ24*Valores!$C$74</f>
        <v>2050.4538250000005</v>
      </c>
      <c r="BA24" s="78">
        <f>AJ24*Valores!$C$75</f>
        <v>351.50637000000006</v>
      </c>
      <c r="BB24" s="78">
        <f t="shared" si="9"/>
        <v>3163.5573300000005</v>
      </c>
      <c r="BC24" s="20"/>
      <c r="BD24" s="20">
        <v>45</v>
      </c>
      <c r="BE24" s="9" t="s">
        <v>462</v>
      </c>
    </row>
    <row r="25" spans="1:57" s="9" customFormat="1" ht="11.25" customHeight="1">
      <c r="A25" s="20">
        <v>24</v>
      </c>
      <c r="B25" s="20"/>
      <c r="C25" s="9" t="s">
        <v>392</v>
      </c>
      <c r="E25" s="9">
        <f t="shared" si="7"/>
        <v>27</v>
      </c>
      <c r="F25" s="10" t="s">
        <v>393</v>
      </c>
      <c r="G25" s="123">
        <v>96</v>
      </c>
      <c r="H25" s="7">
        <f>INT((G25*Valores!$C$2*100)+0.5)/100</f>
        <v>575.93</v>
      </c>
      <c r="I25" s="113">
        <v>3737</v>
      </c>
      <c r="J25" s="77">
        <f>INT((I25*Valores!$C$2*100)+0.5)/100</f>
        <v>22419.4</v>
      </c>
      <c r="K25" s="144">
        <v>1220</v>
      </c>
      <c r="L25" s="77">
        <f>INT((K25*Valores!$C$2*100)+0.5)/100</f>
        <v>7319.15</v>
      </c>
      <c r="M25" s="123">
        <v>0</v>
      </c>
      <c r="N25" s="77">
        <f>INT((M25*Valores!$C$2*100)+0.5)/100</f>
        <v>0</v>
      </c>
      <c r="O25" s="77">
        <f t="shared" si="0"/>
        <v>0</v>
      </c>
      <c r="P25" s="77">
        <f t="shared" si="1"/>
        <v>15810.730000000001</v>
      </c>
      <c r="Q25" s="78">
        <f>Valores!$C$19</f>
        <v>3894.61</v>
      </c>
      <c r="R25" s="78">
        <f>Valores!$D$4</f>
        <v>2683.49</v>
      </c>
      <c r="S25" s="77">
        <v>0</v>
      </c>
      <c r="T25" s="79">
        <f>Valores!$C$43</f>
        <v>1306.98</v>
      </c>
      <c r="U25" s="77">
        <f>Valores!$C$23</f>
        <v>2584.33</v>
      </c>
      <c r="V25" s="77">
        <f t="shared" si="2"/>
        <v>3876.495</v>
      </c>
      <c r="W25" s="77">
        <v>0</v>
      </c>
      <c r="X25" s="77">
        <v>0</v>
      </c>
      <c r="Y25" s="116">
        <v>0</v>
      </c>
      <c r="Z25" s="77">
        <f>Y25*Valores!$C$2</f>
        <v>0</v>
      </c>
      <c r="AA25" s="77">
        <v>0</v>
      </c>
      <c r="AB25" s="89">
        <f>Valores!$C$29</f>
        <v>151.15</v>
      </c>
      <c r="AC25" s="77">
        <f t="shared" si="3"/>
        <v>0</v>
      </c>
      <c r="AD25" s="77">
        <f>Valores!$C$30</f>
        <v>151.15</v>
      </c>
      <c r="AE25" s="116">
        <v>0</v>
      </c>
      <c r="AF25" s="77">
        <f>INT(((AE25*Valores!$C$2)*100)+0.5)/100</f>
        <v>0</v>
      </c>
      <c r="AG25" s="77">
        <f>Valores!$C$58</f>
        <v>307.46</v>
      </c>
      <c r="AH25" s="77">
        <f>Valores!$C$60</f>
        <v>87.85</v>
      </c>
      <c r="AI25" s="77">
        <f>SUM(H25,J25,L25,N25,O25,P25,Q25,R25,S25,T25,V25,W25,X25,Z25,AA25,AB25,AC25,AD25,AF25,AG25,AH25)*Valores!$C$63</f>
        <v>0</v>
      </c>
      <c r="AJ25" s="15">
        <f t="shared" si="4"/>
        <v>58584.39500000001</v>
      </c>
      <c r="AK25" s="78">
        <f>Valores!$C$35</f>
        <v>415.59</v>
      </c>
      <c r="AL25" s="79">
        <f>Valores!$C$9</f>
        <v>351.39</v>
      </c>
      <c r="AM25" s="89">
        <f>Valores!$C$50</f>
        <v>257.67</v>
      </c>
      <c r="AN25" s="79">
        <f>IF($H$4="SI",SUM(AL25+AM25),AL25)*Valores!$C$63</f>
        <v>0</v>
      </c>
      <c r="AO25" s="12">
        <f t="shared" si="8"/>
        <v>1024.65</v>
      </c>
      <c r="AP25" s="152">
        <f>AJ25*-Valores!$C$65</f>
        <v>-7615.971350000002</v>
      </c>
      <c r="AQ25" s="152">
        <f>AJ25*-Valores!$C$66</f>
        <v>-292.9219750000001</v>
      </c>
      <c r="AR25" s="78">
        <f>AJ25*-Valores!$C$67</f>
        <v>-2636.2977750000005</v>
      </c>
      <c r="AS25" s="78">
        <f>AJ25*-Valores!$C$68</f>
        <v>-1581.7786650000005</v>
      </c>
      <c r="AT25" s="78">
        <f>AJ25*-Valores!$C$69</f>
        <v>-175.75318500000003</v>
      </c>
      <c r="AU25" s="15">
        <f t="shared" si="5"/>
        <v>49063.85390000002</v>
      </c>
      <c r="AV25" s="15">
        <f t="shared" si="6"/>
        <v>49942.619825000016</v>
      </c>
      <c r="AW25" s="78">
        <f>AJ25*Valores!$C$70</f>
        <v>9373.503200000003</v>
      </c>
      <c r="AX25" s="78">
        <f>AJ25*Valores!$C$71</f>
        <v>2636.2977750000005</v>
      </c>
      <c r="AY25" s="78">
        <f>AJ25*Valores!$C$73</f>
        <v>585.8439500000002</v>
      </c>
      <c r="AZ25" s="78">
        <f>AJ25*Valores!$C$74</f>
        <v>2050.4538250000005</v>
      </c>
      <c r="BA25" s="78">
        <f>AJ25*Valores!$C$75</f>
        <v>351.50637000000006</v>
      </c>
      <c r="BB25" s="78">
        <f t="shared" si="9"/>
        <v>3163.5573300000005</v>
      </c>
      <c r="BC25" s="20"/>
      <c r="BD25" s="20">
        <v>45</v>
      </c>
      <c r="BE25" s="9" t="s">
        <v>462</v>
      </c>
    </row>
    <row r="26" spans="1:57" s="9" customFormat="1" ht="11.25" customHeight="1">
      <c r="A26" s="55">
        <v>25</v>
      </c>
      <c r="B26" s="55" t="s">
        <v>458</v>
      </c>
      <c r="C26" s="52" t="s">
        <v>43</v>
      </c>
      <c r="D26" s="52"/>
      <c r="E26" s="52">
        <f t="shared" si="7"/>
        <v>24</v>
      </c>
      <c r="F26" s="53" t="s">
        <v>44</v>
      </c>
      <c r="G26" s="124">
        <v>96</v>
      </c>
      <c r="H26" s="129">
        <f>INT((G26*Valores!$C$2*100)+0.5)/100</f>
        <v>575.93</v>
      </c>
      <c r="I26" s="114">
        <v>3737</v>
      </c>
      <c r="J26" s="80">
        <f>INT((I26*Valores!$C$2*100)+0.5)/100</f>
        <v>22419.4</v>
      </c>
      <c r="K26" s="145">
        <v>1220</v>
      </c>
      <c r="L26" s="80">
        <f>INT((K26*Valores!$C$2*100)+0.5)/100</f>
        <v>7319.15</v>
      </c>
      <c r="M26" s="124">
        <v>0</v>
      </c>
      <c r="N26" s="80">
        <f>INT((M26*Valores!$C$2*100)+0.5)/100</f>
        <v>0</v>
      </c>
      <c r="O26" s="80">
        <f t="shared" si="0"/>
        <v>0</v>
      </c>
      <c r="P26" s="80">
        <f t="shared" si="1"/>
        <v>15810.730000000001</v>
      </c>
      <c r="Q26" s="81">
        <f>Valores!$C$19</f>
        <v>3894.61</v>
      </c>
      <c r="R26" s="81">
        <f>Valores!$D$4</f>
        <v>2683.49</v>
      </c>
      <c r="S26" s="80">
        <v>0</v>
      </c>
      <c r="T26" s="82">
        <f>Valores!$C$43</f>
        <v>1306.98</v>
      </c>
      <c r="U26" s="80">
        <f>Valores!$C$23</f>
        <v>2584.33</v>
      </c>
      <c r="V26" s="80">
        <f t="shared" si="2"/>
        <v>3876.495</v>
      </c>
      <c r="W26" s="80">
        <v>0</v>
      </c>
      <c r="X26" s="80">
        <v>0</v>
      </c>
      <c r="Y26" s="115">
        <v>0</v>
      </c>
      <c r="Z26" s="80">
        <f>Y26*Valores!$C$2</f>
        <v>0</v>
      </c>
      <c r="AA26" s="80">
        <v>0</v>
      </c>
      <c r="AB26" s="90">
        <f>Valores!$C$29</f>
        <v>151.15</v>
      </c>
      <c r="AC26" s="80">
        <f t="shared" si="3"/>
        <v>0</v>
      </c>
      <c r="AD26" s="80">
        <f>Valores!$C$30</f>
        <v>151.15</v>
      </c>
      <c r="AE26" s="115">
        <v>0</v>
      </c>
      <c r="AF26" s="80">
        <f>INT(((AE26*Valores!$C$2)*100)+0.5)/100</f>
        <v>0</v>
      </c>
      <c r="AG26" s="80">
        <f>Valores!$C$58</f>
        <v>307.46</v>
      </c>
      <c r="AH26" s="80">
        <f>Valores!$C$60</f>
        <v>87.85</v>
      </c>
      <c r="AI26" s="80">
        <f>SUM(H26,J26,L26,N26,O26,P26,Q26,R26,S26,T26,V26,W26,X26,Z26,AA26,AB26,AC26,AD26,AF26,AG26,AH26)*Valores!$C$63</f>
        <v>0</v>
      </c>
      <c r="AJ26" s="54">
        <f t="shared" si="4"/>
        <v>58584.39500000001</v>
      </c>
      <c r="AK26" s="81">
        <f>Valores!$C$35</f>
        <v>415.59</v>
      </c>
      <c r="AL26" s="82">
        <f>Valores!$C$9</f>
        <v>351.39</v>
      </c>
      <c r="AM26" s="90">
        <f>Valores!$C$50</f>
        <v>257.67</v>
      </c>
      <c r="AN26" s="82">
        <f>IF($H$4="SI",SUM(AL26+AM26),AL26)*Valores!$C$63</f>
        <v>0</v>
      </c>
      <c r="AO26" s="185">
        <f t="shared" si="8"/>
        <v>1024.65</v>
      </c>
      <c r="AP26" s="153">
        <f>AJ26*-Valores!$C$65</f>
        <v>-7615.971350000002</v>
      </c>
      <c r="AQ26" s="153">
        <f>AJ26*-Valores!$C$66</f>
        <v>-292.9219750000001</v>
      </c>
      <c r="AR26" s="81">
        <f>AJ26*-Valores!$C$67</f>
        <v>-2636.2977750000005</v>
      </c>
      <c r="AS26" s="81">
        <f>AJ26*-Valores!$C$68</f>
        <v>-1581.7786650000005</v>
      </c>
      <c r="AT26" s="81">
        <f>AJ26*-Valores!$C$69</f>
        <v>-175.75318500000003</v>
      </c>
      <c r="AU26" s="54">
        <f t="shared" si="5"/>
        <v>49063.85390000002</v>
      </c>
      <c r="AV26" s="54">
        <f t="shared" si="6"/>
        <v>49942.619825000016</v>
      </c>
      <c r="AW26" s="81">
        <f>AJ26*Valores!$C$70</f>
        <v>9373.503200000003</v>
      </c>
      <c r="AX26" s="81">
        <f>AJ26*Valores!$C$71</f>
        <v>2636.2977750000005</v>
      </c>
      <c r="AY26" s="81">
        <f>AJ26*Valores!$C$73</f>
        <v>585.8439500000002</v>
      </c>
      <c r="AZ26" s="81">
        <f>AJ26*Valores!$C$74</f>
        <v>2050.4538250000005</v>
      </c>
      <c r="BA26" s="81">
        <f>AJ26*Valores!$C$75</f>
        <v>351.50637000000006</v>
      </c>
      <c r="BB26" s="81">
        <f t="shared" si="9"/>
        <v>3163.5573300000005</v>
      </c>
      <c r="BC26" s="55"/>
      <c r="BD26" s="55">
        <v>45</v>
      </c>
      <c r="BE26" s="52" t="s">
        <v>462</v>
      </c>
    </row>
    <row r="27" spans="1:57" s="9" customFormat="1" ht="11.25" customHeight="1">
      <c r="A27" s="20">
        <v>26</v>
      </c>
      <c r="B27" s="20"/>
      <c r="C27" s="9" t="s">
        <v>45</v>
      </c>
      <c r="E27" s="9">
        <f t="shared" si="7"/>
        <v>22</v>
      </c>
      <c r="F27" s="10" t="s">
        <v>46</v>
      </c>
      <c r="G27" s="123">
        <v>107</v>
      </c>
      <c r="H27" s="7">
        <f>INT((G27*Valores!$C$2*100)+0.5)/100</f>
        <v>641.93</v>
      </c>
      <c r="I27" s="113">
        <v>3728</v>
      </c>
      <c r="J27" s="77">
        <f>INT((I27*Valores!$C$2*100)+0.5)/100</f>
        <v>22365.41</v>
      </c>
      <c r="K27" s="144">
        <v>1218</v>
      </c>
      <c r="L27" s="77">
        <f>INT((K27*Valores!$C$2*100)+0.5)/100</f>
        <v>7307.15</v>
      </c>
      <c r="M27" s="123">
        <v>0</v>
      </c>
      <c r="N27" s="77">
        <f>INT((M27*Valores!$C$2*100)+0.5)/100</f>
        <v>0</v>
      </c>
      <c r="O27" s="77">
        <f t="shared" si="0"/>
        <v>0</v>
      </c>
      <c r="P27" s="77">
        <f t="shared" si="1"/>
        <v>15810.734999999999</v>
      </c>
      <c r="Q27" s="78">
        <f>Valores!$C$19</f>
        <v>3894.61</v>
      </c>
      <c r="R27" s="78">
        <f>Valores!$D$4</f>
        <v>2683.49</v>
      </c>
      <c r="S27" s="77">
        <v>0</v>
      </c>
      <c r="T27" s="79">
        <f>Valores!$C$43</f>
        <v>1306.98</v>
      </c>
      <c r="U27" s="77">
        <f>Valores!$C$23</f>
        <v>2584.33</v>
      </c>
      <c r="V27" s="77">
        <f t="shared" si="2"/>
        <v>3876.495</v>
      </c>
      <c r="W27" s="77">
        <v>0</v>
      </c>
      <c r="X27" s="77">
        <v>0</v>
      </c>
      <c r="Y27" s="116">
        <v>0</v>
      </c>
      <c r="Z27" s="77">
        <f>Y27*Valores!$C$2</f>
        <v>0</v>
      </c>
      <c r="AA27" s="77">
        <v>0</v>
      </c>
      <c r="AB27" s="89">
        <f>Valores!$C$29</f>
        <v>151.15</v>
      </c>
      <c r="AC27" s="77">
        <f t="shared" si="3"/>
        <v>0</v>
      </c>
      <c r="AD27" s="77">
        <f>Valores!$C$30</f>
        <v>151.15</v>
      </c>
      <c r="AE27" s="116">
        <v>0</v>
      </c>
      <c r="AF27" s="77">
        <f>INT(((AE27*Valores!$C$2)*100)+0.5)/100</f>
        <v>0</v>
      </c>
      <c r="AG27" s="77">
        <f>Valores!$C$58</f>
        <v>307.46</v>
      </c>
      <c r="AH27" s="77">
        <f>Valores!$C$60</f>
        <v>87.85</v>
      </c>
      <c r="AI27" s="77">
        <f>SUM(H27,J27,L27,N27,O27,P27,Q27,R27,S27,T27,V27,W27,X27,Z27,AA27,AB27,AC27,AD27,AF27,AG27,AH27)*Valores!$C$63</f>
        <v>0</v>
      </c>
      <c r="AJ27" s="15">
        <f t="shared" si="4"/>
        <v>58584.41</v>
      </c>
      <c r="AK27" s="78">
        <f>Valores!$C$35</f>
        <v>415.59</v>
      </c>
      <c r="AL27" s="79">
        <f>Valores!$C$9</f>
        <v>351.39</v>
      </c>
      <c r="AM27" s="89">
        <f>Valores!$C$50</f>
        <v>257.67</v>
      </c>
      <c r="AN27" s="79">
        <f>IF($H$4="SI",SUM(AL27+AM27),AL27)*Valores!$C$63</f>
        <v>0</v>
      </c>
      <c r="AO27" s="12">
        <f t="shared" si="8"/>
        <v>1024.65</v>
      </c>
      <c r="AP27" s="152">
        <f>AJ27*-Valores!$C$65</f>
        <v>-7615.973300000001</v>
      </c>
      <c r="AQ27" s="152">
        <f>AJ27*-Valores!$C$66</f>
        <v>-292.92205</v>
      </c>
      <c r="AR27" s="78">
        <f>AJ27*-Valores!$C$67</f>
        <v>-2636.2984500000002</v>
      </c>
      <c r="AS27" s="78">
        <f>AJ27*-Valores!$C$68</f>
        <v>-1581.7790700000003</v>
      </c>
      <c r="AT27" s="78">
        <f>AJ27*-Valores!$C$69</f>
        <v>-175.75323</v>
      </c>
      <c r="AU27" s="15">
        <f t="shared" si="5"/>
        <v>49063.866200000004</v>
      </c>
      <c r="AV27" s="15">
        <f t="shared" si="6"/>
        <v>49942.63235000001</v>
      </c>
      <c r="AW27" s="78">
        <f>AJ27*Valores!$C$70</f>
        <v>9373.5056</v>
      </c>
      <c r="AX27" s="78">
        <f>AJ27*Valores!$C$71</f>
        <v>2636.2984500000002</v>
      </c>
      <c r="AY27" s="78">
        <f>AJ27*Valores!$C$73</f>
        <v>585.8441</v>
      </c>
      <c r="AZ27" s="78">
        <f>AJ27*Valores!$C$74</f>
        <v>2050.4543500000004</v>
      </c>
      <c r="BA27" s="78">
        <f>AJ27*Valores!$C$75</f>
        <v>351.50646</v>
      </c>
      <c r="BB27" s="78">
        <f t="shared" si="9"/>
        <v>3163.55814</v>
      </c>
      <c r="BC27" s="20"/>
      <c r="BD27" s="20">
        <v>45</v>
      </c>
      <c r="BE27" s="9" t="s">
        <v>461</v>
      </c>
    </row>
    <row r="28" spans="1:57" s="9" customFormat="1" ht="11.25" customHeight="1">
      <c r="A28" s="20">
        <v>27</v>
      </c>
      <c r="B28" s="20"/>
      <c r="C28" s="9" t="s">
        <v>47</v>
      </c>
      <c r="E28" s="9">
        <f t="shared" si="7"/>
        <v>29</v>
      </c>
      <c r="F28" s="10" t="s">
        <v>48</v>
      </c>
      <c r="G28" s="123">
        <v>94</v>
      </c>
      <c r="H28" s="7">
        <f>INT((G28*Valores!$C$2*100)+0.5)/100</f>
        <v>563.93</v>
      </c>
      <c r="I28" s="113">
        <v>3624</v>
      </c>
      <c r="J28" s="77">
        <f>INT((I28*Valores!$C$2*100)+0.5)/100</f>
        <v>21741.48</v>
      </c>
      <c r="K28" s="144">
        <v>1219</v>
      </c>
      <c r="L28" s="77">
        <f>INT((K28*Valores!$C$2*100)+0.5)/100</f>
        <v>7313.15</v>
      </c>
      <c r="M28" s="123">
        <v>0</v>
      </c>
      <c r="N28" s="77">
        <f>INT((M28*Valores!$C$2*100)+0.5)/100</f>
        <v>0</v>
      </c>
      <c r="O28" s="77">
        <f t="shared" si="0"/>
        <v>0</v>
      </c>
      <c r="P28" s="77">
        <f t="shared" si="1"/>
        <v>15462.769999999999</v>
      </c>
      <c r="Q28" s="78">
        <f>Valores!$C$17</f>
        <v>3836.04</v>
      </c>
      <c r="R28" s="78">
        <f>Valores!$D$4</f>
        <v>2683.49</v>
      </c>
      <c r="S28" s="77">
        <v>0</v>
      </c>
      <c r="T28" s="79">
        <f>Valores!$C$43</f>
        <v>1306.98</v>
      </c>
      <c r="U28" s="77">
        <f>Valores!$C$23</f>
        <v>2584.33</v>
      </c>
      <c r="V28" s="77">
        <f t="shared" si="2"/>
        <v>3876.495</v>
      </c>
      <c r="W28" s="77">
        <v>0</v>
      </c>
      <c r="X28" s="77">
        <v>0</v>
      </c>
      <c r="Y28" s="116">
        <v>0</v>
      </c>
      <c r="Z28" s="77">
        <f>Y28*Valores!$C$2</f>
        <v>0</v>
      </c>
      <c r="AA28" s="77">
        <v>0</v>
      </c>
      <c r="AB28" s="89">
        <f>Valores!$C$29</f>
        <v>151.15</v>
      </c>
      <c r="AC28" s="77">
        <f t="shared" si="3"/>
        <v>0</v>
      </c>
      <c r="AD28" s="77">
        <f>Valores!$C$30</f>
        <v>151.15</v>
      </c>
      <c r="AE28" s="116">
        <v>0</v>
      </c>
      <c r="AF28" s="77">
        <f>INT(((AE28*Valores!$C$2)*100)+0.5)/100</f>
        <v>0</v>
      </c>
      <c r="AG28" s="77">
        <f>Valores!$C$58</f>
        <v>307.46</v>
      </c>
      <c r="AH28" s="77">
        <f>Valores!$C$60</f>
        <v>87.85</v>
      </c>
      <c r="AI28" s="77">
        <f>SUM(H28,J28,L28,N28,O28,P28,Q28,R28,S28,T28,V28,W28,X28,Z28,AA28,AB28,AC28,AD28,AF28,AG28,AH28)*Valores!$C$63</f>
        <v>0</v>
      </c>
      <c r="AJ28" s="15">
        <f t="shared" si="4"/>
        <v>57481.945</v>
      </c>
      <c r="AK28" s="78">
        <f>Valores!$C$35</f>
        <v>415.59</v>
      </c>
      <c r="AL28" s="79">
        <f>Valores!$C$9</f>
        <v>351.39</v>
      </c>
      <c r="AM28" s="89">
        <f>Valores!$C$50</f>
        <v>257.67</v>
      </c>
      <c r="AN28" s="79">
        <f>IF($H$4="SI",SUM(AL28+AM28),AL28)*Valores!$C$63</f>
        <v>0</v>
      </c>
      <c r="AO28" s="12">
        <f t="shared" si="8"/>
        <v>1024.65</v>
      </c>
      <c r="AP28" s="152">
        <f>AJ28*-Valores!$C$65</f>
        <v>-7472.65285</v>
      </c>
      <c r="AQ28" s="152">
        <f>AJ28*-Valores!$C$66</f>
        <v>-287.409725</v>
      </c>
      <c r="AR28" s="78">
        <f>AJ28*-Valores!$C$67</f>
        <v>-2586.687525</v>
      </c>
      <c r="AS28" s="78">
        <f>AJ28*-Valores!$C$68</f>
        <v>-1552.0125150000001</v>
      </c>
      <c r="AT28" s="78">
        <f>AJ28*-Valores!$C$69</f>
        <v>-172.44583500000002</v>
      </c>
      <c r="AU28" s="15">
        <f t="shared" si="5"/>
        <v>48159.844900000004</v>
      </c>
      <c r="AV28" s="15">
        <f t="shared" si="6"/>
        <v>49022.074075000004</v>
      </c>
      <c r="AW28" s="78">
        <f>AJ28*Valores!$C$70</f>
        <v>9197.1112</v>
      </c>
      <c r="AX28" s="78">
        <f>AJ28*Valores!$C$71</f>
        <v>2586.687525</v>
      </c>
      <c r="AY28" s="78">
        <f>AJ28*Valores!$C$73</f>
        <v>574.81945</v>
      </c>
      <c r="AZ28" s="78">
        <f>AJ28*Valores!$C$74</f>
        <v>2011.868075</v>
      </c>
      <c r="BA28" s="78">
        <f>AJ28*Valores!$C$75</f>
        <v>344.89167000000003</v>
      </c>
      <c r="BB28" s="78">
        <f t="shared" si="9"/>
        <v>3104.0250300000002</v>
      </c>
      <c r="BC28" s="20"/>
      <c r="BD28" s="20">
        <v>45</v>
      </c>
      <c r="BE28" s="9" t="s">
        <v>462</v>
      </c>
    </row>
    <row r="29" spans="1:57" s="9" customFormat="1" ht="11.25" customHeight="1">
      <c r="A29" s="20">
        <v>28</v>
      </c>
      <c r="B29" s="20"/>
      <c r="C29" s="9" t="s">
        <v>49</v>
      </c>
      <c r="E29" s="9">
        <f t="shared" si="7"/>
        <v>25</v>
      </c>
      <c r="F29" s="10" t="s">
        <v>50</v>
      </c>
      <c r="G29" s="123">
        <v>93</v>
      </c>
      <c r="H29" s="7">
        <f>INT((G29*Valores!$C$2*100)+0.5)/100</f>
        <v>557.94</v>
      </c>
      <c r="I29" s="113">
        <v>3627</v>
      </c>
      <c r="J29" s="77">
        <f>INT((I29*Valores!$C$2*100)+0.5)/100</f>
        <v>21759.48</v>
      </c>
      <c r="K29" s="144">
        <v>210</v>
      </c>
      <c r="L29" s="77">
        <f>INT((K29*Valores!$C$2*100)+0.5)/100</f>
        <v>1259.85</v>
      </c>
      <c r="M29" s="123">
        <v>0</v>
      </c>
      <c r="N29" s="77">
        <f>INT((M29*Valores!$C$2*100)+0.5)/100</f>
        <v>0</v>
      </c>
      <c r="O29" s="77">
        <f t="shared" si="0"/>
        <v>0</v>
      </c>
      <c r="P29" s="77">
        <f t="shared" si="1"/>
        <v>12442.124999999998</v>
      </c>
      <c r="Q29" s="78">
        <f>Valores!$C$17</f>
        <v>3836.04</v>
      </c>
      <c r="R29" s="78">
        <f>Valores!$D$4</f>
        <v>2683.49</v>
      </c>
      <c r="S29" s="77">
        <v>0</v>
      </c>
      <c r="T29" s="79">
        <f>Valores!$C$43</f>
        <v>1306.98</v>
      </c>
      <c r="U29" s="77">
        <f>Valores!$C$23</f>
        <v>2584.33</v>
      </c>
      <c r="V29" s="77">
        <f t="shared" si="2"/>
        <v>3876.495</v>
      </c>
      <c r="W29" s="77">
        <v>0</v>
      </c>
      <c r="X29" s="77">
        <v>0</v>
      </c>
      <c r="Y29" s="116">
        <v>0</v>
      </c>
      <c r="Z29" s="77">
        <f>Y29*Valores!$C$2</f>
        <v>0</v>
      </c>
      <c r="AA29" s="77">
        <v>0</v>
      </c>
      <c r="AB29" s="89">
        <f>Valores!$C$29</f>
        <v>151.15</v>
      </c>
      <c r="AC29" s="77">
        <f t="shared" si="3"/>
        <v>0</v>
      </c>
      <c r="AD29" s="77">
        <f>Valores!$C$30</f>
        <v>151.15</v>
      </c>
      <c r="AE29" s="116">
        <v>0</v>
      </c>
      <c r="AF29" s="77">
        <f>INT(((AE29*Valores!$C$2)*100)+0.5)/100</f>
        <v>0</v>
      </c>
      <c r="AG29" s="77">
        <f>Valores!$C$58</f>
        <v>307.46</v>
      </c>
      <c r="AH29" s="77">
        <f>Valores!$C$60</f>
        <v>87.85</v>
      </c>
      <c r="AI29" s="77">
        <f>SUM(H29,J29,L29,N29,O29,P29,Q29,R29,S29,T29,V29,W29,X29,Z29,AA29,AB29,AC29,AD29,AF29,AG29,AH29)*Valores!$C$63</f>
        <v>0</v>
      </c>
      <c r="AJ29" s="15">
        <f t="shared" si="4"/>
        <v>48420.01</v>
      </c>
      <c r="AK29" s="78">
        <f>Valores!$C$35</f>
        <v>415.59</v>
      </c>
      <c r="AL29" s="79">
        <f>Valores!$C$9</f>
        <v>351.39</v>
      </c>
      <c r="AM29" s="89">
        <f>Valores!$C$50</f>
        <v>257.67</v>
      </c>
      <c r="AN29" s="79">
        <f>IF($H$4="SI",SUM(AL29+AM29),AL29)*Valores!$C$63</f>
        <v>0</v>
      </c>
      <c r="AO29" s="12">
        <f t="shared" si="8"/>
        <v>1024.65</v>
      </c>
      <c r="AP29" s="152">
        <f>AJ29*-Valores!$C$65</f>
        <v>-6294.6013</v>
      </c>
      <c r="AQ29" s="152">
        <f>AJ29*-Valores!$C$66</f>
        <v>-242.10005</v>
      </c>
      <c r="AR29" s="78">
        <f>AJ29*-Valores!$C$67</f>
        <v>-2178.90045</v>
      </c>
      <c r="AS29" s="78">
        <f>AJ29*-Valores!$C$68</f>
        <v>-1307.3402700000001</v>
      </c>
      <c r="AT29" s="78">
        <f>AJ29*-Valores!$C$69</f>
        <v>-145.26003</v>
      </c>
      <c r="AU29" s="15">
        <f t="shared" si="5"/>
        <v>40729.0582</v>
      </c>
      <c r="AV29" s="15">
        <f t="shared" si="6"/>
        <v>41455.35835</v>
      </c>
      <c r="AW29" s="78">
        <f>AJ29*Valores!$C$70</f>
        <v>7747.2016</v>
      </c>
      <c r="AX29" s="78">
        <f>AJ29*Valores!$C$71</f>
        <v>2178.90045</v>
      </c>
      <c r="AY29" s="78">
        <f>AJ29*Valores!$C$73</f>
        <v>484.2001</v>
      </c>
      <c r="AZ29" s="78">
        <f>AJ29*Valores!$C$74</f>
        <v>1694.7003500000003</v>
      </c>
      <c r="BA29" s="78">
        <f>AJ29*Valores!$C$75</f>
        <v>290.52006</v>
      </c>
      <c r="BB29" s="78">
        <f t="shared" si="9"/>
        <v>2614.6805400000003</v>
      </c>
      <c r="BC29" s="20"/>
      <c r="BD29" s="20">
        <v>45</v>
      </c>
      <c r="BE29" s="9" t="s">
        <v>461</v>
      </c>
    </row>
    <row r="30" spans="1:57" s="9" customFormat="1" ht="11.25" customHeight="1">
      <c r="A30" s="20">
        <v>29</v>
      </c>
      <c r="B30" s="20"/>
      <c r="C30" s="9" t="s">
        <v>51</v>
      </c>
      <c r="E30" s="9">
        <f t="shared" si="7"/>
        <v>32</v>
      </c>
      <c r="F30" s="10" t="s">
        <v>52</v>
      </c>
      <c r="G30" s="123">
        <v>93</v>
      </c>
      <c r="H30" s="7">
        <f>INT((G30*Valores!$C$2*100)+0.5)/100</f>
        <v>557.94</v>
      </c>
      <c r="I30" s="113">
        <v>3630</v>
      </c>
      <c r="J30" s="77">
        <f>INT((I30*Valores!$C$2*100)+0.5)/100</f>
        <v>21777.47</v>
      </c>
      <c r="K30" s="144">
        <v>1214</v>
      </c>
      <c r="L30" s="77">
        <f>INT((K30*Valores!$C$2*100)+0.5)/100</f>
        <v>7283.16</v>
      </c>
      <c r="M30" s="123">
        <v>0</v>
      </c>
      <c r="N30" s="77">
        <f>INT((M30*Valores!$C$2*100)+0.5)/100</f>
        <v>0</v>
      </c>
      <c r="O30" s="77">
        <f t="shared" si="0"/>
        <v>0</v>
      </c>
      <c r="P30" s="77">
        <f t="shared" si="1"/>
        <v>15462.775</v>
      </c>
      <c r="Q30" s="78">
        <f>Valores!$C$17</f>
        <v>3836.04</v>
      </c>
      <c r="R30" s="78">
        <f>Valores!$D$4</f>
        <v>2683.49</v>
      </c>
      <c r="S30" s="77">
        <v>0</v>
      </c>
      <c r="T30" s="79">
        <f>Valores!$C$43</f>
        <v>1306.98</v>
      </c>
      <c r="U30" s="77">
        <f>Valores!$C$23</f>
        <v>2584.33</v>
      </c>
      <c r="V30" s="77">
        <f t="shared" si="2"/>
        <v>3876.495</v>
      </c>
      <c r="W30" s="77">
        <v>0</v>
      </c>
      <c r="X30" s="77">
        <v>0</v>
      </c>
      <c r="Y30" s="116">
        <v>0</v>
      </c>
      <c r="Z30" s="77">
        <f>Y30*Valores!$C$2</f>
        <v>0</v>
      </c>
      <c r="AA30" s="77">
        <v>0</v>
      </c>
      <c r="AB30" s="89">
        <f>Valores!$C$29</f>
        <v>151.15</v>
      </c>
      <c r="AC30" s="77">
        <f t="shared" si="3"/>
        <v>0</v>
      </c>
      <c r="AD30" s="77">
        <f>Valores!$C$30</f>
        <v>151.15</v>
      </c>
      <c r="AE30" s="116">
        <v>0</v>
      </c>
      <c r="AF30" s="77">
        <f>INT(((AE30*Valores!$C$2)*100)+0.5)/100</f>
        <v>0</v>
      </c>
      <c r="AG30" s="77">
        <f>Valores!$C$58</f>
        <v>307.46</v>
      </c>
      <c r="AH30" s="77">
        <f>Valores!$C$60</f>
        <v>87.85</v>
      </c>
      <c r="AI30" s="77">
        <f>SUM(H30,J30,L30,N30,O30,P30,Q30,R30,S30,T30,V30,W30,X30,Z30,AA30,AB30,AC30,AD30,AF30,AG30,AH30)*Valores!$C$63</f>
        <v>0</v>
      </c>
      <c r="AJ30" s="15">
        <f t="shared" si="4"/>
        <v>57481.96000000001</v>
      </c>
      <c r="AK30" s="78">
        <f>Valores!$C$35</f>
        <v>415.59</v>
      </c>
      <c r="AL30" s="79">
        <f>Valores!$C$9</f>
        <v>351.39</v>
      </c>
      <c r="AM30" s="89">
        <f>Valores!$C$50</f>
        <v>257.67</v>
      </c>
      <c r="AN30" s="79">
        <f>IF($H$4="SI",SUM(AL30+AM30),AL30)*Valores!$C$63</f>
        <v>0</v>
      </c>
      <c r="AO30" s="12">
        <f t="shared" si="8"/>
        <v>1024.65</v>
      </c>
      <c r="AP30" s="152">
        <f>AJ30*-Valores!$C$65</f>
        <v>-7472.654800000001</v>
      </c>
      <c r="AQ30" s="152">
        <f>AJ30*-Valores!$C$66</f>
        <v>-287.4098</v>
      </c>
      <c r="AR30" s="78">
        <f>AJ30*-Valores!$C$67</f>
        <v>-2586.6882</v>
      </c>
      <c r="AS30" s="78">
        <f>AJ30*-Valores!$C$68</f>
        <v>-1552.0129200000003</v>
      </c>
      <c r="AT30" s="78">
        <f>AJ30*-Valores!$C$69</f>
        <v>-172.44588000000002</v>
      </c>
      <c r="AU30" s="15">
        <f t="shared" si="5"/>
        <v>48159.857200000006</v>
      </c>
      <c r="AV30" s="15">
        <f t="shared" si="6"/>
        <v>49022.0866</v>
      </c>
      <c r="AW30" s="78">
        <f>AJ30*Valores!$C$70</f>
        <v>9197.1136</v>
      </c>
      <c r="AX30" s="78">
        <f>AJ30*Valores!$C$71</f>
        <v>2586.6882</v>
      </c>
      <c r="AY30" s="78">
        <f>AJ30*Valores!$C$73</f>
        <v>574.8196</v>
      </c>
      <c r="AZ30" s="78">
        <f>AJ30*Valores!$C$74</f>
        <v>2011.8686000000005</v>
      </c>
      <c r="BA30" s="78">
        <f>AJ30*Valores!$C$75</f>
        <v>344.89176000000003</v>
      </c>
      <c r="BB30" s="78">
        <f t="shared" si="9"/>
        <v>3104.0258400000002</v>
      </c>
      <c r="BC30" s="20"/>
      <c r="BD30" s="20">
        <v>45</v>
      </c>
      <c r="BE30" s="9" t="s">
        <v>462</v>
      </c>
    </row>
    <row r="31" spans="1:57" s="9" customFormat="1" ht="11.25" customHeight="1">
      <c r="A31" s="55">
        <v>30</v>
      </c>
      <c r="B31" s="55" t="s">
        <v>458</v>
      </c>
      <c r="C31" s="52" t="s">
        <v>53</v>
      </c>
      <c r="D31" s="52"/>
      <c r="E31" s="52">
        <f t="shared" si="7"/>
        <v>35</v>
      </c>
      <c r="F31" s="53" t="s">
        <v>54</v>
      </c>
      <c r="G31" s="124">
        <v>96</v>
      </c>
      <c r="H31" s="129">
        <f>INT((G31*Valores!$C$2*100)+0.5)/100</f>
        <v>575.93</v>
      </c>
      <c r="I31" s="114">
        <v>3737</v>
      </c>
      <c r="J31" s="80">
        <f>INT((I31*Valores!$C$2*100)+0.5)/100</f>
        <v>22419.4</v>
      </c>
      <c r="K31" s="145">
        <v>1220</v>
      </c>
      <c r="L31" s="80">
        <f>INT((K31*Valores!$C$2*100)+0.5)/100</f>
        <v>7319.15</v>
      </c>
      <c r="M31" s="124">
        <v>0</v>
      </c>
      <c r="N31" s="80">
        <f>INT((M31*Valores!$C$2*100)+0.5)/100</f>
        <v>0</v>
      </c>
      <c r="O31" s="80">
        <f t="shared" si="0"/>
        <v>0</v>
      </c>
      <c r="P31" s="80">
        <f t="shared" si="1"/>
        <v>15810.730000000001</v>
      </c>
      <c r="Q31" s="81">
        <f>Valores!$C$19</f>
        <v>3894.61</v>
      </c>
      <c r="R31" s="81">
        <f>Valores!$D$4</f>
        <v>2683.49</v>
      </c>
      <c r="S31" s="80">
        <v>0</v>
      </c>
      <c r="T31" s="82">
        <f>Valores!$C$43</f>
        <v>1306.98</v>
      </c>
      <c r="U31" s="80">
        <f>Valores!$C$23</f>
        <v>2584.33</v>
      </c>
      <c r="V31" s="80">
        <f t="shared" si="2"/>
        <v>3876.495</v>
      </c>
      <c r="W31" s="80">
        <v>0</v>
      </c>
      <c r="X31" s="80">
        <v>0</v>
      </c>
      <c r="Y31" s="115">
        <v>0</v>
      </c>
      <c r="Z31" s="80">
        <f>Y31*Valores!$C$2</f>
        <v>0</v>
      </c>
      <c r="AA31" s="80">
        <f>SUM(L31,J31,H31,T31)*Valores!$C$3</f>
        <v>4743.219</v>
      </c>
      <c r="AB31" s="90">
        <f>Valores!$C$29</f>
        <v>151.15</v>
      </c>
      <c r="AC31" s="80">
        <f t="shared" si="3"/>
        <v>0</v>
      </c>
      <c r="AD31" s="80">
        <f>Valores!$C$30</f>
        <v>151.15</v>
      </c>
      <c r="AE31" s="115">
        <v>0</v>
      </c>
      <c r="AF31" s="80">
        <f>INT(((AE31*Valores!$C$2)*100)+0.5)/100</f>
        <v>0</v>
      </c>
      <c r="AG31" s="80">
        <f>Valores!$C$58</f>
        <v>307.46</v>
      </c>
      <c r="AH31" s="80">
        <f>Valores!$C$60</f>
        <v>87.85</v>
      </c>
      <c r="AI31" s="80">
        <f>SUM(H31,J31,L31,N31,O31,P31,Q31,R31,S31,T31,V31,W31,X31,Z31,AA31,AB31,AC31,AD31,AF31,AG31,AH31)*Valores!$C$63</f>
        <v>0</v>
      </c>
      <c r="AJ31" s="54">
        <f t="shared" si="4"/>
        <v>63327.61400000001</v>
      </c>
      <c r="AK31" s="81">
        <f>Valores!$C$35</f>
        <v>415.59</v>
      </c>
      <c r="AL31" s="82">
        <f>Valores!$C$9</f>
        <v>351.39</v>
      </c>
      <c r="AM31" s="90">
        <f>Valores!$C$50</f>
        <v>257.67</v>
      </c>
      <c r="AN31" s="82">
        <f>IF($H$4="SI",SUM(AL31+AM31),AL31)*Valores!$C$63</f>
        <v>0</v>
      </c>
      <c r="AO31" s="185">
        <f t="shared" si="8"/>
        <v>1024.65</v>
      </c>
      <c r="AP31" s="153">
        <f>AJ31*-Valores!$C$65</f>
        <v>-8232.589820000001</v>
      </c>
      <c r="AQ31" s="153">
        <f>AJ31*-Valores!$C$66</f>
        <v>-316.63807</v>
      </c>
      <c r="AR31" s="81">
        <f>AJ31*-Valores!$C$67</f>
        <v>-2849.74263</v>
      </c>
      <c r="AS31" s="81">
        <f>AJ31*-Valores!$C$68</f>
        <v>-1709.8455780000004</v>
      </c>
      <c r="AT31" s="81">
        <f>AJ31*-Valores!$C$69</f>
        <v>-189.98284200000003</v>
      </c>
      <c r="AU31" s="54">
        <f t="shared" si="5"/>
        <v>52953.29348000001</v>
      </c>
      <c r="AV31" s="54">
        <f t="shared" si="6"/>
        <v>53903.20769000001</v>
      </c>
      <c r="AW31" s="81">
        <f>AJ31*Valores!$C$70</f>
        <v>10132.41824</v>
      </c>
      <c r="AX31" s="81">
        <f>AJ31*Valores!$C$71</f>
        <v>2849.74263</v>
      </c>
      <c r="AY31" s="81">
        <f>AJ31*Valores!$C$73</f>
        <v>633.27614</v>
      </c>
      <c r="AZ31" s="81">
        <f>AJ31*Valores!$C$74</f>
        <v>2216.4664900000007</v>
      </c>
      <c r="BA31" s="81">
        <f>AJ31*Valores!$C$75</f>
        <v>379.96568400000007</v>
      </c>
      <c r="BB31" s="81">
        <f t="shared" si="9"/>
        <v>3419.691156000001</v>
      </c>
      <c r="BC31" s="55"/>
      <c r="BD31" s="55">
        <v>45</v>
      </c>
      <c r="BE31" s="52" t="s">
        <v>461</v>
      </c>
    </row>
    <row r="32" spans="1:57" s="9" customFormat="1" ht="11.25" customHeight="1">
      <c r="A32" s="20">
        <v>31</v>
      </c>
      <c r="B32" s="20"/>
      <c r="C32" s="9" t="s">
        <v>55</v>
      </c>
      <c r="E32" s="9">
        <f t="shared" si="7"/>
        <v>20</v>
      </c>
      <c r="F32" s="10" t="s">
        <v>56</v>
      </c>
      <c r="G32" s="123">
        <v>92</v>
      </c>
      <c r="H32" s="7">
        <f>INT((G32*Valores!$C$2*100)+0.5)/100</f>
        <v>551.94</v>
      </c>
      <c r="I32" s="113">
        <v>3483</v>
      </c>
      <c r="J32" s="77">
        <f>INT((I32*Valores!$C$2*100)+0.5)/100</f>
        <v>20895.58</v>
      </c>
      <c r="K32" s="144">
        <v>1217</v>
      </c>
      <c r="L32" s="77">
        <f>INT((K32*Valores!$C$2*100)+0.5)/100</f>
        <v>7301.15</v>
      </c>
      <c r="M32" s="123">
        <v>0</v>
      </c>
      <c r="N32" s="77">
        <f>INT((M32*Valores!$C$2*100)+0.5)/100</f>
        <v>0</v>
      </c>
      <c r="O32" s="77">
        <f t="shared" si="0"/>
        <v>0</v>
      </c>
      <c r="P32" s="77">
        <f t="shared" si="1"/>
        <v>15027.824999999999</v>
      </c>
      <c r="Q32" s="78">
        <f>Valores!$C$18</f>
        <v>7089.27</v>
      </c>
      <c r="R32" s="78">
        <f>Valores!$D$4</f>
        <v>2683.49</v>
      </c>
      <c r="S32" s="77">
        <v>0</v>
      </c>
      <c r="T32" s="79">
        <f>Valores!$C$43</f>
        <v>1306.98</v>
      </c>
      <c r="U32" s="77">
        <f>Valores!$C$23</f>
        <v>2584.33</v>
      </c>
      <c r="V32" s="77">
        <f t="shared" si="2"/>
        <v>3876.495</v>
      </c>
      <c r="W32" s="77">
        <v>0</v>
      </c>
      <c r="X32" s="77">
        <v>0</v>
      </c>
      <c r="Y32" s="116">
        <v>0</v>
      </c>
      <c r="Z32" s="77">
        <f>Y32*Valores!$C$2</f>
        <v>0</v>
      </c>
      <c r="AA32" s="77">
        <v>0</v>
      </c>
      <c r="AB32" s="89">
        <f>Valores!$C$29</f>
        <v>151.15</v>
      </c>
      <c r="AC32" s="77">
        <f t="shared" si="3"/>
        <v>0</v>
      </c>
      <c r="AD32" s="77">
        <f>Valores!$C$30</f>
        <v>151.15</v>
      </c>
      <c r="AE32" s="116">
        <v>0</v>
      </c>
      <c r="AF32" s="77">
        <f>INT(((AE32*Valores!$C$2)*100)+0.5)/100</f>
        <v>0</v>
      </c>
      <c r="AG32" s="77">
        <f>Valores!$C$58</f>
        <v>307.46</v>
      </c>
      <c r="AH32" s="77">
        <f>Valores!$C$60</f>
        <v>87.85</v>
      </c>
      <c r="AI32" s="77">
        <f>SUM(H32,J32,L32,N32,O32,P32,Q32,R32,S32,T32,V32,W32,X32,Z32,AA32,AB32,AC32,AD32,AF32,AG32,AH32)*Valores!$C$63</f>
        <v>0</v>
      </c>
      <c r="AJ32" s="15">
        <f t="shared" si="4"/>
        <v>59430.340000000004</v>
      </c>
      <c r="AK32" s="78">
        <f>Valores!$C$35</f>
        <v>415.59</v>
      </c>
      <c r="AL32" s="79">
        <f>Valores!$C$9</f>
        <v>351.39</v>
      </c>
      <c r="AM32" s="89">
        <f>Valores!$C$50</f>
        <v>257.67</v>
      </c>
      <c r="AN32" s="79">
        <f>IF($H$4="SI",SUM(AL32+AM32),AL32)*Valores!$C$63</f>
        <v>0</v>
      </c>
      <c r="AO32" s="12">
        <f t="shared" si="8"/>
        <v>1024.65</v>
      </c>
      <c r="AP32" s="152">
        <f>AJ32*-Valores!$C$65</f>
        <v>-7725.944200000001</v>
      </c>
      <c r="AQ32" s="152">
        <f>AJ32*-Valores!$C$66</f>
        <v>-297.1517</v>
      </c>
      <c r="AR32" s="78">
        <f>AJ32*-Valores!$C$67</f>
        <v>-2674.3653</v>
      </c>
      <c r="AS32" s="78">
        <f>AJ32*-Valores!$C$68</f>
        <v>-1604.6191800000004</v>
      </c>
      <c r="AT32" s="78">
        <f>AJ32*-Valores!$C$69</f>
        <v>-178.29102</v>
      </c>
      <c r="AU32" s="15">
        <f t="shared" si="5"/>
        <v>49757.52880000001</v>
      </c>
      <c r="AV32" s="15">
        <f t="shared" si="6"/>
        <v>50648.98390000001</v>
      </c>
      <c r="AW32" s="78">
        <f>AJ32*Valores!$C$70</f>
        <v>9508.8544</v>
      </c>
      <c r="AX32" s="78">
        <f>AJ32*Valores!$C$71</f>
        <v>2674.3653</v>
      </c>
      <c r="AY32" s="78">
        <f>AJ32*Valores!$C$73</f>
        <v>594.3034</v>
      </c>
      <c r="AZ32" s="78">
        <f>AJ32*Valores!$C$74</f>
        <v>2080.0619</v>
      </c>
      <c r="BA32" s="78">
        <f>AJ32*Valores!$C$75</f>
        <v>356.58204</v>
      </c>
      <c r="BB32" s="78">
        <f t="shared" si="9"/>
        <v>3209.2383600000007</v>
      </c>
      <c r="BC32" s="20"/>
      <c r="BD32" s="20">
        <v>45</v>
      </c>
      <c r="BE32" s="9" t="s">
        <v>462</v>
      </c>
    </row>
    <row r="33" spans="1:57" s="9" customFormat="1" ht="11.25" customHeight="1">
      <c r="A33" s="20">
        <v>32</v>
      </c>
      <c r="B33" s="20"/>
      <c r="C33" s="9" t="s">
        <v>390</v>
      </c>
      <c r="E33" s="9">
        <f t="shared" si="7"/>
        <v>30</v>
      </c>
      <c r="F33" s="10" t="s">
        <v>391</v>
      </c>
      <c r="G33" s="123">
        <v>85</v>
      </c>
      <c r="H33" s="7">
        <f>INT((G33*Valores!$C$2*100)+0.5)/100</f>
        <v>509.94</v>
      </c>
      <c r="I33" s="113">
        <v>3498</v>
      </c>
      <c r="J33" s="77">
        <f>INT((I33*Valores!$C$2*100)+0.5)/100</f>
        <v>20985.57</v>
      </c>
      <c r="K33" s="144">
        <v>1209</v>
      </c>
      <c r="L33" s="77">
        <f>INT((K33*Valores!$C$2*100)+0.5)/100</f>
        <v>7253.16</v>
      </c>
      <c r="M33" s="123">
        <v>0</v>
      </c>
      <c r="N33" s="77">
        <f>INT((M33*Valores!$C$2*100)+0.5)/100</f>
        <v>0</v>
      </c>
      <c r="O33" s="77">
        <f t="shared" si="0"/>
        <v>0</v>
      </c>
      <c r="P33" s="77">
        <f t="shared" si="1"/>
        <v>15027.824999999999</v>
      </c>
      <c r="Q33" s="78">
        <f>Valores!$C$18</f>
        <v>7089.27</v>
      </c>
      <c r="R33" s="78">
        <f>Valores!$D$4</f>
        <v>2683.49</v>
      </c>
      <c r="S33" s="77">
        <v>0</v>
      </c>
      <c r="T33" s="79">
        <f>Valores!$C$43</f>
        <v>1306.98</v>
      </c>
      <c r="U33" s="77">
        <f>Valores!$C$23</f>
        <v>2584.33</v>
      </c>
      <c r="V33" s="77">
        <f t="shared" si="2"/>
        <v>3876.495</v>
      </c>
      <c r="W33" s="77">
        <v>0</v>
      </c>
      <c r="X33" s="77">
        <v>0</v>
      </c>
      <c r="Y33" s="116">
        <v>0</v>
      </c>
      <c r="Z33" s="77">
        <f>Y33*Valores!$C$2</f>
        <v>0</v>
      </c>
      <c r="AA33" s="77">
        <v>0</v>
      </c>
      <c r="AB33" s="89">
        <f>Valores!$C$29</f>
        <v>151.15</v>
      </c>
      <c r="AC33" s="77">
        <f t="shared" si="3"/>
        <v>0</v>
      </c>
      <c r="AD33" s="77">
        <f>Valores!$C$30</f>
        <v>151.15</v>
      </c>
      <c r="AE33" s="116">
        <v>0</v>
      </c>
      <c r="AF33" s="77">
        <f>INT(((AE33*Valores!$C$2)*100)+0.5)/100</f>
        <v>0</v>
      </c>
      <c r="AG33" s="77">
        <f>Valores!$C$58</f>
        <v>307.46</v>
      </c>
      <c r="AH33" s="77">
        <f>Valores!$C$60</f>
        <v>87.85</v>
      </c>
      <c r="AI33" s="77">
        <f>SUM(H33,J33,L33,N33,O33,P33,Q33,R33,S33,T33,V33,W33,X33,Z33,AA33,AB33,AC33,AD33,AF33,AG33,AH33)*Valores!$C$63</f>
        <v>0</v>
      </c>
      <c r="AJ33" s="15">
        <f t="shared" si="4"/>
        <v>59430.340000000004</v>
      </c>
      <c r="AK33" s="78">
        <f>Valores!$C$35</f>
        <v>415.59</v>
      </c>
      <c r="AL33" s="79">
        <f>Valores!$C$9</f>
        <v>351.39</v>
      </c>
      <c r="AM33" s="89">
        <f>Valores!$C$50</f>
        <v>257.67</v>
      </c>
      <c r="AN33" s="79">
        <f>IF($H$4="SI",SUM(AL33+AM33),AL33)*Valores!$C$63</f>
        <v>0</v>
      </c>
      <c r="AO33" s="12">
        <f t="shared" si="8"/>
        <v>1024.65</v>
      </c>
      <c r="AP33" s="152">
        <f>AJ33*-Valores!$C$65</f>
        <v>-7725.944200000001</v>
      </c>
      <c r="AQ33" s="152">
        <f>AJ33*-Valores!$C$66</f>
        <v>-297.1517</v>
      </c>
      <c r="AR33" s="78">
        <f>AJ33*-Valores!$C$67</f>
        <v>-2674.3653</v>
      </c>
      <c r="AS33" s="78">
        <f>AJ33*-Valores!$C$68</f>
        <v>-1604.6191800000004</v>
      </c>
      <c r="AT33" s="78">
        <f>AJ33*-Valores!$C$69</f>
        <v>-178.29102</v>
      </c>
      <c r="AU33" s="15">
        <f t="shared" si="5"/>
        <v>49757.52880000001</v>
      </c>
      <c r="AV33" s="15">
        <f t="shared" si="6"/>
        <v>50648.98390000001</v>
      </c>
      <c r="AW33" s="78">
        <f>AJ33*Valores!$C$70</f>
        <v>9508.8544</v>
      </c>
      <c r="AX33" s="78">
        <f>AJ33*Valores!$C$71</f>
        <v>2674.3653</v>
      </c>
      <c r="AY33" s="78">
        <f>AJ33*Valores!$C$73</f>
        <v>594.3034</v>
      </c>
      <c r="AZ33" s="78">
        <f>AJ33*Valores!$C$74</f>
        <v>2080.0619</v>
      </c>
      <c r="BA33" s="78">
        <f>AJ33*Valores!$C$75</f>
        <v>356.58204</v>
      </c>
      <c r="BB33" s="78">
        <f t="shared" si="9"/>
        <v>3209.2383600000007</v>
      </c>
      <c r="BC33" s="20"/>
      <c r="BD33" s="20">
        <v>45</v>
      </c>
      <c r="BE33" s="9" t="s">
        <v>462</v>
      </c>
    </row>
    <row r="34" spans="1:57" s="9" customFormat="1" ht="11.25" customHeight="1">
      <c r="A34" s="20">
        <v>33</v>
      </c>
      <c r="B34" s="20"/>
      <c r="C34" s="9" t="s">
        <v>57</v>
      </c>
      <c r="E34" s="9">
        <f t="shared" si="7"/>
        <v>16</v>
      </c>
      <c r="F34" s="10" t="s">
        <v>58</v>
      </c>
      <c r="G34" s="123">
        <v>92</v>
      </c>
      <c r="H34" s="7">
        <f>INT((G34*Valores!$C$2*100)+0.5)/100</f>
        <v>551.94</v>
      </c>
      <c r="I34" s="113">
        <v>3483</v>
      </c>
      <c r="J34" s="77">
        <f>INT((I34*Valores!$C$2*100)+0.5)/100</f>
        <v>20895.58</v>
      </c>
      <c r="K34" s="144">
        <v>1217</v>
      </c>
      <c r="L34" s="77">
        <f>INT((K34*Valores!$C$2*100)+0.5)/100</f>
        <v>7301.15</v>
      </c>
      <c r="M34" s="123">
        <v>0</v>
      </c>
      <c r="N34" s="77">
        <f>INT((M34*Valores!$C$2*100)+0.5)/100</f>
        <v>0</v>
      </c>
      <c r="O34" s="77">
        <f t="shared" si="0"/>
        <v>0</v>
      </c>
      <c r="P34" s="77">
        <f t="shared" si="1"/>
        <v>15027.824999999999</v>
      </c>
      <c r="Q34" s="78">
        <f>Valores!$C$18</f>
        <v>7089.27</v>
      </c>
      <c r="R34" s="78">
        <f>Valores!$D$4</f>
        <v>2683.49</v>
      </c>
      <c r="S34" s="77">
        <v>0</v>
      </c>
      <c r="T34" s="79">
        <f>Valores!$C$43</f>
        <v>1306.98</v>
      </c>
      <c r="U34" s="77">
        <f>Valores!$C$23</f>
        <v>2584.33</v>
      </c>
      <c r="V34" s="77">
        <f t="shared" si="2"/>
        <v>3876.495</v>
      </c>
      <c r="W34" s="77">
        <v>0</v>
      </c>
      <c r="X34" s="77">
        <v>0</v>
      </c>
      <c r="Y34" s="116">
        <v>0</v>
      </c>
      <c r="Z34" s="77">
        <f>Y34*Valores!$C$2</f>
        <v>0</v>
      </c>
      <c r="AA34" s="77">
        <v>0</v>
      </c>
      <c r="AB34" s="89">
        <f>Valores!$C$29</f>
        <v>151.15</v>
      </c>
      <c r="AC34" s="77">
        <f t="shared" si="3"/>
        <v>0</v>
      </c>
      <c r="AD34" s="77">
        <f>Valores!$C$30</f>
        <v>151.15</v>
      </c>
      <c r="AE34" s="116">
        <v>0</v>
      </c>
      <c r="AF34" s="77">
        <f>INT(((AE34*Valores!$C$2)*100)+0.5)/100</f>
        <v>0</v>
      </c>
      <c r="AG34" s="77">
        <f>Valores!$C$58</f>
        <v>307.46</v>
      </c>
      <c r="AH34" s="77">
        <f>Valores!$C$60</f>
        <v>87.85</v>
      </c>
      <c r="AI34" s="77">
        <f>SUM(H34,J34,L34,N34,O34,P34,Q34,R34,S34,T34,V34,W34,X34,Z34,AA34,AB34,AC34,AD34,AF34,AG34,AH34)*Valores!$C$63</f>
        <v>0</v>
      </c>
      <c r="AJ34" s="15">
        <f t="shared" si="4"/>
        <v>59430.340000000004</v>
      </c>
      <c r="AK34" s="78">
        <f>Valores!$C$35</f>
        <v>415.59</v>
      </c>
      <c r="AL34" s="79">
        <f>Valores!$C$9</f>
        <v>351.39</v>
      </c>
      <c r="AM34" s="89">
        <f>Valores!$C$50</f>
        <v>257.67</v>
      </c>
      <c r="AN34" s="79">
        <f>IF($H$4="SI",SUM(AL34+AM34),AL34)*Valores!$C$63</f>
        <v>0</v>
      </c>
      <c r="AO34" s="12">
        <f t="shared" si="8"/>
        <v>1024.65</v>
      </c>
      <c r="AP34" s="152">
        <f>AJ34*-Valores!$C$65</f>
        <v>-7725.944200000001</v>
      </c>
      <c r="AQ34" s="152">
        <f>AJ34*-Valores!$C$66</f>
        <v>-297.1517</v>
      </c>
      <c r="AR34" s="78">
        <f>AJ34*-Valores!$C$67</f>
        <v>-2674.3653</v>
      </c>
      <c r="AS34" s="78">
        <f>AJ34*-Valores!$C$68</f>
        <v>-1604.6191800000004</v>
      </c>
      <c r="AT34" s="78">
        <f>AJ34*-Valores!$C$69</f>
        <v>-178.29102</v>
      </c>
      <c r="AU34" s="15">
        <f t="shared" si="5"/>
        <v>49757.52880000001</v>
      </c>
      <c r="AV34" s="15">
        <f t="shared" si="6"/>
        <v>50648.98390000001</v>
      </c>
      <c r="AW34" s="78">
        <f>AJ34*Valores!$C$70</f>
        <v>9508.8544</v>
      </c>
      <c r="AX34" s="78">
        <f>AJ34*Valores!$C$71</f>
        <v>2674.3653</v>
      </c>
      <c r="AY34" s="78">
        <f>AJ34*Valores!$C$73</f>
        <v>594.3034</v>
      </c>
      <c r="AZ34" s="78">
        <f>AJ34*Valores!$C$74</f>
        <v>2080.0619</v>
      </c>
      <c r="BA34" s="78">
        <f>AJ34*Valores!$C$75</f>
        <v>356.58204</v>
      </c>
      <c r="BB34" s="78">
        <f t="shared" si="9"/>
        <v>3209.2383600000007</v>
      </c>
      <c r="BC34" s="20"/>
      <c r="BD34" s="20">
        <v>45</v>
      </c>
      <c r="BE34" s="9" t="s">
        <v>462</v>
      </c>
    </row>
    <row r="35" spans="1:57" s="9" customFormat="1" ht="11.25" customHeight="1">
      <c r="A35" s="20">
        <v>34</v>
      </c>
      <c r="B35" s="20"/>
      <c r="C35" s="9" t="s">
        <v>59</v>
      </c>
      <c r="E35" s="9">
        <f t="shared" si="7"/>
        <v>28</v>
      </c>
      <c r="F35" s="10" t="s">
        <v>60</v>
      </c>
      <c r="G35" s="123">
        <v>85</v>
      </c>
      <c r="H35" s="7">
        <f>INT((G35*Valores!$C$2*100)+0.5)/100</f>
        <v>509.94</v>
      </c>
      <c r="I35" s="113">
        <v>3498</v>
      </c>
      <c r="J35" s="77">
        <f>INT((I35*Valores!$C$2*100)+0.5)/100</f>
        <v>20985.57</v>
      </c>
      <c r="K35" s="144">
        <v>1209</v>
      </c>
      <c r="L35" s="77">
        <f>INT((K35*Valores!$C$2*100)+0.5)/100</f>
        <v>7253.16</v>
      </c>
      <c r="M35" s="123">
        <v>0</v>
      </c>
      <c r="N35" s="77">
        <f>INT((M35*Valores!$C$2*100)+0.5)/100</f>
        <v>0</v>
      </c>
      <c r="O35" s="77">
        <f t="shared" si="0"/>
        <v>0</v>
      </c>
      <c r="P35" s="77">
        <f t="shared" si="1"/>
        <v>15027.824999999999</v>
      </c>
      <c r="Q35" s="78">
        <f>Valores!$C$18</f>
        <v>7089.27</v>
      </c>
      <c r="R35" s="78">
        <f>Valores!$D$4</f>
        <v>2683.49</v>
      </c>
      <c r="S35" s="77">
        <v>0</v>
      </c>
      <c r="T35" s="79">
        <f>Valores!$C$43</f>
        <v>1306.98</v>
      </c>
      <c r="U35" s="77">
        <f>Valores!$C$23</f>
        <v>2584.33</v>
      </c>
      <c r="V35" s="77">
        <f t="shared" si="2"/>
        <v>3876.495</v>
      </c>
      <c r="W35" s="77">
        <v>0</v>
      </c>
      <c r="X35" s="77">
        <v>0</v>
      </c>
      <c r="Y35" s="116">
        <v>0</v>
      </c>
      <c r="Z35" s="77">
        <f>Y35*Valores!$C$2</f>
        <v>0</v>
      </c>
      <c r="AA35" s="77">
        <v>0</v>
      </c>
      <c r="AB35" s="89">
        <f>Valores!$C$29</f>
        <v>151.15</v>
      </c>
      <c r="AC35" s="77">
        <f t="shared" si="3"/>
        <v>0</v>
      </c>
      <c r="AD35" s="77">
        <f>Valores!$C$30</f>
        <v>151.15</v>
      </c>
      <c r="AE35" s="116">
        <v>0</v>
      </c>
      <c r="AF35" s="77">
        <f>INT(((AE35*Valores!$C$2)*100)+0.5)/100</f>
        <v>0</v>
      </c>
      <c r="AG35" s="77">
        <f>Valores!$C$58</f>
        <v>307.46</v>
      </c>
      <c r="AH35" s="77">
        <f>Valores!$C$60</f>
        <v>87.85</v>
      </c>
      <c r="AI35" s="77">
        <f>SUM(H35,J35,L35,N35,O35,P35,Q35,R35,S35,T35,V35,W35,X35,Z35,AA35,AB35,AC35,AD35,AF35,AG35,AH35)*Valores!$C$63</f>
        <v>0</v>
      </c>
      <c r="AJ35" s="15">
        <f t="shared" si="4"/>
        <v>59430.340000000004</v>
      </c>
      <c r="AK35" s="78">
        <f>Valores!$C$35</f>
        <v>415.59</v>
      </c>
      <c r="AL35" s="79">
        <f>Valores!$C$9</f>
        <v>351.39</v>
      </c>
      <c r="AM35" s="89">
        <f>Valores!$C$50</f>
        <v>257.67</v>
      </c>
      <c r="AN35" s="79">
        <f>IF($H$4="SI",SUM(AL35+AM35),AL35)*Valores!$C$63</f>
        <v>0</v>
      </c>
      <c r="AO35" s="12">
        <f t="shared" si="8"/>
        <v>1024.65</v>
      </c>
      <c r="AP35" s="152">
        <f>AJ35*-Valores!$C$65</f>
        <v>-7725.944200000001</v>
      </c>
      <c r="AQ35" s="152">
        <f>AJ35*-Valores!$C$66</f>
        <v>-297.1517</v>
      </c>
      <c r="AR35" s="78">
        <f>AJ35*-Valores!$C$67</f>
        <v>-2674.3653</v>
      </c>
      <c r="AS35" s="78">
        <f>AJ35*-Valores!$C$68</f>
        <v>-1604.6191800000004</v>
      </c>
      <c r="AT35" s="78">
        <f>AJ35*-Valores!$C$69</f>
        <v>-178.29102</v>
      </c>
      <c r="AU35" s="15">
        <f t="shared" si="5"/>
        <v>49757.52880000001</v>
      </c>
      <c r="AV35" s="15">
        <f t="shared" si="6"/>
        <v>50648.98390000001</v>
      </c>
      <c r="AW35" s="78">
        <f>AJ35*Valores!$C$70</f>
        <v>9508.8544</v>
      </c>
      <c r="AX35" s="78">
        <f>AJ35*Valores!$C$71</f>
        <v>2674.3653</v>
      </c>
      <c r="AY35" s="78">
        <f>AJ35*Valores!$C$73</f>
        <v>594.3034</v>
      </c>
      <c r="AZ35" s="78">
        <f>AJ35*Valores!$C$74</f>
        <v>2080.0619</v>
      </c>
      <c r="BA35" s="78">
        <f>AJ35*Valores!$C$75</f>
        <v>356.58204</v>
      </c>
      <c r="BB35" s="78">
        <f t="shared" si="9"/>
        <v>3209.2383600000007</v>
      </c>
      <c r="BC35" s="20"/>
      <c r="BD35" s="20">
        <v>45</v>
      </c>
      <c r="BE35" s="9" t="s">
        <v>461</v>
      </c>
    </row>
    <row r="36" spans="1:57" s="9" customFormat="1" ht="11.25" customHeight="1">
      <c r="A36" s="55">
        <v>35</v>
      </c>
      <c r="B36" s="55" t="s">
        <v>458</v>
      </c>
      <c r="C36" s="52" t="s">
        <v>61</v>
      </c>
      <c r="D36" s="52"/>
      <c r="E36" s="52">
        <f t="shared" si="7"/>
        <v>29</v>
      </c>
      <c r="F36" s="53" t="s">
        <v>62</v>
      </c>
      <c r="G36" s="124">
        <v>92</v>
      </c>
      <c r="H36" s="129">
        <f>INT((G36*Valores!$C$2*100)+0.5)/100</f>
        <v>551.94</v>
      </c>
      <c r="I36" s="114">
        <v>3483</v>
      </c>
      <c r="J36" s="80">
        <f>INT((I36*Valores!$C$2*100)+0.5)/100</f>
        <v>20895.58</v>
      </c>
      <c r="K36" s="145">
        <v>1217</v>
      </c>
      <c r="L36" s="80">
        <f>INT((K36*Valores!$C$2*100)+0.5)/100</f>
        <v>7301.15</v>
      </c>
      <c r="M36" s="124">
        <v>0</v>
      </c>
      <c r="N36" s="80">
        <f>INT((M36*Valores!$C$2*100)+0.5)/100</f>
        <v>0</v>
      </c>
      <c r="O36" s="80">
        <f t="shared" si="0"/>
        <v>0</v>
      </c>
      <c r="P36" s="80">
        <f t="shared" si="1"/>
        <v>15027.824999999999</v>
      </c>
      <c r="Q36" s="81">
        <f>Valores!$C$18</f>
        <v>7089.27</v>
      </c>
      <c r="R36" s="81">
        <f>Valores!$D$4</f>
        <v>2683.49</v>
      </c>
      <c r="S36" s="80">
        <v>0</v>
      </c>
      <c r="T36" s="82">
        <f>Valores!$C$43</f>
        <v>1306.98</v>
      </c>
      <c r="U36" s="80">
        <f>Valores!$C$23</f>
        <v>2584.33</v>
      </c>
      <c r="V36" s="80">
        <f t="shared" si="2"/>
        <v>3876.495</v>
      </c>
      <c r="W36" s="80">
        <v>0</v>
      </c>
      <c r="X36" s="80">
        <v>0</v>
      </c>
      <c r="Y36" s="115">
        <v>0</v>
      </c>
      <c r="Z36" s="80">
        <f>Y36*Valores!$C$2</f>
        <v>0</v>
      </c>
      <c r="AA36" s="80">
        <f>SUM(L36,J36,H36,T36)*Valores!$C$3</f>
        <v>4508.3475</v>
      </c>
      <c r="AB36" s="90">
        <f>Valores!$C$29</f>
        <v>151.15</v>
      </c>
      <c r="AC36" s="80">
        <f t="shared" si="3"/>
        <v>0</v>
      </c>
      <c r="AD36" s="80">
        <f>Valores!$C$30</f>
        <v>151.15</v>
      </c>
      <c r="AE36" s="115">
        <v>0</v>
      </c>
      <c r="AF36" s="80">
        <f>INT(((AE36*Valores!$C$2)*100)+0.5)/100</f>
        <v>0</v>
      </c>
      <c r="AG36" s="80">
        <f>Valores!$C$58</f>
        <v>307.46</v>
      </c>
      <c r="AH36" s="80">
        <f>Valores!$C$60</f>
        <v>87.85</v>
      </c>
      <c r="AI36" s="80">
        <f>SUM(H36,J36,L36,N36,O36,P36,Q36,R36,S36,T36,V36,W36,X36,Z36,AA36,AB36,AC36,AD36,AF36,AG36,AH36)*Valores!$C$63</f>
        <v>0</v>
      </c>
      <c r="AJ36" s="54">
        <f t="shared" si="4"/>
        <v>63938.68750000001</v>
      </c>
      <c r="AK36" s="81">
        <f>Valores!$C$35</f>
        <v>415.59</v>
      </c>
      <c r="AL36" s="82">
        <f>Valores!$C$9</f>
        <v>351.39</v>
      </c>
      <c r="AM36" s="90">
        <f>Valores!$C$50</f>
        <v>257.67</v>
      </c>
      <c r="AN36" s="82">
        <f>IF($H$4="SI",SUM(AL36+AM36),AL36)*Valores!$C$63</f>
        <v>0</v>
      </c>
      <c r="AO36" s="185">
        <f t="shared" si="8"/>
        <v>1024.65</v>
      </c>
      <c r="AP36" s="153">
        <f>AJ36*-Valores!$C$65</f>
        <v>-8312.029375000002</v>
      </c>
      <c r="AQ36" s="153">
        <f>AJ36*-Valores!$C$66</f>
        <v>-319.6934375</v>
      </c>
      <c r="AR36" s="81">
        <f>AJ36*-Valores!$C$67</f>
        <v>-2877.2409375</v>
      </c>
      <c r="AS36" s="81">
        <f>AJ36*-Valores!$C$68</f>
        <v>-1726.3445625000004</v>
      </c>
      <c r="AT36" s="81">
        <f>AJ36*-Valores!$C$69</f>
        <v>-191.81606250000002</v>
      </c>
      <c r="AU36" s="54">
        <f t="shared" si="5"/>
        <v>53454.37375000001</v>
      </c>
      <c r="AV36" s="54">
        <f t="shared" si="6"/>
        <v>54413.45406250001</v>
      </c>
      <c r="AW36" s="81">
        <f>AJ36*Valores!$C$70</f>
        <v>10230.19</v>
      </c>
      <c r="AX36" s="81">
        <f>AJ36*Valores!$C$71</f>
        <v>2877.2409375</v>
      </c>
      <c r="AY36" s="81">
        <f>AJ36*Valores!$C$73</f>
        <v>639.386875</v>
      </c>
      <c r="AZ36" s="81">
        <f>AJ36*Valores!$C$74</f>
        <v>2237.8540625000005</v>
      </c>
      <c r="BA36" s="81">
        <f>AJ36*Valores!$C$75</f>
        <v>383.63212500000003</v>
      </c>
      <c r="BB36" s="81">
        <f t="shared" si="9"/>
        <v>3452.6891250000003</v>
      </c>
      <c r="BC36" s="55"/>
      <c r="BD36" s="55">
        <v>45</v>
      </c>
      <c r="BE36" s="52" t="s">
        <v>461</v>
      </c>
    </row>
    <row r="37" spans="1:57" s="9" customFormat="1" ht="11.25" customHeight="1">
      <c r="A37" s="20">
        <v>36</v>
      </c>
      <c r="B37" s="20"/>
      <c r="C37" s="9" t="s">
        <v>63</v>
      </c>
      <c r="E37" s="9">
        <f t="shared" si="7"/>
        <v>27</v>
      </c>
      <c r="F37" s="10" t="s">
        <v>64</v>
      </c>
      <c r="G37" s="123">
        <v>85</v>
      </c>
      <c r="H37" s="7">
        <f>INT((G37*Valores!$C$2*100)+0.5)/100</f>
        <v>509.94</v>
      </c>
      <c r="I37" s="113">
        <v>3498</v>
      </c>
      <c r="J37" s="77">
        <f>INT((I37*Valores!$C$2*100)+0.5)/100</f>
        <v>20985.57</v>
      </c>
      <c r="K37" s="144">
        <v>202</v>
      </c>
      <c r="L37" s="77">
        <f>INT((K37*Valores!$C$2*100)+0.5)/100</f>
        <v>1211.86</v>
      </c>
      <c r="M37" s="123">
        <v>0</v>
      </c>
      <c r="N37" s="77">
        <f>INT((M37*Valores!$C$2*100)+0.5)/100</f>
        <v>0</v>
      </c>
      <c r="O37" s="77">
        <f t="shared" si="0"/>
        <v>0</v>
      </c>
      <c r="P37" s="77">
        <f t="shared" si="1"/>
        <v>12007.175</v>
      </c>
      <c r="Q37" s="78">
        <f>Valores!$C$18</f>
        <v>7089.27</v>
      </c>
      <c r="R37" s="78">
        <f>Valores!$D$4</f>
        <v>2683.49</v>
      </c>
      <c r="S37" s="77">
        <v>0</v>
      </c>
      <c r="T37" s="79">
        <f>Valores!$C$43</f>
        <v>1306.98</v>
      </c>
      <c r="U37" s="77">
        <f>Valores!$C$23</f>
        <v>2584.33</v>
      </c>
      <c r="V37" s="77">
        <f t="shared" si="2"/>
        <v>3876.495</v>
      </c>
      <c r="W37" s="77">
        <v>0</v>
      </c>
      <c r="X37" s="77">
        <v>0</v>
      </c>
      <c r="Y37" s="116">
        <v>0</v>
      </c>
      <c r="Z37" s="77">
        <f>Y37*Valores!$C$2</f>
        <v>0</v>
      </c>
      <c r="AA37" s="77">
        <v>0</v>
      </c>
      <c r="AB37" s="89">
        <f>Valores!$C$29</f>
        <v>151.15</v>
      </c>
      <c r="AC37" s="77">
        <f t="shared" si="3"/>
        <v>0</v>
      </c>
      <c r="AD37" s="77">
        <f>Valores!$C$30</f>
        <v>151.15</v>
      </c>
      <c r="AE37" s="116">
        <v>0</v>
      </c>
      <c r="AF37" s="77">
        <f>INT(((AE37*Valores!$C$2)*100)+0.5)/100</f>
        <v>0</v>
      </c>
      <c r="AG37" s="77">
        <f>Valores!$C$58</f>
        <v>307.46</v>
      </c>
      <c r="AH37" s="77">
        <f>Valores!$C$60</f>
        <v>87.85</v>
      </c>
      <c r="AI37" s="77">
        <f>SUM(H37,J37,L37,N37,O37,P37,Q37,R37,S37,T37,V37,W37,X37,Z37,AA37,AB37,AC37,AD37,AF37,AG37,AH37)*Valores!$C$63</f>
        <v>0</v>
      </c>
      <c r="AJ37" s="15">
        <f t="shared" si="4"/>
        <v>50368.39000000001</v>
      </c>
      <c r="AK37" s="78">
        <f>Valores!$C$35</f>
        <v>415.59</v>
      </c>
      <c r="AL37" s="79">
        <f>Valores!$C$9</f>
        <v>351.39</v>
      </c>
      <c r="AM37" s="89">
        <f>Valores!$C$50</f>
        <v>257.67</v>
      </c>
      <c r="AN37" s="79">
        <f>IF($H$4="SI",SUM(AL37+AM37),AL37)*Valores!$C$63</f>
        <v>0</v>
      </c>
      <c r="AO37" s="12">
        <f t="shared" si="8"/>
        <v>1024.65</v>
      </c>
      <c r="AP37" s="152">
        <f>AJ37*-Valores!$C$65</f>
        <v>-6547.890700000001</v>
      </c>
      <c r="AQ37" s="152">
        <f>AJ37*-Valores!$C$66</f>
        <v>-251.84195000000003</v>
      </c>
      <c r="AR37" s="78">
        <f>AJ37*-Valores!$C$67</f>
        <v>-2266.5775500000004</v>
      </c>
      <c r="AS37" s="78">
        <f>AJ37*-Valores!$C$68</f>
        <v>-1359.9465300000004</v>
      </c>
      <c r="AT37" s="78">
        <f>AJ37*-Valores!$C$69</f>
        <v>-151.10517000000002</v>
      </c>
      <c r="AU37" s="15">
        <f t="shared" si="5"/>
        <v>42326.7298</v>
      </c>
      <c r="AV37" s="15">
        <f t="shared" si="6"/>
        <v>43082.25565</v>
      </c>
      <c r="AW37" s="78">
        <f>AJ37*Valores!$C$70</f>
        <v>8058.942400000001</v>
      </c>
      <c r="AX37" s="78">
        <f>AJ37*Valores!$C$71</f>
        <v>2266.5775500000004</v>
      </c>
      <c r="AY37" s="78">
        <f>AJ37*Valores!$C$73</f>
        <v>503.68390000000005</v>
      </c>
      <c r="AZ37" s="78">
        <f>AJ37*Valores!$C$74</f>
        <v>1762.8936500000004</v>
      </c>
      <c r="BA37" s="78">
        <f>AJ37*Valores!$C$75</f>
        <v>302.21034000000003</v>
      </c>
      <c r="BB37" s="78">
        <f t="shared" si="9"/>
        <v>2719.8930600000003</v>
      </c>
      <c r="BC37" s="20"/>
      <c r="BD37" s="20">
        <v>45</v>
      </c>
      <c r="BE37" s="9" t="s">
        <v>461</v>
      </c>
    </row>
    <row r="38" spans="1:57" s="9" customFormat="1" ht="11.25" customHeight="1">
      <c r="A38" s="20">
        <v>37</v>
      </c>
      <c r="B38" s="20"/>
      <c r="C38" s="9" t="s">
        <v>65</v>
      </c>
      <c r="E38" s="9">
        <f t="shared" si="7"/>
        <v>22</v>
      </c>
      <c r="F38" s="10" t="s">
        <v>66</v>
      </c>
      <c r="G38" s="123">
        <v>85</v>
      </c>
      <c r="H38" s="7">
        <f>INT((G38*Valores!$C$2*100)+0.5)/100</f>
        <v>509.94</v>
      </c>
      <c r="I38" s="113">
        <v>3498</v>
      </c>
      <c r="J38" s="77">
        <f>INT((I38*Valores!$C$2*100)+0.5)/100</f>
        <v>20985.57</v>
      </c>
      <c r="K38" s="144">
        <v>1209</v>
      </c>
      <c r="L38" s="77">
        <f>INT((K38*Valores!$C$2*100)+0.5)/100</f>
        <v>7253.16</v>
      </c>
      <c r="M38" s="123">
        <v>0</v>
      </c>
      <c r="N38" s="77">
        <f>INT((M38*Valores!$C$2*100)+0.5)/100</f>
        <v>0</v>
      </c>
      <c r="O38" s="77">
        <f t="shared" si="0"/>
        <v>0</v>
      </c>
      <c r="P38" s="77">
        <f t="shared" si="1"/>
        <v>15027.824999999999</v>
      </c>
      <c r="Q38" s="78">
        <f>Valores!$C$18</f>
        <v>7089.27</v>
      </c>
      <c r="R38" s="78">
        <f>Valores!$D$4</f>
        <v>2683.49</v>
      </c>
      <c r="S38" s="77">
        <v>0</v>
      </c>
      <c r="T38" s="79">
        <f>Valores!$C$43</f>
        <v>1306.98</v>
      </c>
      <c r="U38" s="77">
        <f>Valores!$C$23</f>
        <v>2584.33</v>
      </c>
      <c r="V38" s="77">
        <f t="shared" si="2"/>
        <v>3876.495</v>
      </c>
      <c r="W38" s="77">
        <v>0</v>
      </c>
      <c r="X38" s="77">
        <v>0</v>
      </c>
      <c r="Y38" s="116">
        <v>0</v>
      </c>
      <c r="Z38" s="77">
        <f>Y38*Valores!$C$2</f>
        <v>0</v>
      </c>
      <c r="AA38" s="77">
        <v>0</v>
      </c>
      <c r="AB38" s="89">
        <f>Valores!$C$29</f>
        <v>151.15</v>
      </c>
      <c r="AC38" s="77">
        <f t="shared" si="3"/>
        <v>0</v>
      </c>
      <c r="AD38" s="77">
        <f>Valores!$C$30</f>
        <v>151.15</v>
      </c>
      <c r="AE38" s="116">
        <v>0</v>
      </c>
      <c r="AF38" s="77">
        <f>INT(((AE38*Valores!$C$2)*100)+0.5)/100</f>
        <v>0</v>
      </c>
      <c r="AG38" s="77">
        <f>Valores!$C$58</f>
        <v>307.46</v>
      </c>
      <c r="AH38" s="77">
        <f>Valores!$C$60</f>
        <v>87.85</v>
      </c>
      <c r="AI38" s="77">
        <f>SUM(H38,J38,L38,N38,O38,P38,Q38,R38,S38,T38,V38,W38,X38,Z38,AA38,AB38,AC38,AD38,AF38,AG38,AH38)*Valores!$C$63</f>
        <v>0</v>
      </c>
      <c r="AJ38" s="15">
        <f t="shared" si="4"/>
        <v>59430.340000000004</v>
      </c>
      <c r="AK38" s="78">
        <f>Valores!$C$35</f>
        <v>415.59</v>
      </c>
      <c r="AL38" s="79">
        <f>Valores!$C$9</f>
        <v>351.39</v>
      </c>
      <c r="AM38" s="89">
        <f>Valores!$C$50</f>
        <v>257.67</v>
      </c>
      <c r="AN38" s="79">
        <f>IF($H$4="SI",SUM(AL38+AM38),AL38)*Valores!$C$63</f>
        <v>0</v>
      </c>
      <c r="AO38" s="12">
        <f t="shared" si="8"/>
        <v>1024.65</v>
      </c>
      <c r="AP38" s="152">
        <f>AJ38*-Valores!$C$65</f>
        <v>-7725.944200000001</v>
      </c>
      <c r="AQ38" s="152">
        <f>AJ38*-Valores!$C$66</f>
        <v>-297.1517</v>
      </c>
      <c r="AR38" s="78">
        <f>AJ38*-Valores!$C$67</f>
        <v>-2674.3653</v>
      </c>
      <c r="AS38" s="78">
        <f>AJ38*-Valores!$C$68</f>
        <v>-1604.6191800000004</v>
      </c>
      <c r="AT38" s="78">
        <f>AJ38*-Valores!$C$69</f>
        <v>-178.29102</v>
      </c>
      <c r="AU38" s="15">
        <f t="shared" si="5"/>
        <v>49757.52880000001</v>
      </c>
      <c r="AV38" s="15">
        <f t="shared" si="6"/>
        <v>50648.98390000001</v>
      </c>
      <c r="AW38" s="78">
        <f>AJ38*Valores!$C$70</f>
        <v>9508.8544</v>
      </c>
      <c r="AX38" s="78">
        <f>AJ38*Valores!$C$71</f>
        <v>2674.3653</v>
      </c>
      <c r="AY38" s="78">
        <f>AJ38*Valores!$C$73</f>
        <v>594.3034</v>
      </c>
      <c r="AZ38" s="78">
        <f>AJ38*Valores!$C$74</f>
        <v>2080.0619</v>
      </c>
      <c r="BA38" s="78">
        <f>AJ38*Valores!$C$75</f>
        <v>356.58204</v>
      </c>
      <c r="BB38" s="78">
        <f t="shared" si="9"/>
        <v>3209.2383600000007</v>
      </c>
      <c r="BC38" s="20"/>
      <c r="BD38" s="20">
        <v>45</v>
      </c>
      <c r="BE38" s="9" t="s">
        <v>462</v>
      </c>
    </row>
    <row r="39" spans="1:57" s="9" customFormat="1" ht="11.25" customHeight="1">
      <c r="A39" s="20">
        <v>38</v>
      </c>
      <c r="B39" s="20"/>
      <c r="C39" s="9" t="s">
        <v>67</v>
      </c>
      <c r="E39" s="9">
        <f t="shared" si="7"/>
        <v>30</v>
      </c>
      <c r="F39" s="10" t="s">
        <v>68</v>
      </c>
      <c r="G39" s="123">
        <v>85</v>
      </c>
      <c r="H39" s="7">
        <f>INT((G39*Valores!$C$2*100)+0.5)/100</f>
        <v>509.94</v>
      </c>
      <c r="I39" s="113">
        <v>3498</v>
      </c>
      <c r="J39" s="77">
        <f>INT((I39*Valores!$C$2*100)+0.5)/100</f>
        <v>20985.57</v>
      </c>
      <c r="K39" s="144">
        <v>1209</v>
      </c>
      <c r="L39" s="77">
        <f>INT((K39*Valores!$C$2*100)+0.5)/100</f>
        <v>7253.16</v>
      </c>
      <c r="M39" s="123">
        <v>0</v>
      </c>
      <c r="N39" s="77">
        <f>INT((M39*Valores!$C$2*100)+0.5)/100</f>
        <v>0</v>
      </c>
      <c r="O39" s="77">
        <f t="shared" si="0"/>
        <v>0</v>
      </c>
      <c r="P39" s="77">
        <f t="shared" si="1"/>
        <v>15027.824999999999</v>
      </c>
      <c r="Q39" s="78">
        <f>Valores!$C$18</f>
        <v>7089.27</v>
      </c>
      <c r="R39" s="78">
        <f>Valores!$D$4</f>
        <v>2683.49</v>
      </c>
      <c r="S39" s="77">
        <v>0</v>
      </c>
      <c r="T39" s="79">
        <f>Valores!$C$43</f>
        <v>1306.98</v>
      </c>
      <c r="U39" s="77">
        <f>Valores!$C$23</f>
        <v>2584.33</v>
      </c>
      <c r="V39" s="77">
        <f t="shared" si="2"/>
        <v>3876.495</v>
      </c>
      <c r="W39" s="77">
        <v>0</v>
      </c>
      <c r="X39" s="77">
        <v>0</v>
      </c>
      <c r="Y39" s="116">
        <v>0</v>
      </c>
      <c r="Z39" s="77">
        <f>Y39*Valores!$C$2</f>
        <v>0</v>
      </c>
      <c r="AA39" s="77">
        <v>0</v>
      </c>
      <c r="AB39" s="89">
        <f>Valores!$C$29</f>
        <v>151.15</v>
      </c>
      <c r="AC39" s="77">
        <f t="shared" si="3"/>
        <v>0</v>
      </c>
      <c r="AD39" s="77">
        <f>Valores!$C$30</f>
        <v>151.15</v>
      </c>
      <c r="AE39" s="116">
        <v>0</v>
      </c>
      <c r="AF39" s="77">
        <f>INT(((AE39*Valores!$C$2)*100)+0.5)/100</f>
        <v>0</v>
      </c>
      <c r="AG39" s="77">
        <f>Valores!$C$58</f>
        <v>307.46</v>
      </c>
      <c r="AH39" s="77">
        <f>Valores!$C$60</f>
        <v>87.85</v>
      </c>
      <c r="AI39" s="77">
        <f>SUM(H39,J39,L39,N39,O39,P39,Q39,R39,S39,T39,V39,W39,X39,Z39,AA39,AB39,AC39,AD39,AF39,AG39,AH39)*Valores!$C$63</f>
        <v>0</v>
      </c>
      <c r="AJ39" s="15">
        <f t="shared" si="4"/>
        <v>59430.340000000004</v>
      </c>
      <c r="AK39" s="78">
        <f>Valores!$C$35</f>
        <v>415.59</v>
      </c>
      <c r="AL39" s="79">
        <f>Valores!$C$9</f>
        <v>351.39</v>
      </c>
      <c r="AM39" s="89">
        <f>Valores!$C$50</f>
        <v>257.67</v>
      </c>
      <c r="AN39" s="79">
        <f>IF($H$4="SI",SUM(AL39+AM39),AL39)*Valores!$C$63</f>
        <v>0</v>
      </c>
      <c r="AO39" s="12">
        <f t="shared" si="8"/>
        <v>1024.65</v>
      </c>
      <c r="AP39" s="152">
        <f>AJ39*-Valores!$C$65</f>
        <v>-7725.944200000001</v>
      </c>
      <c r="AQ39" s="152">
        <f>AJ39*-Valores!$C$66</f>
        <v>-297.1517</v>
      </c>
      <c r="AR39" s="78">
        <f>AJ39*-Valores!$C$67</f>
        <v>-2674.3653</v>
      </c>
      <c r="AS39" s="78">
        <f>AJ39*-Valores!$C$68</f>
        <v>-1604.6191800000004</v>
      </c>
      <c r="AT39" s="78">
        <f>AJ39*-Valores!$C$69</f>
        <v>-178.29102</v>
      </c>
      <c r="AU39" s="15">
        <f t="shared" si="5"/>
        <v>49757.52880000001</v>
      </c>
      <c r="AV39" s="15">
        <f t="shared" si="6"/>
        <v>50648.98390000001</v>
      </c>
      <c r="AW39" s="78">
        <f>AJ39*Valores!$C$70</f>
        <v>9508.8544</v>
      </c>
      <c r="AX39" s="78">
        <f>AJ39*Valores!$C$71</f>
        <v>2674.3653</v>
      </c>
      <c r="AY39" s="78">
        <f>AJ39*Valores!$C$73</f>
        <v>594.3034</v>
      </c>
      <c r="AZ39" s="78">
        <f>AJ39*Valores!$C$74</f>
        <v>2080.0619</v>
      </c>
      <c r="BA39" s="78">
        <f>AJ39*Valores!$C$75</f>
        <v>356.58204</v>
      </c>
      <c r="BB39" s="78">
        <f t="shared" si="9"/>
        <v>3209.2383600000007</v>
      </c>
      <c r="BC39" s="20"/>
      <c r="BD39" s="20">
        <v>45</v>
      </c>
      <c r="BE39" s="9" t="s">
        <v>461</v>
      </c>
    </row>
    <row r="40" spans="1:57" s="9" customFormat="1" ht="11.25" customHeight="1">
      <c r="A40" s="20">
        <v>39</v>
      </c>
      <c r="B40" s="20"/>
      <c r="C40" s="9" t="s">
        <v>69</v>
      </c>
      <c r="E40" s="9">
        <f t="shared" si="7"/>
        <v>30</v>
      </c>
      <c r="F40" s="10" t="s">
        <v>70</v>
      </c>
      <c r="G40" s="123">
        <v>101</v>
      </c>
      <c r="H40" s="7">
        <f>INT((G40*Valores!$C$2*100)+0.5)/100</f>
        <v>605.93</v>
      </c>
      <c r="I40" s="113">
        <v>2548</v>
      </c>
      <c r="J40" s="77">
        <f>INT((I40*Valores!$C$2*100)+0.5)/100</f>
        <v>15286.23</v>
      </c>
      <c r="K40" s="144">
        <v>216</v>
      </c>
      <c r="L40" s="77">
        <f>INT((K40*Valores!$C$2*100)+0.5)/100</f>
        <v>1295.85</v>
      </c>
      <c r="M40" s="123">
        <v>0</v>
      </c>
      <c r="N40" s="77">
        <f>INT((M40*Valores!$C$2*100)+0.5)/100</f>
        <v>0</v>
      </c>
      <c r="O40" s="77">
        <f t="shared" si="0"/>
        <v>0</v>
      </c>
      <c r="P40" s="77">
        <f t="shared" si="1"/>
        <v>9247.494999999999</v>
      </c>
      <c r="Q40" s="78">
        <f>Valores!$C$16</f>
        <v>3718.92</v>
      </c>
      <c r="R40" s="78">
        <f>Valores!$D$4</f>
        <v>2683.49</v>
      </c>
      <c r="S40" s="77">
        <v>0</v>
      </c>
      <c r="T40" s="79">
        <f>Valores!$C$43</f>
        <v>1306.98</v>
      </c>
      <c r="U40" s="77">
        <f>Valores!$C$23</f>
        <v>2584.33</v>
      </c>
      <c r="V40" s="77">
        <f t="shared" si="2"/>
        <v>3876.495</v>
      </c>
      <c r="W40" s="77">
        <v>0</v>
      </c>
      <c r="X40" s="77">
        <v>0</v>
      </c>
      <c r="Y40" s="116">
        <v>0</v>
      </c>
      <c r="Z40" s="77">
        <f>Y40*Valores!$C$2</f>
        <v>0</v>
      </c>
      <c r="AA40" s="77">
        <v>0</v>
      </c>
      <c r="AB40" s="89">
        <f>Valores!$C$29</f>
        <v>151.15</v>
      </c>
      <c r="AC40" s="77">
        <f t="shared" si="3"/>
        <v>0</v>
      </c>
      <c r="AD40" s="77">
        <f>Valores!$C$30</f>
        <v>151.15</v>
      </c>
      <c r="AE40" s="116">
        <v>0</v>
      </c>
      <c r="AF40" s="77">
        <f>INT(((AE40*Valores!$C$2)*100)+0.5)/100</f>
        <v>0</v>
      </c>
      <c r="AG40" s="77">
        <f>Valores!$C$58</f>
        <v>307.46</v>
      </c>
      <c r="AH40" s="77">
        <f>Valores!$C$60</f>
        <v>87.85</v>
      </c>
      <c r="AI40" s="77">
        <f>SUM(H40,J40,L40,N40,O40,P40,Q40,R40,S40,T40,V40,W40,X40,Z40,AA40,AB40,AC40,AD40,AF40,AG40,AH40)*Valores!$C$63</f>
        <v>0</v>
      </c>
      <c r="AJ40" s="15">
        <f t="shared" si="4"/>
        <v>38719</v>
      </c>
      <c r="AK40" s="78">
        <f>Valores!$C$35</f>
        <v>415.59</v>
      </c>
      <c r="AL40" s="79">
        <f>Valores!$C$9</f>
        <v>351.39</v>
      </c>
      <c r="AM40" s="89">
        <f>Valores!$C$50</f>
        <v>257.67</v>
      </c>
      <c r="AN40" s="79">
        <f>IF($H$4="SI",SUM(AL40+AM40),AL40)*Valores!$C$63</f>
        <v>0</v>
      </c>
      <c r="AO40" s="12">
        <f t="shared" si="8"/>
        <v>1024.65</v>
      </c>
      <c r="AP40" s="152">
        <f>AJ40*-Valores!$C$65</f>
        <v>-5033.47</v>
      </c>
      <c r="AQ40" s="152">
        <f>AJ40*-Valores!$C$66</f>
        <v>-193.595</v>
      </c>
      <c r="AR40" s="78">
        <f>AJ40*-Valores!$C$67</f>
        <v>-1742.355</v>
      </c>
      <c r="AS40" s="78">
        <f>AJ40*-Valores!$C$68</f>
        <v>-1045.413</v>
      </c>
      <c r="AT40" s="78">
        <f>AJ40*-Valores!$C$69</f>
        <v>-116.157</v>
      </c>
      <c r="AU40" s="15">
        <f t="shared" si="5"/>
        <v>32774.229999999996</v>
      </c>
      <c r="AV40" s="15">
        <f t="shared" si="6"/>
        <v>33355.015</v>
      </c>
      <c r="AW40" s="78">
        <f>AJ40*Valores!$C$70</f>
        <v>6195.04</v>
      </c>
      <c r="AX40" s="78">
        <f>AJ40*Valores!$C$71</f>
        <v>1742.355</v>
      </c>
      <c r="AY40" s="78">
        <f>AJ40*Valores!$C$73</f>
        <v>387.19</v>
      </c>
      <c r="AZ40" s="78">
        <f>AJ40*Valores!$C$74</f>
        <v>1355.1650000000002</v>
      </c>
      <c r="BA40" s="78">
        <f>AJ40*Valores!$C$75</f>
        <v>232.314</v>
      </c>
      <c r="BB40" s="78">
        <f t="shared" si="9"/>
        <v>2090.826</v>
      </c>
      <c r="BC40" s="20"/>
      <c r="BD40" s="20">
        <v>45</v>
      </c>
      <c r="BE40" s="9" t="s">
        <v>461</v>
      </c>
    </row>
    <row r="41" spans="1:57" s="9" customFormat="1" ht="11.25" customHeight="1">
      <c r="A41" s="55">
        <v>40</v>
      </c>
      <c r="B41" s="55" t="s">
        <v>458</v>
      </c>
      <c r="C41" s="52" t="s">
        <v>71</v>
      </c>
      <c r="D41" s="52"/>
      <c r="E41" s="52">
        <f t="shared" si="7"/>
        <v>30</v>
      </c>
      <c r="F41" s="53" t="s">
        <v>70</v>
      </c>
      <c r="G41" s="124">
        <v>101</v>
      </c>
      <c r="H41" s="129">
        <f>INT((G41*Valores!$C$2*100)+0.5)/100</f>
        <v>605.93</v>
      </c>
      <c r="I41" s="114">
        <v>2548</v>
      </c>
      <c r="J41" s="80">
        <f>INT((I41*Valores!$C$2*100)+0.5)/100</f>
        <v>15286.23</v>
      </c>
      <c r="K41" s="145">
        <v>216</v>
      </c>
      <c r="L41" s="80">
        <f>INT((K41*Valores!$C$2*100)+0.5)/100</f>
        <v>1295.85</v>
      </c>
      <c r="M41" s="124">
        <v>0</v>
      </c>
      <c r="N41" s="80">
        <f>INT((M41*Valores!$C$2*100)+0.5)/100</f>
        <v>0</v>
      </c>
      <c r="O41" s="80">
        <f t="shared" si="0"/>
        <v>0</v>
      </c>
      <c r="P41" s="80">
        <f t="shared" si="1"/>
        <v>9247.494999999999</v>
      </c>
      <c r="Q41" s="81">
        <f>Valores!$C$16</f>
        <v>3718.92</v>
      </c>
      <c r="R41" s="81">
        <f>Valores!$D$4</f>
        <v>2683.49</v>
      </c>
      <c r="S41" s="80">
        <v>0</v>
      </c>
      <c r="T41" s="82">
        <f>Valores!$C$43</f>
        <v>1306.98</v>
      </c>
      <c r="U41" s="80">
        <f>Valores!$C$23</f>
        <v>2584.33</v>
      </c>
      <c r="V41" s="80">
        <f t="shared" si="2"/>
        <v>3876.495</v>
      </c>
      <c r="W41" s="80">
        <v>0</v>
      </c>
      <c r="X41" s="80">
        <v>0</v>
      </c>
      <c r="Y41" s="115">
        <v>0</v>
      </c>
      <c r="Z41" s="80">
        <f>Y41*Valores!$C$2</f>
        <v>0</v>
      </c>
      <c r="AA41" s="80">
        <v>0</v>
      </c>
      <c r="AB41" s="90">
        <f>Valores!$C$29</f>
        <v>151.15</v>
      </c>
      <c r="AC41" s="80">
        <f t="shared" si="3"/>
        <v>0</v>
      </c>
      <c r="AD41" s="80">
        <f>Valores!$C$30</f>
        <v>151.15</v>
      </c>
      <c r="AE41" s="115">
        <v>0</v>
      </c>
      <c r="AF41" s="80">
        <f>INT(((AE41*Valores!$C$2)*100)+0.5)/100</f>
        <v>0</v>
      </c>
      <c r="AG41" s="80">
        <f>Valores!$C$58</f>
        <v>307.46</v>
      </c>
      <c r="AH41" s="80">
        <f>Valores!$C$60</f>
        <v>87.85</v>
      </c>
      <c r="AI41" s="80">
        <f>SUM(H41,J41,L41,N41,O41,P41,Q41,R41,S41,T41,V41,W41,X41,Z41,AA41,AB41,AC41,AD41,AF41,AG41,AH41)*Valores!$C$63</f>
        <v>0</v>
      </c>
      <c r="AJ41" s="54">
        <f t="shared" si="4"/>
        <v>38719</v>
      </c>
      <c r="AK41" s="81">
        <f>Valores!$C$35</f>
        <v>415.59</v>
      </c>
      <c r="AL41" s="82">
        <f>Valores!$C$9</f>
        <v>351.39</v>
      </c>
      <c r="AM41" s="90">
        <f>Valores!$C$50</f>
        <v>257.67</v>
      </c>
      <c r="AN41" s="82">
        <f>IF($H$4="SI",SUM(AL41+AM41),AL41)*Valores!$C$63</f>
        <v>0</v>
      </c>
      <c r="AO41" s="185">
        <f t="shared" si="8"/>
        <v>1024.65</v>
      </c>
      <c r="AP41" s="153">
        <f>AJ41*-Valores!$C$65</f>
        <v>-5033.47</v>
      </c>
      <c r="AQ41" s="153">
        <f>AJ41*-Valores!$C$66</f>
        <v>-193.595</v>
      </c>
      <c r="AR41" s="81">
        <f>AJ41*-Valores!$C$67</f>
        <v>-1742.355</v>
      </c>
      <c r="AS41" s="81">
        <f>AJ41*-Valores!$C$68</f>
        <v>-1045.413</v>
      </c>
      <c r="AT41" s="81">
        <f>AJ41*-Valores!$C$69</f>
        <v>-116.157</v>
      </c>
      <c r="AU41" s="54">
        <f t="shared" si="5"/>
        <v>32774.229999999996</v>
      </c>
      <c r="AV41" s="54">
        <f t="shared" si="6"/>
        <v>33355.015</v>
      </c>
      <c r="AW41" s="81">
        <f>AJ41*Valores!$C$70</f>
        <v>6195.04</v>
      </c>
      <c r="AX41" s="81">
        <f>AJ41*Valores!$C$71</f>
        <v>1742.355</v>
      </c>
      <c r="AY41" s="81">
        <f>AJ41*Valores!$C$73</f>
        <v>387.19</v>
      </c>
      <c r="AZ41" s="81">
        <f>AJ41*Valores!$C$74</f>
        <v>1355.1650000000002</v>
      </c>
      <c r="BA41" s="81">
        <f>AJ41*Valores!$C$75</f>
        <v>232.314</v>
      </c>
      <c r="BB41" s="81">
        <f t="shared" si="9"/>
        <v>2090.826</v>
      </c>
      <c r="BC41" s="55"/>
      <c r="BD41" s="55">
        <v>45</v>
      </c>
      <c r="BE41" s="52" t="s">
        <v>461</v>
      </c>
    </row>
    <row r="42" spans="1:57" s="9" customFormat="1" ht="11.25" customHeight="1">
      <c r="A42" s="20">
        <v>41</v>
      </c>
      <c r="B42" s="20"/>
      <c r="C42" s="9" t="s">
        <v>72</v>
      </c>
      <c r="E42" s="9">
        <f t="shared" si="7"/>
        <v>27</v>
      </c>
      <c r="F42" s="10" t="s">
        <v>73</v>
      </c>
      <c r="G42" s="123">
        <v>96</v>
      </c>
      <c r="H42" s="7">
        <f>INT((G42*Valores!$C$2*100)+0.5)/100</f>
        <v>575.93</v>
      </c>
      <c r="I42" s="113">
        <v>2475</v>
      </c>
      <c r="J42" s="77">
        <f>INT((I42*Valores!$C$2*100)+0.5)/100</f>
        <v>14848.28</v>
      </c>
      <c r="K42" s="144">
        <v>213</v>
      </c>
      <c r="L42" s="77">
        <f>INT((K42*Valores!$C$2*100)+0.5)/100</f>
        <v>1277.85</v>
      </c>
      <c r="M42" s="123">
        <v>0</v>
      </c>
      <c r="N42" s="77">
        <f>INT((M42*Valores!$C$2*100)+0.5)/100</f>
        <v>0</v>
      </c>
      <c r="O42" s="77">
        <f t="shared" si="0"/>
        <v>0</v>
      </c>
      <c r="P42" s="77">
        <f t="shared" si="1"/>
        <v>8786.695000000002</v>
      </c>
      <c r="Q42" s="78">
        <f>Valores!$C$16</f>
        <v>3718.92</v>
      </c>
      <c r="R42" s="78">
        <f>Valores!$D$4</f>
        <v>2683.49</v>
      </c>
      <c r="S42" s="77">
        <v>0</v>
      </c>
      <c r="T42" s="79">
        <f>Valores!$C$42</f>
        <v>871.33</v>
      </c>
      <c r="U42" s="77">
        <f>Valores!$C$23</f>
        <v>2584.33</v>
      </c>
      <c r="V42" s="77">
        <f t="shared" si="2"/>
        <v>3876.495</v>
      </c>
      <c r="W42" s="77">
        <v>0</v>
      </c>
      <c r="X42" s="77">
        <v>0</v>
      </c>
      <c r="Y42" s="116">
        <v>0</v>
      </c>
      <c r="Z42" s="77">
        <f>Y42*Valores!$C$2</f>
        <v>0</v>
      </c>
      <c r="AA42" s="77">
        <v>0</v>
      </c>
      <c r="AB42" s="89">
        <f>Valores!$C$29</f>
        <v>151.15</v>
      </c>
      <c r="AC42" s="77">
        <f t="shared" si="3"/>
        <v>0</v>
      </c>
      <c r="AD42" s="77">
        <f>Valores!$C$30</f>
        <v>151.15</v>
      </c>
      <c r="AE42" s="116">
        <v>0</v>
      </c>
      <c r="AF42" s="77">
        <f>INT(((AE42*Valores!$C$2)*100)+0.5)/100</f>
        <v>0</v>
      </c>
      <c r="AG42" s="77">
        <f>Valores!$C$58</f>
        <v>307.46</v>
      </c>
      <c r="AH42" s="77">
        <f>Valores!$C$60</f>
        <v>87.85</v>
      </c>
      <c r="AI42" s="77">
        <f>SUM(H42,J42,L42,N42,O42,P42,Q42,R42,S42,T42,V42,W42,X42,Z42,AA42,AB42,AC42,AD42,AF42,AG42,AH42)*Valores!$C$63</f>
        <v>0</v>
      </c>
      <c r="AJ42" s="15">
        <f t="shared" si="4"/>
        <v>37336.600000000006</v>
      </c>
      <c r="AK42" s="78">
        <f>Valores!$C$35</f>
        <v>415.59</v>
      </c>
      <c r="AL42" s="79">
        <f>Valores!$C$8</f>
        <v>234.26</v>
      </c>
      <c r="AM42" s="89">
        <f>Valores!$C$51</f>
        <v>128.84</v>
      </c>
      <c r="AN42" s="79">
        <f>IF($H$4="SI",SUM(AL42+AM42),AL42)*Valores!$C$63</f>
        <v>0</v>
      </c>
      <c r="AO42" s="12">
        <f t="shared" si="8"/>
        <v>778.6899999999999</v>
      </c>
      <c r="AP42" s="152">
        <f>AJ42*-Valores!$C$65</f>
        <v>-4853.758000000001</v>
      </c>
      <c r="AQ42" s="152">
        <f>AJ42*-Valores!$C$66</f>
        <v>-186.68300000000002</v>
      </c>
      <c r="AR42" s="78">
        <f>AJ42*-Valores!$C$67</f>
        <v>-1680.1470000000002</v>
      </c>
      <c r="AS42" s="78">
        <f>AJ42*-Valores!$C$68</f>
        <v>-1008.0882000000003</v>
      </c>
      <c r="AT42" s="78">
        <f>AJ42*-Valores!$C$69</f>
        <v>-112.00980000000001</v>
      </c>
      <c r="AU42" s="15">
        <f t="shared" si="5"/>
        <v>31394.702000000012</v>
      </c>
      <c r="AV42" s="15">
        <f t="shared" si="6"/>
        <v>31954.75100000001</v>
      </c>
      <c r="AW42" s="78">
        <f>AJ42*Valores!$C$70</f>
        <v>5973.856000000001</v>
      </c>
      <c r="AX42" s="78">
        <f>AJ42*Valores!$C$71</f>
        <v>1680.1470000000002</v>
      </c>
      <c r="AY42" s="78">
        <f>AJ42*Valores!$C$73</f>
        <v>373.36600000000004</v>
      </c>
      <c r="AZ42" s="78">
        <f>AJ42*Valores!$C$74</f>
        <v>1306.7810000000004</v>
      </c>
      <c r="BA42" s="78">
        <f>AJ42*Valores!$C$75</f>
        <v>224.01960000000003</v>
      </c>
      <c r="BB42" s="78">
        <f t="shared" si="9"/>
        <v>2016.1764000000005</v>
      </c>
      <c r="BC42" s="20"/>
      <c r="BD42" s="20">
        <v>45</v>
      </c>
      <c r="BE42" s="9" t="s">
        <v>462</v>
      </c>
    </row>
    <row r="43" spans="1:57" s="9" customFormat="1" ht="11.25" customHeight="1">
      <c r="A43" s="20">
        <v>42</v>
      </c>
      <c r="B43" s="20"/>
      <c r="C43" s="9" t="s">
        <v>74</v>
      </c>
      <c r="E43" s="9">
        <f t="shared" si="7"/>
        <v>31</v>
      </c>
      <c r="F43" s="10" t="s">
        <v>75</v>
      </c>
      <c r="G43" s="123">
        <v>72</v>
      </c>
      <c r="H43" s="7">
        <f>INT((G43*Valores!$C$2*100)+0.5)/100</f>
        <v>431.95</v>
      </c>
      <c r="I43" s="113">
        <v>2471</v>
      </c>
      <c r="J43" s="77">
        <f>INT((I43*Valores!$C$2*100)+0.5)/100</f>
        <v>14824.28</v>
      </c>
      <c r="K43" s="144">
        <v>199</v>
      </c>
      <c r="L43" s="77">
        <f>INT((K43*Valores!$C$2*100)+0.5)/100</f>
        <v>1193.86</v>
      </c>
      <c r="M43" s="123">
        <v>0</v>
      </c>
      <c r="N43" s="77">
        <f>INT((M43*Valores!$C$2*100)+0.5)/100</f>
        <v>0</v>
      </c>
      <c r="O43" s="77">
        <f t="shared" si="0"/>
        <v>0</v>
      </c>
      <c r="P43" s="77">
        <f t="shared" si="1"/>
        <v>8660.710000000001</v>
      </c>
      <c r="Q43" s="78">
        <f>Valores!$C$16</f>
        <v>3718.92</v>
      </c>
      <c r="R43" s="78">
        <f>Valores!$D$4</f>
        <v>2683.49</v>
      </c>
      <c r="S43" s="77">
        <v>0</v>
      </c>
      <c r="T43" s="79">
        <f>Valores!$C$42</f>
        <v>871.33</v>
      </c>
      <c r="U43" s="77">
        <f>Valores!$C$23</f>
        <v>2584.33</v>
      </c>
      <c r="V43" s="77">
        <f t="shared" si="2"/>
        <v>3876.495</v>
      </c>
      <c r="W43" s="77">
        <v>0</v>
      </c>
      <c r="X43" s="77">
        <v>0</v>
      </c>
      <c r="Y43" s="116">
        <v>0</v>
      </c>
      <c r="Z43" s="77">
        <f>Y43*Valores!$C$2</f>
        <v>0</v>
      </c>
      <c r="AA43" s="77">
        <v>0</v>
      </c>
      <c r="AB43" s="89">
        <f>Valores!$C$29</f>
        <v>151.15</v>
      </c>
      <c r="AC43" s="77">
        <f t="shared" si="3"/>
        <v>0</v>
      </c>
      <c r="AD43" s="77">
        <f>Valores!$C$30</f>
        <v>151.15</v>
      </c>
      <c r="AE43" s="116">
        <v>0</v>
      </c>
      <c r="AF43" s="77">
        <f>INT(((AE43*Valores!$C$2)*100)+0.5)/100</f>
        <v>0</v>
      </c>
      <c r="AG43" s="77">
        <f>Valores!$C$58</f>
        <v>307.46</v>
      </c>
      <c r="AH43" s="77">
        <f>Valores!$C$60</f>
        <v>87.85</v>
      </c>
      <c r="AI43" s="77">
        <f>SUM(H43,J43,L43,N43,O43,P43,Q43,R43,S43,T43,V43,W43,X43,Z43,AA43,AB43,AC43,AD43,AF43,AG43,AH43)*Valores!$C$63</f>
        <v>0</v>
      </c>
      <c r="AJ43" s="15">
        <f t="shared" si="4"/>
        <v>36958.645000000004</v>
      </c>
      <c r="AK43" s="78">
        <f>Valores!$C$35</f>
        <v>415.59</v>
      </c>
      <c r="AL43" s="79">
        <f>Valores!$C$8</f>
        <v>234.26</v>
      </c>
      <c r="AM43" s="89">
        <f>Valores!$C$51</f>
        <v>128.84</v>
      </c>
      <c r="AN43" s="79">
        <f>IF($H$4="SI",SUM(AL43+AM43),AL43)*Valores!$C$63</f>
        <v>0</v>
      </c>
      <c r="AO43" s="12">
        <f t="shared" si="8"/>
        <v>778.6899999999999</v>
      </c>
      <c r="AP43" s="152">
        <f>AJ43*-Valores!$C$65</f>
        <v>-4804.623850000001</v>
      </c>
      <c r="AQ43" s="152">
        <f>AJ43*-Valores!$C$66</f>
        <v>-184.79322500000004</v>
      </c>
      <c r="AR43" s="78">
        <f>AJ43*-Valores!$C$67</f>
        <v>-1663.1390250000002</v>
      </c>
      <c r="AS43" s="78">
        <f>AJ43*-Valores!$C$68</f>
        <v>-997.8834150000002</v>
      </c>
      <c r="AT43" s="78">
        <f>AJ43*-Valores!$C$69</f>
        <v>-110.87593500000001</v>
      </c>
      <c r="AU43" s="15">
        <f t="shared" si="5"/>
        <v>31084.77890000001</v>
      </c>
      <c r="AV43" s="15">
        <f t="shared" si="6"/>
        <v>31639.158575</v>
      </c>
      <c r="AW43" s="78">
        <f>AJ43*Valores!$C$70</f>
        <v>5913.383200000001</v>
      </c>
      <c r="AX43" s="78">
        <f>AJ43*Valores!$C$71</f>
        <v>1663.1390250000002</v>
      </c>
      <c r="AY43" s="78">
        <f>AJ43*Valores!$C$73</f>
        <v>369.58645000000007</v>
      </c>
      <c r="AZ43" s="78">
        <f>AJ43*Valores!$C$74</f>
        <v>1293.5525750000002</v>
      </c>
      <c r="BA43" s="78">
        <f>AJ43*Valores!$C$75</f>
        <v>221.75187000000003</v>
      </c>
      <c r="BB43" s="78">
        <f t="shared" si="9"/>
        <v>1995.7668300000005</v>
      </c>
      <c r="BC43" s="20"/>
      <c r="BD43" s="20">
        <v>45</v>
      </c>
      <c r="BE43" s="9" t="s">
        <v>462</v>
      </c>
    </row>
    <row r="44" spans="1:57" s="9" customFormat="1" ht="11.25" customHeight="1">
      <c r="A44" s="20">
        <v>43</v>
      </c>
      <c r="B44" s="20"/>
      <c r="C44" s="9" t="s">
        <v>497</v>
      </c>
      <c r="E44" s="9">
        <f t="shared" si="7"/>
        <v>31</v>
      </c>
      <c r="F44" s="10" t="s">
        <v>358</v>
      </c>
      <c r="G44" s="123">
        <f>G38</f>
        <v>85</v>
      </c>
      <c r="H44" s="7">
        <f>INT((G44*Valores!$C$2*100)+0.5)/100</f>
        <v>509.94</v>
      </c>
      <c r="I44" s="113">
        <f>I38</f>
        <v>3498</v>
      </c>
      <c r="J44" s="77">
        <f>INT((I44*Valores!$C$2*100)+0.5)/100</f>
        <v>20985.57</v>
      </c>
      <c r="K44" s="144">
        <f>K38</f>
        <v>1209</v>
      </c>
      <c r="L44" s="77">
        <f>INT((K44*Valores!$C$2*100)+0.5)/100</f>
        <v>7253.16</v>
      </c>
      <c r="M44" s="120">
        <v>0</v>
      </c>
      <c r="N44" s="77">
        <f>INT((M44*Valores!$C$2*100)+0.5)/100</f>
        <v>0</v>
      </c>
      <c r="O44" s="77">
        <f t="shared" si="0"/>
        <v>0</v>
      </c>
      <c r="P44" s="77">
        <f t="shared" si="1"/>
        <v>15027.824999999999</v>
      </c>
      <c r="Q44" s="78">
        <f>Q38</f>
        <v>7089.27</v>
      </c>
      <c r="R44" s="78">
        <f>R38</f>
        <v>2683.49</v>
      </c>
      <c r="S44" s="61">
        <v>0</v>
      </c>
      <c r="T44" s="61">
        <f>T38</f>
        <v>1306.98</v>
      </c>
      <c r="U44" s="61">
        <f>U38</f>
        <v>2584.33</v>
      </c>
      <c r="V44" s="77">
        <f t="shared" si="2"/>
        <v>3876.495</v>
      </c>
      <c r="W44" s="77">
        <v>0</v>
      </c>
      <c r="X44" s="77">
        <v>0</v>
      </c>
      <c r="Y44" s="116">
        <v>0</v>
      </c>
      <c r="Z44" s="77">
        <f>Y44*Valores!$C$2</f>
        <v>0</v>
      </c>
      <c r="AA44" s="77">
        <v>0</v>
      </c>
      <c r="AB44" s="61">
        <f>Valores!$C$29</f>
        <v>151.15</v>
      </c>
      <c r="AC44" s="77">
        <f t="shared" si="3"/>
        <v>0</v>
      </c>
      <c r="AD44" s="61">
        <f>Valores!$C$30</f>
        <v>151.15</v>
      </c>
      <c r="AE44" s="116">
        <v>0</v>
      </c>
      <c r="AF44" s="78">
        <f>INT(((AE44*Valores!$C$2)*100)+0.5)/100</f>
        <v>0</v>
      </c>
      <c r="AG44" s="78">
        <f>Valores!$C$58</f>
        <v>307.46</v>
      </c>
      <c r="AH44" s="78">
        <f>Valores!$C$60</f>
        <v>87.85</v>
      </c>
      <c r="AI44" s="78">
        <f>SUM(H44,J44,L44,N44,O44,P44,Q44,R44,S44,T44,V44,W44,X44,Z44,AA44,AB44,AC44,AD44,AF44,AG44,AH44)*Valores!$C$63</f>
        <v>0</v>
      </c>
      <c r="AJ44" s="15">
        <f t="shared" si="4"/>
        <v>59430.340000000004</v>
      </c>
      <c r="AK44" s="78">
        <f>Valores!$C$35</f>
        <v>415.59</v>
      </c>
      <c r="AL44" s="79">
        <f>AL38</f>
        <v>351.39</v>
      </c>
      <c r="AM44" s="89">
        <v>224.5</v>
      </c>
      <c r="AN44" s="79">
        <f>IF($H$4="SI",SUM(AL44+AM44),AL44)*Valores!$C$63</f>
        <v>0</v>
      </c>
      <c r="AO44" s="12">
        <f t="shared" si="8"/>
        <v>991.48</v>
      </c>
      <c r="AP44" s="152">
        <f>AJ44*-Valores!$C$65</f>
        <v>-7725.944200000001</v>
      </c>
      <c r="AQ44" s="152">
        <f>AJ44*-Valores!$C$66</f>
        <v>-297.1517</v>
      </c>
      <c r="AR44" s="78">
        <f>AJ44*-Valores!$C$67</f>
        <v>-2674.3653</v>
      </c>
      <c r="AS44" s="78">
        <f>AJ44*-Valores!$C$68</f>
        <v>-1604.6191800000004</v>
      </c>
      <c r="AT44" s="78">
        <f>AJ44*-Valores!$C$69</f>
        <v>-178.29102</v>
      </c>
      <c r="AU44" s="15">
        <f t="shared" si="5"/>
        <v>49724.35880000001</v>
      </c>
      <c r="AV44" s="15">
        <f t="shared" si="6"/>
        <v>50615.81390000001</v>
      </c>
      <c r="AW44" s="78">
        <f>AJ44*Valores!$C$70</f>
        <v>9508.8544</v>
      </c>
      <c r="AX44" s="78">
        <f>AJ44*Valores!$C$71</f>
        <v>2674.3653</v>
      </c>
      <c r="AY44" s="78">
        <f>AJ44*Valores!$C$73</f>
        <v>594.3034</v>
      </c>
      <c r="AZ44" s="78">
        <f>AJ44*Valores!$C$74</f>
        <v>2080.0619</v>
      </c>
      <c r="BA44" s="78">
        <f>AJ44*Valores!$C$75</f>
        <v>356.58204</v>
      </c>
      <c r="BB44" s="78">
        <f t="shared" si="9"/>
        <v>3209.2383600000007</v>
      </c>
      <c r="BC44" s="20"/>
      <c r="BD44" s="20">
        <v>45</v>
      </c>
      <c r="BE44" s="9" t="s">
        <v>461</v>
      </c>
    </row>
    <row r="45" spans="1:57" s="9" customFormat="1" ht="11.25" customHeight="1">
      <c r="A45" s="20">
        <v>44</v>
      </c>
      <c r="B45" s="20"/>
      <c r="C45" s="9" t="s">
        <v>498</v>
      </c>
      <c r="E45" s="9">
        <f t="shared" si="7"/>
        <v>26</v>
      </c>
      <c r="F45" s="10" t="s">
        <v>359</v>
      </c>
      <c r="G45" s="123">
        <f>G87+G305</f>
        <v>518</v>
      </c>
      <c r="H45" s="7">
        <f>INT((G45*Valores!$C$2*100)+0.5)/100</f>
        <v>3107.64</v>
      </c>
      <c r="I45" s="113">
        <f>I87+I305</f>
        <v>1997</v>
      </c>
      <c r="J45" s="77">
        <f>INT((I45*Valores!$C$2*100)+0.5)/100</f>
        <v>11980.61</v>
      </c>
      <c r="K45" s="146">
        <v>0</v>
      </c>
      <c r="L45" s="77">
        <f>INT((K45*Valores!$C$2*100)+0.5)/100</f>
        <v>0</v>
      </c>
      <c r="M45" s="120">
        <v>0</v>
      </c>
      <c r="N45" s="77">
        <f>INT((M45*Valores!$C$2*100)+0.5)/100</f>
        <v>0</v>
      </c>
      <c r="O45" s="77">
        <f t="shared" si="0"/>
        <v>0</v>
      </c>
      <c r="P45" s="77">
        <f t="shared" si="1"/>
        <v>8070.5650000000005</v>
      </c>
      <c r="Q45" s="78">
        <f aca="true" t="shared" si="12" ref="Q45:V45">Q87+Q305</f>
        <v>3718.92</v>
      </c>
      <c r="R45" s="78">
        <f t="shared" si="12"/>
        <v>2683.49</v>
      </c>
      <c r="S45" s="61">
        <f t="shared" si="12"/>
        <v>2700.67</v>
      </c>
      <c r="T45" s="61">
        <f>T87+T305</f>
        <v>1052.88</v>
      </c>
      <c r="U45" s="61">
        <f t="shared" si="12"/>
        <v>2584.33</v>
      </c>
      <c r="V45" s="78">
        <f t="shared" si="12"/>
        <v>3876.495</v>
      </c>
      <c r="W45" s="77">
        <v>0</v>
      </c>
      <c r="X45" s="77">
        <v>0</v>
      </c>
      <c r="Y45" s="116">
        <v>0</v>
      </c>
      <c r="Z45" s="77">
        <f>Y45*Valores!$C$2</f>
        <v>0</v>
      </c>
      <c r="AA45" s="77">
        <v>0</v>
      </c>
      <c r="AB45" s="78">
        <f>Valores!$C$29</f>
        <v>151.15</v>
      </c>
      <c r="AC45" s="77">
        <f t="shared" si="3"/>
        <v>0</v>
      </c>
      <c r="AD45" s="78">
        <f>Valores!$C$30</f>
        <v>151.15</v>
      </c>
      <c r="AE45" s="116">
        <v>0</v>
      </c>
      <c r="AF45" s="77">
        <f>INT(((AE45*Valores!$C$2)*100)+0.5)/100</f>
        <v>0</v>
      </c>
      <c r="AG45" s="77">
        <f>Valores!$C$58</f>
        <v>307.46</v>
      </c>
      <c r="AH45" s="77">
        <f>Valores!$C$60</f>
        <v>87.85</v>
      </c>
      <c r="AI45" s="77">
        <f>SUM(H45,J45,L45,N45,O45,P45,Q45,R45,S45,T45,V45,W45,X45,Z45,AA45,AB45,AC45,AD45,AF45,AG45,AH45)*Valores!$C$63</f>
        <v>0</v>
      </c>
      <c r="AJ45" s="15">
        <f t="shared" si="4"/>
        <v>37888.88</v>
      </c>
      <c r="AK45" s="78">
        <f>Valores!$C$35</f>
        <v>415.59</v>
      </c>
      <c r="AL45" s="78">
        <f>AL87+AL305</f>
        <v>283.11</v>
      </c>
      <c r="AM45" s="78">
        <f>AM87+AM305</f>
        <v>128.84</v>
      </c>
      <c r="AN45" s="79">
        <f>IF($H$4="SI",SUM(AL45+AM45),AL45)*Valores!$C$63</f>
        <v>0</v>
      </c>
      <c r="AO45" s="12">
        <f t="shared" si="8"/>
        <v>827.5400000000001</v>
      </c>
      <c r="AP45" s="152">
        <f>AJ45*-Valores!$C$65</f>
        <v>-4925.5544</v>
      </c>
      <c r="AQ45" s="152">
        <f>AJ45*-Valores!$C$66</f>
        <v>-189.4444</v>
      </c>
      <c r="AR45" s="78">
        <f>AJ45*-Valores!$C$67</f>
        <v>-1704.9995999999999</v>
      </c>
      <c r="AS45" s="78">
        <f>AJ45*-Valores!$C$68</f>
        <v>-1022.99976</v>
      </c>
      <c r="AT45" s="78">
        <f>AJ45*-Valores!$C$69</f>
        <v>-113.66664</v>
      </c>
      <c r="AU45" s="15">
        <f t="shared" si="5"/>
        <v>31896.421599999994</v>
      </c>
      <c r="AV45" s="15">
        <f t="shared" si="6"/>
        <v>32464.7548</v>
      </c>
      <c r="AW45" s="78">
        <f>AJ45*Valores!$C$70</f>
        <v>6062.2208</v>
      </c>
      <c r="AX45" s="78">
        <f>AJ45*Valores!$C$71</f>
        <v>1704.9995999999999</v>
      </c>
      <c r="AY45" s="78">
        <f>AJ45*Valores!$C$73</f>
        <v>378.8888</v>
      </c>
      <c r="AZ45" s="78">
        <f>AJ45*Valores!$C$74</f>
        <v>1326.1108</v>
      </c>
      <c r="BA45" s="78">
        <f>AJ45*Valores!$C$75</f>
        <v>227.33328</v>
      </c>
      <c r="BB45" s="78">
        <f t="shared" si="9"/>
        <v>2045.9995199999998</v>
      </c>
      <c r="BC45" s="20"/>
      <c r="BD45" s="20"/>
      <c r="BE45" s="9" t="s">
        <v>461</v>
      </c>
    </row>
    <row r="46" spans="1:57" s="9" customFormat="1" ht="11.25" customHeight="1">
      <c r="A46" s="55">
        <v>45</v>
      </c>
      <c r="B46" s="55" t="s">
        <v>458</v>
      </c>
      <c r="C46" s="52" t="s">
        <v>499</v>
      </c>
      <c r="D46" s="52"/>
      <c r="E46" s="52">
        <f t="shared" si="7"/>
        <v>33</v>
      </c>
      <c r="F46" s="53" t="s">
        <v>360</v>
      </c>
      <c r="G46" s="124">
        <f>G54+G239</f>
        <v>572</v>
      </c>
      <c r="H46" s="129">
        <f>INT((G46*Valores!$C$2*100)+0.5)/100</f>
        <v>3431.6</v>
      </c>
      <c r="I46" s="133">
        <f>I54+I239</f>
        <v>2686</v>
      </c>
      <c r="J46" s="80">
        <f>INT((I46*Valores!$C$2*100)+0.5)/100</f>
        <v>16114.13</v>
      </c>
      <c r="K46" s="147">
        <v>0</v>
      </c>
      <c r="L46" s="80">
        <f>INT((K46*Valores!$C$2*100)+0.5)/100</f>
        <v>0</v>
      </c>
      <c r="M46" s="121">
        <v>0</v>
      </c>
      <c r="N46" s="80">
        <f>INT((M46*Valores!$C$2*100)+0.5)/100</f>
        <v>0</v>
      </c>
      <c r="O46" s="80">
        <f t="shared" si="0"/>
        <v>0</v>
      </c>
      <c r="P46" s="80">
        <f t="shared" si="1"/>
        <v>10317.46</v>
      </c>
      <c r="Q46" s="80">
        <f>Q54+Q239</f>
        <v>4544.16</v>
      </c>
      <c r="R46" s="81">
        <f>Valores!$D$4</f>
        <v>2683.49</v>
      </c>
      <c r="S46" s="80">
        <f>S54+S239</f>
        <v>2700.67</v>
      </c>
      <c r="T46" s="82">
        <f>T54+T239</f>
        <v>1089.19</v>
      </c>
      <c r="U46" s="80">
        <f>U54+U239</f>
        <v>2904.13</v>
      </c>
      <c r="V46" s="80">
        <f aca="true" t="shared" si="13" ref="V46:V112">U46*(1+$J$2)</f>
        <v>4356.195</v>
      </c>
      <c r="W46" s="80">
        <v>0</v>
      </c>
      <c r="X46" s="80">
        <v>0</v>
      </c>
      <c r="Y46" s="115">
        <v>0</v>
      </c>
      <c r="Z46" s="80">
        <f>Y46*Valores!$C$2</f>
        <v>0</v>
      </c>
      <c r="AA46" s="80">
        <v>0</v>
      </c>
      <c r="AB46" s="80">
        <f>AB54+AB239</f>
        <v>187.51</v>
      </c>
      <c r="AC46" s="80">
        <f t="shared" si="3"/>
        <v>0</v>
      </c>
      <c r="AD46" s="80">
        <f>Valores!$C$30</f>
        <v>151.15</v>
      </c>
      <c r="AE46" s="115">
        <v>0</v>
      </c>
      <c r="AF46" s="80">
        <f>INT(((AE46*Valores!$C$2)*100)+0.5)/100</f>
        <v>0</v>
      </c>
      <c r="AG46" s="90">
        <f>AG54+AG239</f>
        <v>430.46</v>
      </c>
      <c r="AH46" s="90">
        <f>AH54+AH239</f>
        <v>123.00999999999999</v>
      </c>
      <c r="AI46" s="90">
        <f>SUM(H46,J46,L46,N46,O46,P46,Q46,R46,S46,T46,V46,W46,X46,Z46,AA46,AB46,AC46,AD46,AF46,AG46,AH46)*Valores!$C$63</f>
        <v>0</v>
      </c>
      <c r="AJ46" s="54">
        <f t="shared" si="4"/>
        <v>46129.025</v>
      </c>
      <c r="AK46" s="90">
        <f>AK54+AK239</f>
        <v>581.8499999999999</v>
      </c>
      <c r="AL46" s="82">
        <f>AL54+AL239</f>
        <v>292.88</v>
      </c>
      <c r="AM46" s="82">
        <f>AM54+AM239</f>
        <v>180.38</v>
      </c>
      <c r="AN46" s="82">
        <f>IF($H$4="SI",SUM(AL46+AM46),AL46)*Valores!$C$63</f>
        <v>0</v>
      </c>
      <c r="AO46" s="185">
        <f t="shared" si="8"/>
        <v>1055.11</v>
      </c>
      <c r="AP46" s="153">
        <f>AJ46*-Valores!$C$65</f>
        <v>-5996.77325</v>
      </c>
      <c r="AQ46" s="153">
        <f>AJ46*-Valores!$C$66</f>
        <v>-230.645125</v>
      </c>
      <c r="AR46" s="81">
        <f>AJ46*-Valores!$C$67</f>
        <v>-2075.806125</v>
      </c>
      <c r="AS46" s="81">
        <f>AJ46*-Valores!$C$68</f>
        <v>-1245.4836750000002</v>
      </c>
      <c r="AT46" s="81">
        <f>AJ46*-Valores!$C$69</f>
        <v>-138.387075</v>
      </c>
      <c r="AU46" s="54">
        <f t="shared" si="5"/>
        <v>38880.9105</v>
      </c>
      <c r="AV46" s="54">
        <f t="shared" si="6"/>
        <v>39572.845875</v>
      </c>
      <c r="AW46" s="81">
        <f>AJ46*Valores!$C$70</f>
        <v>7380.644</v>
      </c>
      <c r="AX46" s="81">
        <f>AJ46*Valores!$C$71</f>
        <v>2075.806125</v>
      </c>
      <c r="AY46" s="81">
        <f>AJ46*Valores!$C$73</f>
        <v>461.29025</v>
      </c>
      <c r="AZ46" s="81">
        <f>AJ46*Valores!$C$74</f>
        <v>1614.5158750000003</v>
      </c>
      <c r="BA46" s="81">
        <f>AJ46*Valores!$C$75</f>
        <v>276.77415</v>
      </c>
      <c r="BB46" s="81">
        <f t="shared" si="9"/>
        <v>2490.9673500000004</v>
      </c>
      <c r="BC46" s="55"/>
      <c r="BD46" s="55"/>
      <c r="BE46" s="52" t="s">
        <v>461</v>
      </c>
    </row>
    <row r="47" spans="1:57" s="9" customFormat="1" ht="11.25" customHeight="1">
      <c r="A47" s="20">
        <v>46</v>
      </c>
      <c r="B47" s="20"/>
      <c r="C47" s="9" t="s">
        <v>76</v>
      </c>
      <c r="E47" s="9">
        <f t="shared" si="7"/>
        <v>33</v>
      </c>
      <c r="F47" s="10" t="s">
        <v>77</v>
      </c>
      <c r="G47" s="123">
        <v>108</v>
      </c>
      <c r="H47" s="7">
        <f>INT((G47*Valores!$C$2*100)+0.5)/100</f>
        <v>647.92</v>
      </c>
      <c r="I47" s="113">
        <v>2907</v>
      </c>
      <c r="J47" s="77">
        <f>INT((I47*Valores!$C$2*100)+0.5)/100</f>
        <v>17439.98</v>
      </c>
      <c r="K47" s="146">
        <v>0</v>
      </c>
      <c r="L47" s="77">
        <f>INT((K47*Valores!$C$2*100)+0.5)/100</f>
        <v>0</v>
      </c>
      <c r="M47" s="123">
        <v>0</v>
      </c>
      <c r="N47" s="77">
        <f>INT((M47*Valores!$C$2*100)+0.5)/100</f>
        <v>0</v>
      </c>
      <c r="O47" s="77">
        <f t="shared" si="0"/>
        <v>0</v>
      </c>
      <c r="P47" s="77">
        <f t="shared" si="1"/>
        <v>9479.615</v>
      </c>
      <c r="Q47" s="78">
        <f>Valores!$C$16</f>
        <v>3718.92</v>
      </c>
      <c r="R47" s="78">
        <f>Valores!$D$4</f>
        <v>2683.49</v>
      </c>
      <c r="S47" s="61">
        <f>Valores!$C$26</f>
        <v>2700.67</v>
      </c>
      <c r="T47" s="87">
        <f>Valores!$C$42</f>
        <v>871.33</v>
      </c>
      <c r="U47" s="77">
        <f>Valores!$C$23</f>
        <v>2584.33</v>
      </c>
      <c r="V47" s="77">
        <f t="shared" si="13"/>
        <v>3876.495</v>
      </c>
      <c r="W47" s="77">
        <v>0</v>
      </c>
      <c r="X47" s="77">
        <v>0</v>
      </c>
      <c r="Y47" s="116">
        <v>0</v>
      </c>
      <c r="Z47" s="77">
        <f>Y47*Valores!$C$2</f>
        <v>0</v>
      </c>
      <c r="AA47" s="77">
        <v>0</v>
      </c>
      <c r="AB47" s="89">
        <f>Valores!$C$29</f>
        <v>151.15</v>
      </c>
      <c r="AC47" s="77">
        <f t="shared" si="3"/>
        <v>0</v>
      </c>
      <c r="AD47" s="77">
        <f>Valores!$C$30</f>
        <v>151.15</v>
      </c>
      <c r="AE47" s="116">
        <v>0</v>
      </c>
      <c r="AF47" s="77">
        <f>INT(((AE47*Valores!$C$2)*100)+0.5)/100</f>
        <v>0</v>
      </c>
      <c r="AG47" s="77">
        <f>Valores!$C$58</f>
        <v>307.46</v>
      </c>
      <c r="AH47" s="77">
        <f>Valores!$C$60</f>
        <v>87.85</v>
      </c>
      <c r="AI47" s="77">
        <f>SUM(H47,J47,L47,N47,O47,P47,Q47,R47,S47,T47,V47,W47,X47,Z47,AA47,AB47,AC47,AD47,AF47,AG47,AH47)*Valores!$C$63</f>
        <v>0</v>
      </c>
      <c r="AJ47" s="15">
        <f t="shared" si="4"/>
        <v>42116.03</v>
      </c>
      <c r="AK47" s="78">
        <f>Valores!$C$35</f>
        <v>415.59</v>
      </c>
      <c r="AL47" s="79">
        <f>Valores!$C$8</f>
        <v>234.26</v>
      </c>
      <c r="AM47" s="89">
        <f>Valores!$C$51</f>
        <v>128.84</v>
      </c>
      <c r="AN47" s="79">
        <f>IF($H$4="SI",SUM(AL47+AM47),AL47)*Valores!$C$63</f>
        <v>0</v>
      </c>
      <c r="AO47" s="12">
        <f t="shared" si="8"/>
        <v>778.6899999999999</v>
      </c>
      <c r="AP47" s="152">
        <f>AJ47*-Valores!$C$65</f>
        <v>-5475.0839</v>
      </c>
      <c r="AQ47" s="152">
        <f>AJ47*-Valores!$C$66</f>
        <v>-210.58015</v>
      </c>
      <c r="AR47" s="78">
        <f>AJ47*-Valores!$C$67</f>
        <v>-1895.2213499999998</v>
      </c>
      <c r="AS47" s="78">
        <f>AJ47*-Valores!$C$68</f>
        <v>-1137.13281</v>
      </c>
      <c r="AT47" s="78">
        <f>AJ47*-Valores!$C$69</f>
        <v>-126.34809</v>
      </c>
      <c r="AU47" s="15">
        <f t="shared" si="5"/>
        <v>35313.8346</v>
      </c>
      <c r="AV47" s="15">
        <f t="shared" si="6"/>
        <v>35945.57505</v>
      </c>
      <c r="AW47" s="78">
        <f>AJ47*Valores!$C$70</f>
        <v>6738.5648</v>
      </c>
      <c r="AX47" s="78">
        <f>AJ47*Valores!$C$71</f>
        <v>1895.2213499999998</v>
      </c>
      <c r="AY47" s="78">
        <f>AJ47*Valores!$C$73</f>
        <v>421.1603</v>
      </c>
      <c r="AZ47" s="78">
        <f>AJ47*Valores!$C$74</f>
        <v>1474.06105</v>
      </c>
      <c r="BA47" s="78">
        <f>AJ47*Valores!$C$75</f>
        <v>252.69618</v>
      </c>
      <c r="BB47" s="78">
        <f t="shared" si="9"/>
        <v>2274.26562</v>
      </c>
      <c r="BC47" s="20"/>
      <c r="BD47" s="20">
        <v>30</v>
      </c>
      <c r="BE47" s="9" t="s">
        <v>462</v>
      </c>
    </row>
    <row r="48" spans="1:57" s="9" customFormat="1" ht="11.25" customHeight="1">
      <c r="A48" s="20">
        <v>47</v>
      </c>
      <c r="B48" s="20"/>
      <c r="C48" s="9" t="s">
        <v>78</v>
      </c>
      <c r="E48" s="9">
        <f t="shared" si="7"/>
        <v>33</v>
      </c>
      <c r="F48" s="10" t="s">
        <v>79</v>
      </c>
      <c r="G48" s="123">
        <v>88</v>
      </c>
      <c r="H48" s="7">
        <f>INT((G48*Valores!$C$2*100)+0.5)/100</f>
        <v>527.94</v>
      </c>
      <c r="I48" s="113">
        <v>2622</v>
      </c>
      <c r="J48" s="77">
        <f>INT((I48*Valores!$C$2*100)+0.5)/100</f>
        <v>15730.18</v>
      </c>
      <c r="K48" s="146">
        <v>0</v>
      </c>
      <c r="L48" s="77">
        <f>INT((K48*Valores!$C$2*100)+0.5)/100</f>
        <v>0</v>
      </c>
      <c r="M48" s="120">
        <v>0</v>
      </c>
      <c r="N48" s="77">
        <f>INT((M48*Valores!$C$2*100)+0.5)/100</f>
        <v>0</v>
      </c>
      <c r="O48" s="77">
        <f t="shared" si="0"/>
        <v>0</v>
      </c>
      <c r="P48" s="77">
        <f t="shared" si="1"/>
        <v>8564.725</v>
      </c>
      <c r="Q48" s="78">
        <f>Valores!$C$16</f>
        <v>3718.92</v>
      </c>
      <c r="R48" s="78">
        <f>Valores!$D$4</f>
        <v>2683.49</v>
      </c>
      <c r="S48" s="61">
        <f>Valores!$C$26</f>
        <v>2700.67</v>
      </c>
      <c r="T48" s="87">
        <f>Valores!$C$42</f>
        <v>871.33</v>
      </c>
      <c r="U48" s="77">
        <f>Valores!$C$23</f>
        <v>2584.33</v>
      </c>
      <c r="V48" s="77">
        <f t="shared" si="13"/>
        <v>3876.495</v>
      </c>
      <c r="W48" s="77">
        <v>0</v>
      </c>
      <c r="X48" s="77">
        <v>0</v>
      </c>
      <c r="Y48" s="116">
        <v>0</v>
      </c>
      <c r="Z48" s="77">
        <f>Y48*Valores!$C$2</f>
        <v>0</v>
      </c>
      <c r="AA48" s="77">
        <v>0</v>
      </c>
      <c r="AB48" s="89">
        <f>Valores!$C$29</f>
        <v>151.15</v>
      </c>
      <c r="AC48" s="77">
        <f t="shared" si="3"/>
        <v>0</v>
      </c>
      <c r="AD48" s="77">
        <f>Valores!$C$30</f>
        <v>151.15</v>
      </c>
      <c r="AE48" s="116">
        <v>0</v>
      </c>
      <c r="AF48" s="77">
        <f>INT(((AE48*Valores!$C$2)*100)+0.5)/100</f>
        <v>0</v>
      </c>
      <c r="AG48" s="77">
        <f>Valores!$C$58</f>
        <v>307.46</v>
      </c>
      <c r="AH48" s="77">
        <f>Valores!$C$60</f>
        <v>87.85</v>
      </c>
      <c r="AI48" s="77">
        <f>SUM(H48,J48,L48,N48,O48,P48,Q48,R48,S48,T48,V48,W48,X48,Z48,AA48,AB48,AC48,AD48,AF48,AG48,AH48)*Valores!$C$63</f>
        <v>0</v>
      </c>
      <c r="AJ48" s="15">
        <f t="shared" si="4"/>
        <v>39371.36</v>
      </c>
      <c r="AK48" s="78">
        <f>Valores!$C$35</f>
        <v>415.59</v>
      </c>
      <c r="AL48" s="79">
        <f>Valores!$C$8</f>
        <v>234.26</v>
      </c>
      <c r="AM48" s="89">
        <f>Valores!$C$51</f>
        <v>128.84</v>
      </c>
      <c r="AN48" s="79">
        <f>IF($H$4="SI",SUM(AL48+AM48),AL48)*Valores!$C$63</f>
        <v>0</v>
      </c>
      <c r="AO48" s="12">
        <f t="shared" si="8"/>
        <v>778.6899999999999</v>
      </c>
      <c r="AP48" s="152">
        <f>AJ48*-Valores!$C$65</f>
        <v>-5118.276800000001</v>
      </c>
      <c r="AQ48" s="152">
        <f>AJ48*-Valores!$C$66</f>
        <v>-196.85680000000002</v>
      </c>
      <c r="AR48" s="78">
        <f>AJ48*-Valores!$C$67</f>
        <v>-1771.7112</v>
      </c>
      <c r="AS48" s="78">
        <f>AJ48*-Valores!$C$68</f>
        <v>-1063.02672</v>
      </c>
      <c r="AT48" s="78">
        <f>AJ48*-Valores!$C$69</f>
        <v>-118.11408</v>
      </c>
      <c r="AU48" s="15">
        <f t="shared" si="5"/>
        <v>33063.205200000004</v>
      </c>
      <c r="AV48" s="15">
        <f t="shared" si="6"/>
        <v>33653.7756</v>
      </c>
      <c r="AW48" s="78">
        <f>AJ48*Valores!$C$70</f>
        <v>6299.417600000001</v>
      </c>
      <c r="AX48" s="78">
        <f>AJ48*Valores!$C$71</f>
        <v>1771.7112</v>
      </c>
      <c r="AY48" s="78">
        <f>AJ48*Valores!$C$73</f>
        <v>393.71360000000004</v>
      </c>
      <c r="AZ48" s="78">
        <f>AJ48*Valores!$C$74</f>
        <v>1377.9976000000001</v>
      </c>
      <c r="BA48" s="78">
        <f>AJ48*Valores!$C$75</f>
        <v>236.22816</v>
      </c>
      <c r="BB48" s="78">
        <f t="shared" si="9"/>
        <v>2126.05344</v>
      </c>
      <c r="BC48" s="20"/>
      <c r="BD48" s="20">
        <v>30</v>
      </c>
      <c r="BE48" s="9" t="s">
        <v>462</v>
      </c>
    </row>
    <row r="49" spans="1:57" s="9" customFormat="1" ht="11.25" customHeight="1">
      <c r="A49" s="20">
        <v>48</v>
      </c>
      <c r="B49" s="20"/>
      <c r="C49" s="9" t="s">
        <v>80</v>
      </c>
      <c r="E49" s="9">
        <f t="shared" si="7"/>
        <v>31</v>
      </c>
      <c r="F49" s="10" t="s">
        <v>81</v>
      </c>
      <c r="G49" s="123">
        <v>88</v>
      </c>
      <c r="H49" s="7">
        <f>INT((G49*Valores!$C$2*100)+0.5)/100</f>
        <v>527.94</v>
      </c>
      <c r="I49" s="113">
        <v>2622</v>
      </c>
      <c r="J49" s="77">
        <f>INT((I49*Valores!$C$2*100)+0.5)/100</f>
        <v>15730.18</v>
      </c>
      <c r="K49" s="146">
        <v>0</v>
      </c>
      <c r="L49" s="77">
        <f>INT((K49*Valores!$C$2*100)+0.5)/100</f>
        <v>0</v>
      </c>
      <c r="M49" s="120">
        <v>0</v>
      </c>
      <c r="N49" s="77">
        <f>INT((M49*Valores!$C$2*100)+0.5)/100</f>
        <v>0</v>
      </c>
      <c r="O49" s="77">
        <f t="shared" si="0"/>
        <v>0</v>
      </c>
      <c r="P49" s="77">
        <f t="shared" si="1"/>
        <v>8564.725</v>
      </c>
      <c r="Q49" s="78">
        <f>Valores!$C$16</f>
        <v>3718.92</v>
      </c>
      <c r="R49" s="78">
        <f>Valores!$D$4</f>
        <v>2683.49</v>
      </c>
      <c r="S49" s="77">
        <f>Valores!$C$26</f>
        <v>2700.67</v>
      </c>
      <c r="T49" s="79">
        <f>Valores!$C$42</f>
        <v>871.33</v>
      </c>
      <c r="U49" s="77">
        <f>Valores!$C$23</f>
        <v>2584.33</v>
      </c>
      <c r="V49" s="77">
        <f t="shared" si="13"/>
        <v>3876.495</v>
      </c>
      <c r="W49" s="77">
        <v>0</v>
      </c>
      <c r="X49" s="77">
        <v>0</v>
      </c>
      <c r="Y49" s="116">
        <v>0</v>
      </c>
      <c r="Z49" s="77">
        <f>Y49*Valores!$C$2</f>
        <v>0</v>
      </c>
      <c r="AA49" s="77">
        <v>0</v>
      </c>
      <c r="AB49" s="89">
        <f>Valores!$C$29</f>
        <v>151.15</v>
      </c>
      <c r="AC49" s="77">
        <f t="shared" si="3"/>
        <v>0</v>
      </c>
      <c r="AD49" s="77">
        <f>Valores!$C$30</f>
        <v>151.15</v>
      </c>
      <c r="AE49" s="116">
        <v>0</v>
      </c>
      <c r="AF49" s="77">
        <f>INT(((AE49*Valores!$C$2)*100)+0.5)/100</f>
        <v>0</v>
      </c>
      <c r="AG49" s="77">
        <f>Valores!$C$58</f>
        <v>307.46</v>
      </c>
      <c r="AH49" s="77">
        <f>Valores!$C$60</f>
        <v>87.85</v>
      </c>
      <c r="AI49" s="77">
        <f>SUM(H49,J49,L49,N49,O49,P49,Q49,R49,S49,T49,V49,W49,X49,Z49,AA49,AB49,AC49,AD49,AF49,AG49,AH49)*Valores!$C$63</f>
        <v>0</v>
      </c>
      <c r="AJ49" s="15">
        <f t="shared" si="4"/>
        <v>39371.36</v>
      </c>
      <c r="AK49" s="78">
        <f>Valores!$C$35</f>
        <v>415.59</v>
      </c>
      <c r="AL49" s="79">
        <f>Valores!$C$8</f>
        <v>234.26</v>
      </c>
      <c r="AM49" s="89">
        <f>Valores!$C$51</f>
        <v>128.84</v>
      </c>
      <c r="AN49" s="79">
        <f>IF($H$4="SI",SUM(AL49+AM49),AL49)*Valores!$C$63</f>
        <v>0</v>
      </c>
      <c r="AO49" s="12">
        <f t="shared" si="8"/>
        <v>778.6899999999999</v>
      </c>
      <c r="AP49" s="152">
        <f>AJ49*-Valores!$C$65</f>
        <v>-5118.276800000001</v>
      </c>
      <c r="AQ49" s="152">
        <f>AJ49*-Valores!$C$66</f>
        <v>-196.85680000000002</v>
      </c>
      <c r="AR49" s="78">
        <f>AJ49*-Valores!$C$67</f>
        <v>-1771.7112</v>
      </c>
      <c r="AS49" s="78">
        <f>AJ49*-Valores!$C$68</f>
        <v>-1063.02672</v>
      </c>
      <c r="AT49" s="78">
        <f>AJ49*-Valores!$C$69</f>
        <v>-118.11408</v>
      </c>
      <c r="AU49" s="15">
        <f t="shared" si="5"/>
        <v>33063.205200000004</v>
      </c>
      <c r="AV49" s="15">
        <f t="shared" si="6"/>
        <v>33653.7756</v>
      </c>
      <c r="AW49" s="78">
        <f>AJ49*Valores!$C$70</f>
        <v>6299.417600000001</v>
      </c>
      <c r="AX49" s="78">
        <f>AJ49*Valores!$C$71</f>
        <v>1771.7112</v>
      </c>
      <c r="AY49" s="78">
        <f>AJ49*Valores!$C$73</f>
        <v>393.71360000000004</v>
      </c>
      <c r="AZ49" s="78">
        <f>AJ49*Valores!$C$74</f>
        <v>1377.9976000000001</v>
      </c>
      <c r="BA49" s="78">
        <f>AJ49*Valores!$C$75</f>
        <v>236.22816</v>
      </c>
      <c r="BB49" s="78">
        <f t="shared" si="9"/>
        <v>2126.05344</v>
      </c>
      <c r="BC49" s="20"/>
      <c r="BD49" s="20">
        <v>30</v>
      </c>
      <c r="BE49" s="9" t="s">
        <v>462</v>
      </c>
    </row>
    <row r="50" spans="1:57" s="9" customFormat="1" ht="11.25" customHeight="1">
      <c r="A50" s="20">
        <v>49</v>
      </c>
      <c r="B50" s="20"/>
      <c r="C50" s="9" t="s">
        <v>82</v>
      </c>
      <c r="E50" s="9">
        <f t="shared" si="7"/>
        <v>26</v>
      </c>
      <c r="F50" s="10" t="s">
        <v>83</v>
      </c>
      <c r="G50" s="123">
        <v>80</v>
      </c>
      <c r="H50" s="7">
        <f>INT((G50*Valores!$C$2*100)+0.5)/100</f>
        <v>479.94</v>
      </c>
      <c r="I50" s="113">
        <v>2278</v>
      </c>
      <c r="J50" s="77">
        <f>INT((I50*Valores!$C$2*100)+0.5)/100</f>
        <v>13666.41</v>
      </c>
      <c r="K50" s="146">
        <v>0</v>
      </c>
      <c r="L50" s="77">
        <f>INT((K50*Valores!$C$2*100)+0.5)/100</f>
        <v>0</v>
      </c>
      <c r="M50" s="120">
        <v>0</v>
      </c>
      <c r="N50" s="77">
        <f>INT((M50*Valores!$C$2*100)+0.5)/100</f>
        <v>0</v>
      </c>
      <c r="O50" s="77">
        <f t="shared" si="0"/>
        <v>0</v>
      </c>
      <c r="P50" s="77">
        <f t="shared" si="1"/>
        <v>7508.84</v>
      </c>
      <c r="Q50" s="78">
        <f>Valores!$C$16</f>
        <v>3718.92</v>
      </c>
      <c r="R50" s="78">
        <f>Valores!$D$4</f>
        <v>2683.49</v>
      </c>
      <c r="S50" s="61">
        <f>Valores!$C$26</f>
        <v>2700.67</v>
      </c>
      <c r="T50" s="87">
        <f>Valores!$C$42</f>
        <v>871.33</v>
      </c>
      <c r="U50" s="77">
        <f>Valores!$C$23</f>
        <v>2584.33</v>
      </c>
      <c r="V50" s="77">
        <f t="shared" si="13"/>
        <v>3876.495</v>
      </c>
      <c r="W50" s="77">
        <v>0</v>
      </c>
      <c r="X50" s="77">
        <v>0</v>
      </c>
      <c r="Y50" s="116">
        <v>0</v>
      </c>
      <c r="Z50" s="77">
        <f>Y50*Valores!$C$2</f>
        <v>0</v>
      </c>
      <c r="AA50" s="77">
        <v>0</v>
      </c>
      <c r="AB50" s="89">
        <f>Valores!$C$29</f>
        <v>151.15</v>
      </c>
      <c r="AC50" s="77">
        <f t="shared" si="3"/>
        <v>0</v>
      </c>
      <c r="AD50" s="77">
        <f>Valores!$C$30</f>
        <v>151.15</v>
      </c>
      <c r="AE50" s="116">
        <v>0</v>
      </c>
      <c r="AF50" s="77">
        <f>INT(((AE50*Valores!$C$2)*100)+0.5)/100</f>
        <v>0</v>
      </c>
      <c r="AG50" s="77">
        <f>Valores!$C$58</f>
        <v>307.46</v>
      </c>
      <c r="AH50" s="77">
        <f>Valores!$C$60</f>
        <v>87.85</v>
      </c>
      <c r="AI50" s="77">
        <f>SUM(H50,J50,L50,N50,O50,P50,Q50,R50,S50,T50,V50,W50,X50,Z50,AA50,AB50,AC50,AD50,AF50,AG50,AH50)*Valores!$C$63</f>
        <v>0</v>
      </c>
      <c r="AJ50" s="15">
        <f t="shared" si="4"/>
        <v>36203.705</v>
      </c>
      <c r="AK50" s="78">
        <f>Valores!$C$35</f>
        <v>415.59</v>
      </c>
      <c r="AL50" s="79">
        <f>Valores!$C$8</f>
        <v>234.26</v>
      </c>
      <c r="AM50" s="89">
        <f>Valores!$C$51</f>
        <v>128.84</v>
      </c>
      <c r="AN50" s="79">
        <f>IF($H$4="SI",SUM(AL50+AM50),AL50)*Valores!$C$63</f>
        <v>0</v>
      </c>
      <c r="AO50" s="12">
        <f t="shared" si="8"/>
        <v>778.6899999999999</v>
      </c>
      <c r="AP50" s="152">
        <f>AJ50*-Valores!$C$65</f>
        <v>-4706.481650000001</v>
      </c>
      <c r="AQ50" s="152">
        <f>AJ50*-Valores!$C$66</f>
        <v>-181.018525</v>
      </c>
      <c r="AR50" s="78">
        <f>AJ50*-Valores!$C$67</f>
        <v>-1629.166725</v>
      </c>
      <c r="AS50" s="78">
        <f>AJ50*-Valores!$C$68</f>
        <v>-977.5000350000001</v>
      </c>
      <c r="AT50" s="78">
        <f>AJ50*-Valores!$C$69</f>
        <v>-108.61111500000001</v>
      </c>
      <c r="AU50" s="15">
        <f t="shared" si="5"/>
        <v>30465.7281</v>
      </c>
      <c r="AV50" s="15">
        <f t="shared" si="6"/>
        <v>31008.783675000006</v>
      </c>
      <c r="AW50" s="78">
        <f>AJ50*Valores!$C$70</f>
        <v>5792.5928</v>
      </c>
      <c r="AX50" s="78">
        <f>AJ50*Valores!$C$71</f>
        <v>1629.166725</v>
      </c>
      <c r="AY50" s="78">
        <f>AJ50*Valores!$C$73</f>
        <v>362.03705</v>
      </c>
      <c r="AZ50" s="78">
        <f>AJ50*Valores!$C$74</f>
        <v>1267.1296750000001</v>
      </c>
      <c r="BA50" s="78">
        <f>AJ50*Valores!$C$75</f>
        <v>217.22223000000002</v>
      </c>
      <c r="BB50" s="78">
        <f t="shared" si="9"/>
        <v>1955.00007</v>
      </c>
      <c r="BC50" s="20"/>
      <c r="BD50" s="20">
        <v>30</v>
      </c>
      <c r="BE50" s="9" t="s">
        <v>462</v>
      </c>
    </row>
    <row r="51" spans="1:57" s="9" customFormat="1" ht="11.25" customHeight="1">
      <c r="A51" s="55">
        <v>50</v>
      </c>
      <c r="B51" s="55" t="s">
        <v>458</v>
      </c>
      <c r="C51" s="52" t="s">
        <v>84</v>
      </c>
      <c r="D51" s="52"/>
      <c r="E51" s="52">
        <f t="shared" si="7"/>
        <v>33</v>
      </c>
      <c r="F51" s="53" t="s">
        <v>85</v>
      </c>
      <c r="G51" s="124">
        <v>100</v>
      </c>
      <c r="H51" s="129">
        <f>INT((G51*Valores!$C$2*100)+0.5)/100</f>
        <v>599.93</v>
      </c>
      <c r="I51" s="114">
        <v>3620</v>
      </c>
      <c r="J51" s="80">
        <f>INT((I51*Valores!$C$2*100)+0.5)/100</f>
        <v>21717.48</v>
      </c>
      <c r="K51" s="147">
        <v>0</v>
      </c>
      <c r="L51" s="80">
        <f>INT((K51*Valores!$C$2*100)+0.5)/100</f>
        <v>0</v>
      </c>
      <c r="M51" s="121">
        <v>0</v>
      </c>
      <c r="N51" s="80">
        <f>INT((M51*Valores!$C$2*100)+0.5)/100</f>
        <v>0</v>
      </c>
      <c r="O51" s="80">
        <f t="shared" si="0"/>
        <v>0</v>
      </c>
      <c r="P51" s="80">
        <f t="shared" si="1"/>
        <v>11812.195</v>
      </c>
      <c r="Q51" s="81">
        <f>Valores!$C$16</f>
        <v>3718.92</v>
      </c>
      <c r="R51" s="81">
        <f>Valores!$D$4</f>
        <v>2683.49</v>
      </c>
      <c r="S51" s="85">
        <f>Valores!$C$26</f>
        <v>2700.67</v>
      </c>
      <c r="T51" s="88">
        <f>Valores!$C$43</f>
        <v>1306.98</v>
      </c>
      <c r="U51" s="80">
        <f>Valores!$C$23</f>
        <v>2584.33</v>
      </c>
      <c r="V51" s="80">
        <f t="shared" si="13"/>
        <v>3876.495</v>
      </c>
      <c r="W51" s="80">
        <v>0</v>
      </c>
      <c r="X51" s="80">
        <v>0</v>
      </c>
      <c r="Y51" s="115">
        <v>0</v>
      </c>
      <c r="Z51" s="80">
        <f>Y51*Valores!$C$2</f>
        <v>0</v>
      </c>
      <c r="AA51" s="80">
        <v>0</v>
      </c>
      <c r="AB51" s="90">
        <f>Valores!$C$29</f>
        <v>151.15</v>
      </c>
      <c r="AC51" s="80">
        <f t="shared" si="3"/>
        <v>0</v>
      </c>
      <c r="AD51" s="80">
        <f>Valores!$C$30</f>
        <v>151.15</v>
      </c>
      <c r="AE51" s="115">
        <v>0</v>
      </c>
      <c r="AF51" s="80">
        <f>INT(((AE51*Valores!$C$2)*100)+0.5)/100</f>
        <v>0</v>
      </c>
      <c r="AG51" s="80">
        <f>Valores!$C$58</f>
        <v>307.46</v>
      </c>
      <c r="AH51" s="80">
        <f>Valores!$C$60</f>
        <v>87.85</v>
      </c>
      <c r="AI51" s="80">
        <f>SUM(H51,J51,L51,N51,O51,P51,Q51,R51,S51,T51,V51,W51,X51,Z51,AA51,AB51,AC51,AD51,AF51,AG51,AH51)*Valores!$C$63</f>
        <v>0</v>
      </c>
      <c r="AJ51" s="54">
        <f t="shared" si="4"/>
        <v>49113.77</v>
      </c>
      <c r="AK51" s="81">
        <f>Valores!$C$35</f>
        <v>415.59</v>
      </c>
      <c r="AL51" s="82">
        <f>Valores!$C$9</f>
        <v>351.39</v>
      </c>
      <c r="AM51" s="89">
        <f>Valores!$C$51</f>
        <v>128.84</v>
      </c>
      <c r="AN51" s="82">
        <f>IF($H$4="SI",SUM(AL51+AM51),AL51)*Valores!$C$63</f>
        <v>0</v>
      </c>
      <c r="AO51" s="185">
        <f t="shared" si="8"/>
        <v>895.82</v>
      </c>
      <c r="AP51" s="153">
        <f>AJ51*-Valores!$C$65</f>
        <v>-6384.7901</v>
      </c>
      <c r="AQ51" s="153">
        <f>AJ51*-Valores!$C$66</f>
        <v>-245.56885</v>
      </c>
      <c r="AR51" s="81">
        <f>AJ51*-Valores!$C$67</f>
        <v>-2210.1196499999996</v>
      </c>
      <c r="AS51" s="81">
        <f>AJ51*-Valores!$C$68</f>
        <v>-1326.07179</v>
      </c>
      <c r="AT51" s="81">
        <f>AJ51*-Valores!$C$69</f>
        <v>-147.34131</v>
      </c>
      <c r="AU51" s="54">
        <f t="shared" si="5"/>
        <v>41169.111399999994</v>
      </c>
      <c r="AV51" s="54">
        <f t="shared" si="6"/>
        <v>41905.81794999999</v>
      </c>
      <c r="AW51" s="81">
        <f>AJ51*Valores!$C$70</f>
        <v>7858.2032</v>
      </c>
      <c r="AX51" s="81">
        <f>AJ51*Valores!$C$71</f>
        <v>2210.1196499999996</v>
      </c>
      <c r="AY51" s="81">
        <f>AJ51*Valores!$C$73</f>
        <v>491.1377</v>
      </c>
      <c r="AZ51" s="81">
        <f>AJ51*Valores!$C$74</f>
        <v>1718.98195</v>
      </c>
      <c r="BA51" s="81">
        <f>AJ51*Valores!$C$75</f>
        <v>294.68262</v>
      </c>
      <c r="BB51" s="81">
        <f t="shared" si="9"/>
        <v>2652.14358</v>
      </c>
      <c r="BC51" s="55"/>
      <c r="BD51" s="55"/>
      <c r="BE51" s="52" t="s">
        <v>462</v>
      </c>
    </row>
    <row r="52" spans="1:57" s="9" customFormat="1" ht="11.25" customHeight="1">
      <c r="A52" s="20">
        <v>51</v>
      </c>
      <c r="B52" s="20"/>
      <c r="C52" s="9" t="s">
        <v>86</v>
      </c>
      <c r="E52" s="9">
        <f t="shared" si="7"/>
        <v>33</v>
      </c>
      <c r="F52" s="10" t="s">
        <v>87</v>
      </c>
      <c r="G52" s="123">
        <v>100</v>
      </c>
      <c r="H52" s="7">
        <f>INT((G52*Valores!$C$2*100)+0.5)/100</f>
        <v>599.93</v>
      </c>
      <c r="I52" s="113">
        <v>3560</v>
      </c>
      <c r="J52" s="77">
        <f>INT((I52*Valores!$C$2*100)+0.5)/100</f>
        <v>21357.52</v>
      </c>
      <c r="K52" s="146">
        <v>0</v>
      </c>
      <c r="L52" s="77">
        <f>INT((K52*Valores!$C$2*100)+0.5)/100</f>
        <v>0</v>
      </c>
      <c r="M52" s="120">
        <v>0</v>
      </c>
      <c r="N52" s="77">
        <f>INT((M52*Valores!$C$2*100)+0.5)/100</f>
        <v>0</v>
      </c>
      <c r="O52" s="77">
        <f t="shared" si="0"/>
        <v>0</v>
      </c>
      <c r="P52" s="77">
        <f t="shared" si="1"/>
        <v>11632.215</v>
      </c>
      <c r="Q52" s="78">
        <f>Valores!$C$16</f>
        <v>3718.92</v>
      </c>
      <c r="R52" s="78">
        <f>Valores!$D$4</f>
        <v>2683.49</v>
      </c>
      <c r="S52" s="77">
        <v>0</v>
      </c>
      <c r="T52" s="79">
        <f>Valores!$C$43</f>
        <v>1306.98</v>
      </c>
      <c r="U52" s="77">
        <f>Valores!$C$23</f>
        <v>2584.33</v>
      </c>
      <c r="V52" s="77">
        <f t="shared" si="13"/>
        <v>3876.495</v>
      </c>
      <c r="W52" s="77">
        <v>0</v>
      </c>
      <c r="X52" s="77">
        <v>0</v>
      </c>
      <c r="Y52" s="116">
        <v>0</v>
      </c>
      <c r="Z52" s="77">
        <f>Y52*Valores!$C$2</f>
        <v>0</v>
      </c>
      <c r="AA52" s="77">
        <v>0</v>
      </c>
      <c r="AB52" s="89">
        <f>Valores!$C$29</f>
        <v>151.15</v>
      </c>
      <c r="AC52" s="77">
        <f t="shared" si="3"/>
        <v>0</v>
      </c>
      <c r="AD52" s="77">
        <f>Valores!$C$30</f>
        <v>151.15</v>
      </c>
      <c r="AE52" s="116">
        <v>0</v>
      </c>
      <c r="AF52" s="77">
        <f>INT(((AE52*Valores!$C$2)*100)+0.5)/100</f>
        <v>0</v>
      </c>
      <c r="AG52" s="77">
        <f>Valores!$C$58</f>
        <v>307.46</v>
      </c>
      <c r="AH52" s="77">
        <f>Valores!$C$60</f>
        <v>87.85</v>
      </c>
      <c r="AI52" s="77">
        <f>SUM(H52,J52,L52,N52,O52,P52,Q52,R52,S52,T52,V52,W52,X52,Z52,AA52,AB52,AC52,AD52,AF52,AG52,AH52)*Valores!$C$63</f>
        <v>0</v>
      </c>
      <c r="AJ52" s="15">
        <f t="shared" si="4"/>
        <v>45873.16</v>
      </c>
      <c r="AK52" s="78">
        <f>Valores!$C$35</f>
        <v>415.59</v>
      </c>
      <c r="AL52" s="79">
        <f>Valores!$C$9</f>
        <v>351.39</v>
      </c>
      <c r="AM52" s="89">
        <f>Valores!$C$51</f>
        <v>128.84</v>
      </c>
      <c r="AN52" s="79">
        <f>IF($H$4="SI",SUM(AL52+AM52),AL52)*Valores!$C$63</f>
        <v>0</v>
      </c>
      <c r="AO52" s="12">
        <f t="shared" si="8"/>
        <v>895.82</v>
      </c>
      <c r="AP52" s="152">
        <f>AJ52*-Valores!$C$65</f>
        <v>-5963.510800000001</v>
      </c>
      <c r="AQ52" s="152">
        <f>AJ52*-Valores!$C$66</f>
        <v>-229.36580000000004</v>
      </c>
      <c r="AR52" s="78">
        <f>AJ52*-Valores!$C$67</f>
        <v>-2064.2922</v>
      </c>
      <c r="AS52" s="78">
        <f>AJ52*-Valores!$C$68</f>
        <v>-1238.5753200000001</v>
      </c>
      <c r="AT52" s="78">
        <f>AJ52*-Valores!$C$69</f>
        <v>-137.61948</v>
      </c>
      <c r="AU52" s="15">
        <f t="shared" si="5"/>
        <v>38511.8112</v>
      </c>
      <c r="AV52" s="15">
        <f t="shared" si="6"/>
        <v>39199.908599999995</v>
      </c>
      <c r="AW52" s="78">
        <f>AJ52*Valores!$C$70</f>
        <v>7339.705600000001</v>
      </c>
      <c r="AX52" s="78">
        <f>AJ52*Valores!$C$71</f>
        <v>2064.2922</v>
      </c>
      <c r="AY52" s="78">
        <f>AJ52*Valores!$C$73</f>
        <v>458.73160000000007</v>
      </c>
      <c r="AZ52" s="78">
        <f>AJ52*Valores!$C$74</f>
        <v>1605.5606000000002</v>
      </c>
      <c r="BA52" s="78">
        <f>AJ52*Valores!$C$75</f>
        <v>275.23896</v>
      </c>
      <c r="BB52" s="78">
        <f t="shared" si="9"/>
        <v>2477.1506400000003</v>
      </c>
      <c r="BC52" s="20"/>
      <c r="BD52" s="20"/>
      <c r="BE52" s="9" t="s">
        <v>461</v>
      </c>
    </row>
    <row r="53" spans="1:57" s="9" customFormat="1" ht="11.25" customHeight="1">
      <c r="A53" s="20">
        <v>52</v>
      </c>
      <c r="B53" s="20"/>
      <c r="C53" s="9" t="s">
        <v>88</v>
      </c>
      <c r="E53" s="9">
        <f t="shared" si="7"/>
        <v>33</v>
      </c>
      <c r="F53" s="10" t="s">
        <v>89</v>
      </c>
      <c r="G53" s="123">
        <v>100</v>
      </c>
      <c r="H53" s="7">
        <f>INT((G53*Valores!$C$2*100)+0.5)/100</f>
        <v>599.93</v>
      </c>
      <c r="I53" s="113">
        <v>3360</v>
      </c>
      <c r="J53" s="77">
        <f>INT((I53*Valores!$C$2*100)+0.5)/100</f>
        <v>20157.66</v>
      </c>
      <c r="K53" s="146">
        <v>0</v>
      </c>
      <c r="L53" s="77">
        <f>INT((K53*Valores!$C$2*100)+0.5)/100</f>
        <v>0</v>
      </c>
      <c r="M53" s="120">
        <v>0</v>
      </c>
      <c r="N53" s="77">
        <f>INT((M53*Valores!$C$2*100)+0.5)/100</f>
        <v>0</v>
      </c>
      <c r="O53" s="77">
        <f t="shared" si="0"/>
        <v>0</v>
      </c>
      <c r="P53" s="77">
        <f t="shared" si="1"/>
        <v>11032.285</v>
      </c>
      <c r="Q53" s="78">
        <f>Valores!$C$16</f>
        <v>3718.92</v>
      </c>
      <c r="R53" s="78">
        <f>Valores!$D$4</f>
        <v>2683.49</v>
      </c>
      <c r="S53" s="61">
        <f>Valores!$C$26</f>
        <v>2700.67</v>
      </c>
      <c r="T53" s="87">
        <f>Valores!$C$43</f>
        <v>1306.98</v>
      </c>
      <c r="U53" s="77">
        <f>Valores!$C$23</f>
        <v>2584.33</v>
      </c>
      <c r="V53" s="77">
        <f t="shared" si="13"/>
        <v>3876.495</v>
      </c>
      <c r="W53" s="77">
        <v>0</v>
      </c>
      <c r="X53" s="77">
        <v>0</v>
      </c>
      <c r="Y53" s="116">
        <v>0</v>
      </c>
      <c r="Z53" s="77">
        <f>Y53*Valores!$C$2</f>
        <v>0</v>
      </c>
      <c r="AA53" s="77">
        <v>0</v>
      </c>
      <c r="AB53" s="89">
        <f>Valores!$C$29</f>
        <v>151.15</v>
      </c>
      <c r="AC53" s="77">
        <f t="shared" si="3"/>
        <v>0</v>
      </c>
      <c r="AD53" s="77">
        <f>Valores!$C$30</f>
        <v>151.15</v>
      </c>
      <c r="AE53" s="116">
        <v>0</v>
      </c>
      <c r="AF53" s="77">
        <f>INT(((AE53*Valores!$C$2)*100)+0.5)/100</f>
        <v>0</v>
      </c>
      <c r="AG53" s="77">
        <f>Valores!$C$58</f>
        <v>307.46</v>
      </c>
      <c r="AH53" s="77">
        <f>Valores!$C$60</f>
        <v>87.85</v>
      </c>
      <c r="AI53" s="77">
        <f>SUM(H53,J53,L53,N53,O53,P53,Q53,R53,S53,T53,V53,W53,X53,Z53,AA53,AB53,AC53,AD53,AF53,AG53,AH53)*Valores!$C$63</f>
        <v>0</v>
      </c>
      <c r="AJ53" s="15">
        <f t="shared" si="4"/>
        <v>46774.04</v>
      </c>
      <c r="AK53" s="78">
        <f>Valores!$C$35</f>
        <v>415.59</v>
      </c>
      <c r="AL53" s="79">
        <f>Valores!$C$9</f>
        <v>351.39</v>
      </c>
      <c r="AM53" s="89">
        <f>Valores!$C$51</f>
        <v>128.84</v>
      </c>
      <c r="AN53" s="79">
        <f>IF($H$4="SI",SUM(AL53+AM53),AL53)*Valores!$C$63</f>
        <v>0</v>
      </c>
      <c r="AO53" s="12">
        <f t="shared" si="8"/>
        <v>895.82</v>
      </c>
      <c r="AP53" s="152">
        <f>AJ53*-Valores!$C$65</f>
        <v>-6080.6252</v>
      </c>
      <c r="AQ53" s="152">
        <f>AJ53*-Valores!$C$66</f>
        <v>-233.8702</v>
      </c>
      <c r="AR53" s="78">
        <f>AJ53*-Valores!$C$67</f>
        <v>-2104.8318</v>
      </c>
      <c r="AS53" s="78">
        <f>AJ53*-Valores!$C$68</f>
        <v>-1262.8990800000001</v>
      </c>
      <c r="AT53" s="78">
        <f>AJ53*-Valores!$C$69</f>
        <v>-140.32212</v>
      </c>
      <c r="AU53" s="15">
        <f t="shared" si="5"/>
        <v>39250.5328</v>
      </c>
      <c r="AV53" s="15">
        <f t="shared" si="6"/>
        <v>39952.1434</v>
      </c>
      <c r="AW53" s="78">
        <f>AJ53*Valores!$C$70</f>
        <v>7483.8464</v>
      </c>
      <c r="AX53" s="78">
        <f>AJ53*Valores!$C$71</f>
        <v>2104.8318</v>
      </c>
      <c r="AY53" s="78">
        <f>AJ53*Valores!$C$73</f>
        <v>467.7404</v>
      </c>
      <c r="AZ53" s="78">
        <f>AJ53*Valores!$C$74</f>
        <v>1637.0914000000002</v>
      </c>
      <c r="BA53" s="78">
        <f>AJ53*Valores!$C$75</f>
        <v>280.64424</v>
      </c>
      <c r="BB53" s="78">
        <f t="shared" si="9"/>
        <v>2525.7981600000003</v>
      </c>
      <c r="BC53" s="20"/>
      <c r="BD53" s="20"/>
      <c r="BE53" s="9" t="s">
        <v>462</v>
      </c>
    </row>
    <row r="54" spans="1:57" s="9" customFormat="1" ht="11.25" customHeight="1">
      <c r="A54" s="20">
        <v>53</v>
      </c>
      <c r="B54" s="20"/>
      <c r="C54" s="9" t="s">
        <v>90</v>
      </c>
      <c r="E54" s="9">
        <f t="shared" si="7"/>
        <v>25</v>
      </c>
      <c r="F54" s="10" t="s">
        <v>91</v>
      </c>
      <c r="G54" s="123">
        <v>98</v>
      </c>
      <c r="H54" s="7">
        <f>INT((G54*Valores!$C$2*100)+0.5)/100</f>
        <v>587.93</v>
      </c>
      <c r="I54" s="113">
        <v>2686</v>
      </c>
      <c r="J54" s="77">
        <f>INT((I54*Valores!$C$2*100)+0.5)/100</f>
        <v>16114.13</v>
      </c>
      <c r="K54" s="146">
        <v>0</v>
      </c>
      <c r="L54" s="77">
        <f>INT((K54*Valores!$C$2*100)+0.5)/100</f>
        <v>0</v>
      </c>
      <c r="M54" s="120">
        <v>0</v>
      </c>
      <c r="N54" s="77">
        <f>INT((M54*Valores!$C$2*100)+0.5)/100</f>
        <v>0</v>
      </c>
      <c r="O54" s="77">
        <f t="shared" si="0"/>
        <v>0</v>
      </c>
      <c r="P54" s="77">
        <f t="shared" si="1"/>
        <v>8786.695</v>
      </c>
      <c r="Q54" s="78">
        <f>Valores!$C$16</f>
        <v>3718.92</v>
      </c>
      <c r="R54" s="78">
        <f>Valores!$D$4</f>
        <v>2683.49</v>
      </c>
      <c r="S54" s="77">
        <f>Valores!$C$26</f>
        <v>2700.67</v>
      </c>
      <c r="T54" s="79">
        <f>Valores!$C$42</f>
        <v>871.33</v>
      </c>
      <c r="U54" s="77">
        <f>Valores!$C$23</f>
        <v>2584.33</v>
      </c>
      <c r="V54" s="77">
        <f t="shared" si="13"/>
        <v>3876.495</v>
      </c>
      <c r="W54" s="77">
        <v>0</v>
      </c>
      <c r="X54" s="77">
        <v>0</v>
      </c>
      <c r="Y54" s="116">
        <v>0</v>
      </c>
      <c r="Z54" s="77">
        <f>Y54*Valores!$C$2</f>
        <v>0</v>
      </c>
      <c r="AA54" s="77">
        <v>0</v>
      </c>
      <c r="AB54" s="89">
        <f>Valores!$C$29</f>
        <v>151.15</v>
      </c>
      <c r="AC54" s="77">
        <f t="shared" si="3"/>
        <v>0</v>
      </c>
      <c r="AD54" s="77">
        <f>Valores!$C$30</f>
        <v>151.15</v>
      </c>
      <c r="AE54" s="116">
        <v>0</v>
      </c>
      <c r="AF54" s="77">
        <f>INT(((AE54*Valores!$C$2)*100)+0.5)/100</f>
        <v>0</v>
      </c>
      <c r="AG54" s="77">
        <f>Valores!$C$58</f>
        <v>307.46</v>
      </c>
      <c r="AH54" s="77">
        <f>Valores!$C$60</f>
        <v>87.85</v>
      </c>
      <c r="AI54" s="77">
        <f>SUM(H54,J54,L54,N54,O54,P54,Q54,R54,S54,T54,V54,W54,X54,Z54,AA54,AB54,AC54,AD54,AF54,AG54,AH54)*Valores!$C$63</f>
        <v>0</v>
      </c>
      <c r="AJ54" s="15">
        <f t="shared" si="4"/>
        <v>40037.27</v>
      </c>
      <c r="AK54" s="78">
        <f>Valores!$C$35</f>
        <v>415.59</v>
      </c>
      <c r="AL54" s="79">
        <f>Valores!$C$8</f>
        <v>234.26</v>
      </c>
      <c r="AM54" s="89">
        <f>Valores!$C$51</f>
        <v>128.84</v>
      </c>
      <c r="AN54" s="79">
        <f>IF($H$4="SI",SUM(AL54+AM54),AL54)*Valores!$C$63</f>
        <v>0</v>
      </c>
      <c r="AO54" s="12">
        <f t="shared" si="8"/>
        <v>778.6899999999999</v>
      </c>
      <c r="AP54" s="152">
        <f>AJ54*-Valores!$C$65</f>
        <v>-5204.8451</v>
      </c>
      <c r="AQ54" s="152">
        <f>AJ54*-Valores!$C$66</f>
        <v>-200.18634999999998</v>
      </c>
      <c r="AR54" s="78">
        <f>AJ54*-Valores!$C$67</f>
        <v>-1801.6771499999998</v>
      </c>
      <c r="AS54" s="78">
        <f>AJ54*-Valores!$C$68</f>
        <v>-1081.00629</v>
      </c>
      <c r="AT54" s="78">
        <f>AJ54*-Valores!$C$69</f>
        <v>-120.11180999999999</v>
      </c>
      <c r="AU54" s="15">
        <f t="shared" si="5"/>
        <v>33609.251399999994</v>
      </c>
      <c r="AV54" s="15">
        <f t="shared" si="6"/>
        <v>34209.81045</v>
      </c>
      <c r="AW54" s="78">
        <f>AJ54*Valores!$C$70</f>
        <v>6405.963199999999</v>
      </c>
      <c r="AX54" s="78">
        <f>AJ54*Valores!$C$71</f>
        <v>1801.6771499999998</v>
      </c>
      <c r="AY54" s="78">
        <f>AJ54*Valores!$C$73</f>
        <v>400.37269999999995</v>
      </c>
      <c r="AZ54" s="78">
        <f>AJ54*Valores!$C$74</f>
        <v>1401.30445</v>
      </c>
      <c r="BA54" s="78">
        <f>AJ54*Valores!$C$75</f>
        <v>240.22361999999998</v>
      </c>
      <c r="BB54" s="78">
        <f t="shared" si="9"/>
        <v>2162.01258</v>
      </c>
      <c r="BC54" s="20"/>
      <c r="BD54" s="20">
        <v>30</v>
      </c>
      <c r="BE54" s="9" t="s">
        <v>462</v>
      </c>
    </row>
    <row r="55" spans="1:57" s="9" customFormat="1" ht="11.25" customHeight="1">
      <c r="A55" s="20">
        <v>54</v>
      </c>
      <c r="B55" s="20"/>
      <c r="C55" s="9" t="s">
        <v>92</v>
      </c>
      <c r="E55" s="9">
        <f t="shared" si="7"/>
        <v>28</v>
      </c>
      <c r="F55" s="10" t="s">
        <v>93</v>
      </c>
      <c r="G55" s="123">
        <v>94</v>
      </c>
      <c r="H55" s="7">
        <f>INT((G55*Valores!$C$2*100)+0.5)/100</f>
        <v>563.93</v>
      </c>
      <c r="I55" s="113">
        <v>2690</v>
      </c>
      <c r="J55" s="77">
        <f>INT((I55*Valores!$C$2*100)+0.5)/100</f>
        <v>16138.13</v>
      </c>
      <c r="K55" s="146">
        <v>0</v>
      </c>
      <c r="L55" s="77">
        <f>INT((K55*Valores!$C$2*100)+0.5)/100</f>
        <v>0</v>
      </c>
      <c r="M55" s="120">
        <v>0</v>
      </c>
      <c r="N55" s="77">
        <f>INT((M55*Valores!$C$2*100)+0.5)/100</f>
        <v>0</v>
      </c>
      <c r="O55" s="77">
        <f t="shared" si="0"/>
        <v>0</v>
      </c>
      <c r="P55" s="77">
        <f t="shared" si="1"/>
        <v>8786.695</v>
      </c>
      <c r="Q55" s="78">
        <f>Valores!$C$16</f>
        <v>3718.92</v>
      </c>
      <c r="R55" s="78">
        <f>Valores!$D$4</f>
        <v>2683.49</v>
      </c>
      <c r="S55" s="61">
        <f>Valores!$C$26</f>
        <v>2700.67</v>
      </c>
      <c r="T55" s="87">
        <f>Valores!$C$42</f>
        <v>871.33</v>
      </c>
      <c r="U55" s="77">
        <f>Valores!$C$23</f>
        <v>2584.33</v>
      </c>
      <c r="V55" s="77">
        <f t="shared" si="13"/>
        <v>3876.495</v>
      </c>
      <c r="W55" s="77">
        <v>0</v>
      </c>
      <c r="X55" s="77">
        <v>0</v>
      </c>
      <c r="Y55" s="116">
        <v>0</v>
      </c>
      <c r="Z55" s="77">
        <f>Y55*Valores!$C$2</f>
        <v>0</v>
      </c>
      <c r="AA55" s="77">
        <v>0</v>
      </c>
      <c r="AB55" s="89">
        <f>Valores!$C$29</f>
        <v>151.15</v>
      </c>
      <c r="AC55" s="77">
        <f t="shared" si="3"/>
        <v>0</v>
      </c>
      <c r="AD55" s="77">
        <f>Valores!$C$30</f>
        <v>151.15</v>
      </c>
      <c r="AE55" s="116">
        <v>94</v>
      </c>
      <c r="AF55" s="77">
        <f>INT(((AE55*Valores!$C$2)*100)+0.5)/100</f>
        <v>563.93</v>
      </c>
      <c r="AG55" s="77">
        <f>Valores!$C$58</f>
        <v>307.46</v>
      </c>
      <c r="AH55" s="77">
        <f>Valores!$C$60</f>
        <v>87.85</v>
      </c>
      <c r="AI55" s="77">
        <f>SUM(H55,J55,L55,N55,O55,P55,Q55,R55,S55,T55,V55,W55,X55,Z55,AA55,AB55,AC55,AD55,AF55,AG55,AH55)*Valores!$C$63</f>
        <v>0</v>
      </c>
      <c r="AJ55" s="15">
        <f t="shared" si="4"/>
        <v>40601.2</v>
      </c>
      <c r="AK55" s="78">
        <f>Valores!$C$35</f>
        <v>415.59</v>
      </c>
      <c r="AL55" s="79">
        <f>Valores!$C$8</f>
        <v>234.26</v>
      </c>
      <c r="AM55" s="89">
        <f>Valores!$C$51</f>
        <v>128.84</v>
      </c>
      <c r="AN55" s="79">
        <f>IF($H$4="SI",SUM(AL55+AM55),AL55)*Valores!$C$63</f>
        <v>0</v>
      </c>
      <c r="AO55" s="12">
        <f t="shared" si="8"/>
        <v>778.6899999999999</v>
      </c>
      <c r="AP55" s="152">
        <f>AJ55*-Valores!$C$65</f>
        <v>-5278.156</v>
      </c>
      <c r="AQ55" s="152">
        <f>AJ55*-Valores!$C$66</f>
        <v>-203.006</v>
      </c>
      <c r="AR55" s="78">
        <f>AJ55*-Valores!$C$67</f>
        <v>-1827.0539999999999</v>
      </c>
      <c r="AS55" s="78">
        <f>AJ55*-Valores!$C$68</f>
        <v>-1096.2324</v>
      </c>
      <c r="AT55" s="78">
        <f>AJ55*-Valores!$C$69</f>
        <v>-121.80359999999999</v>
      </c>
      <c r="AU55" s="15">
        <f t="shared" si="5"/>
        <v>34071.674</v>
      </c>
      <c r="AV55" s="15">
        <f t="shared" si="6"/>
        <v>34680.691999999995</v>
      </c>
      <c r="AW55" s="78">
        <f>AJ55*Valores!$C$70</f>
        <v>6496.192</v>
      </c>
      <c r="AX55" s="78">
        <f>AJ55*Valores!$C$71</f>
        <v>1827.0539999999999</v>
      </c>
      <c r="AY55" s="78">
        <f>AJ55*Valores!$C$73</f>
        <v>406.012</v>
      </c>
      <c r="AZ55" s="78">
        <f>AJ55*Valores!$C$74</f>
        <v>1421.0420000000001</v>
      </c>
      <c r="BA55" s="78">
        <f>AJ55*Valores!$C$75</f>
        <v>243.60719999999998</v>
      </c>
      <c r="BB55" s="78">
        <f t="shared" si="9"/>
        <v>2192.4648</v>
      </c>
      <c r="BC55" s="20"/>
      <c r="BD55" s="20">
        <v>25</v>
      </c>
      <c r="BE55" s="9" t="s">
        <v>462</v>
      </c>
    </row>
    <row r="56" spans="1:57" s="9" customFormat="1" ht="11.25" customHeight="1">
      <c r="A56" s="55">
        <v>55</v>
      </c>
      <c r="B56" s="55" t="s">
        <v>458</v>
      </c>
      <c r="C56" s="52" t="s">
        <v>94</v>
      </c>
      <c r="D56" s="52"/>
      <c r="E56" s="52">
        <f t="shared" si="7"/>
        <v>25</v>
      </c>
      <c r="F56" s="53" t="s">
        <v>95</v>
      </c>
      <c r="G56" s="124">
        <v>93</v>
      </c>
      <c r="H56" s="129">
        <f>INT((G56*Valores!$C$2*100)+0.5)/100</f>
        <v>557.94</v>
      </c>
      <c r="I56" s="114">
        <v>2547</v>
      </c>
      <c r="J56" s="80">
        <f>INT((I56*Valores!$C$2*100)+0.5)/100</f>
        <v>15280.23</v>
      </c>
      <c r="K56" s="147">
        <v>0</v>
      </c>
      <c r="L56" s="80">
        <f>INT((K56*Valores!$C$2*100)+0.5)/100</f>
        <v>0</v>
      </c>
      <c r="M56" s="121">
        <v>0</v>
      </c>
      <c r="N56" s="80">
        <f>INT((M56*Valores!$C$2*100)+0.5)/100</f>
        <v>0</v>
      </c>
      <c r="O56" s="80">
        <f t="shared" si="0"/>
        <v>0</v>
      </c>
      <c r="P56" s="80">
        <f t="shared" si="1"/>
        <v>8354.75</v>
      </c>
      <c r="Q56" s="81">
        <f>Valores!$C$16</f>
        <v>3718.92</v>
      </c>
      <c r="R56" s="81">
        <f>Valores!$D$4</f>
        <v>2683.49</v>
      </c>
      <c r="S56" s="85">
        <f>Valores!$C$26</f>
        <v>2700.67</v>
      </c>
      <c r="T56" s="88">
        <f>Valores!$C$42</f>
        <v>871.33</v>
      </c>
      <c r="U56" s="80">
        <f>Valores!$C$23</f>
        <v>2584.33</v>
      </c>
      <c r="V56" s="80">
        <f t="shared" si="13"/>
        <v>3876.495</v>
      </c>
      <c r="W56" s="80">
        <v>0</v>
      </c>
      <c r="X56" s="80">
        <v>0</v>
      </c>
      <c r="Y56" s="115">
        <v>0</v>
      </c>
      <c r="Z56" s="80">
        <f>Y56*Valores!$C$2</f>
        <v>0</v>
      </c>
      <c r="AA56" s="80">
        <v>0</v>
      </c>
      <c r="AB56" s="90">
        <f>Valores!$C$29</f>
        <v>151.15</v>
      </c>
      <c r="AC56" s="80">
        <f t="shared" si="3"/>
        <v>0</v>
      </c>
      <c r="AD56" s="80">
        <f>Valores!$C$30</f>
        <v>151.15</v>
      </c>
      <c r="AE56" s="115">
        <v>0</v>
      </c>
      <c r="AF56" s="80">
        <f>INT(((AE56*Valores!$C$2)*100)+0.5)/100</f>
        <v>0</v>
      </c>
      <c r="AG56" s="80">
        <f>Valores!$C$58</f>
        <v>307.46</v>
      </c>
      <c r="AH56" s="80">
        <f>Valores!$C$60</f>
        <v>87.85</v>
      </c>
      <c r="AI56" s="80">
        <f>SUM(H56,J56,L56,N56,O56,P56,Q56,R56,S56,T56,V56,W56,X56,Z56,AA56,AB56,AC56,AD56,AF56,AG56,AH56)*Valores!$C$63</f>
        <v>0</v>
      </c>
      <c r="AJ56" s="54">
        <f t="shared" si="4"/>
        <v>38741.435</v>
      </c>
      <c r="AK56" s="81">
        <f>Valores!$C$35</f>
        <v>415.59</v>
      </c>
      <c r="AL56" s="82">
        <f>Valores!$C$8</f>
        <v>234.26</v>
      </c>
      <c r="AM56" s="89">
        <f>Valores!$C$51</f>
        <v>128.84</v>
      </c>
      <c r="AN56" s="82">
        <f>IF($H$4="SI",SUM(AL56+AM56),AL56)*Valores!$C$63</f>
        <v>0</v>
      </c>
      <c r="AO56" s="185">
        <f t="shared" si="8"/>
        <v>778.6899999999999</v>
      </c>
      <c r="AP56" s="153">
        <f>AJ56*-Valores!$C$65</f>
        <v>-5036.38655</v>
      </c>
      <c r="AQ56" s="153">
        <f>AJ56*-Valores!$C$66</f>
        <v>-193.707175</v>
      </c>
      <c r="AR56" s="81">
        <f>AJ56*-Valores!$C$67</f>
        <v>-1743.3645749999998</v>
      </c>
      <c r="AS56" s="81">
        <f>AJ56*-Valores!$C$68</f>
        <v>-1046.018745</v>
      </c>
      <c r="AT56" s="81">
        <f>AJ56*-Valores!$C$69</f>
        <v>-116.224305</v>
      </c>
      <c r="AU56" s="54">
        <f t="shared" si="5"/>
        <v>32546.666699999998</v>
      </c>
      <c r="AV56" s="54">
        <f t="shared" si="6"/>
        <v>33127.78822499999</v>
      </c>
      <c r="AW56" s="81">
        <f>AJ56*Valores!$C$70</f>
        <v>6198.6296</v>
      </c>
      <c r="AX56" s="81">
        <f>AJ56*Valores!$C$71</f>
        <v>1743.3645749999998</v>
      </c>
      <c r="AY56" s="81">
        <f>AJ56*Valores!$C$73</f>
        <v>387.41435</v>
      </c>
      <c r="AZ56" s="81">
        <f>AJ56*Valores!$C$74</f>
        <v>1355.950225</v>
      </c>
      <c r="BA56" s="81">
        <f>AJ56*Valores!$C$75</f>
        <v>232.44861</v>
      </c>
      <c r="BB56" s="81">
        <f t="shared" si="9"/>
        <v>2092.03749</v>
      </c>
      <c r="BC56" s="55"/>
      <c r="BD56" s="55">
        <v>30</v>
      </c>
      <c r="BE56" s="52" t="s">
        <v>462</v>
      </c>
    </row>
    <row r="57" spans="1:57" s="9" customFormat="1" ht="11.25" customHeight="1">
      <c r="A57" s="20">
        <v>56</v>
      </c>
      <c r="B57" s="20"/>
      <c r="C57" s="9" t="s">
        <v>96</v>
      </c>
      <c r="E57" s="9">
        <f t="shared" si="7"/>
        <v>28</v>
      </c>
      <c r="F57" s="10" t="s">
        <v>97</v>
      </c>
      <c r="G57" s="123">
        <v>89</v>
      </c>
      <c r="H57" s="7">
        <f>INT((G57*Valores!$C$2*100)+0.5)/100</f>
        <v>533.94</v>
      </c>
      <c r="I57" s="113">
        <v>2551</v>
      </c>
      <c r="J57" s="77">
        <f>INT((I57*Valores!$C$2*100)+0.5)/100</f>
        <v>15304.22</v>
      </c>
      <c r="K57" s="146">
        <v>0</v>
      </c>
      <c r="L57" s="77">
        <f>INT((K57*Valores!$C$2*100)+0.5)/100</f>
        <v>0</v>
      </c>
      <c r="M57" s="120">
        <v>0</v>
      </c>
      <c r="N57" s="77">
        <f>INT((M57*Valores!$C$2*100)+0.5)/100</f>
        <v>0</v>
      </c>
      <c r="O57" s="77">
        <f t="shared" si="0"/>
        <v>0</v>
      </c>
      <c r="P57" s="77">
        <f t="shared" si="1"/>
        <v>8354.745</v>
      </c>
      <c r="Q57" s="78">
        <f>Valores!$C$16</f>
        <v>3718.92</v>
      </c>
      <c r="R57" s="78">
        <f>Valores!$D$4</f>
        <v>2683.49</v>
      </c>
      <c r="S57" s="61">
        <f>Valores!$C$26</f>
        <v>2700.67</v>
      </c>
      <c r="T57" s="87">
        <f>Valores!$C$42</f>
        <v>871.33</v>
      </c>
      <c r="U57" s="77">
        <f>Valores!$C$23</f>
        <v>2584.33</v>
      </c>
      <c r="V57" s="77">
        <f t="shared" si="13"/>
        <v>3876.495</v>
      </c>
      <c r="W57" s="77">
        <v>0</v>
      </c>
      <c r="X57" s="77">
        <v>0</v>
      </c>
      <c r="Y57" s="116">
        <v>0</v>
      </c>
      <c r="Z57" s="77">
        <f>Y57*Valores!$C$2</f>
        <v>0</v>
      </c>
      <c r="AA57" s="77">
        <v>0</v>
      </c>
      <c r="AB57" s="89">
        <f>Valores!$C$29</f>
        <v>151.15</v>
      </c>
      <c r="AC57" s="77">
        <f t="shared" si="3"/>
        <v>0</v>
      </c>
      <c r="AD57" s="77">
        <f>Valores!$C$30</f>
        <v>151.15</v>
      </c>
      <c r="AE57" s="116">
        <v>94</v>
      </c>
      <c r="AF57" s="77">
        <f>INT(((AE57*Valores!$C$2)*100)+0.5)/100</f>
        <v>563.93</v>
      </c>
      <c r="AG57" s="77">
        <f>Valores!$C$58</f>
        <v>307.46</v>
      </c>
      <c r="AH57" s="77">
        <f>Valores!$C$60</f>
        <v>87.85</v>
      </c>
      <c r="AI57" s="77">
        <f>SUM(H57,J57,L57,N57,O57,P57,Q57,R57,S57,T57,V57,W57,X57,Z57,AA57,AB57,AC57,AD57,AF57,AG57,AH57)*Valores!$C$63</f>
        <v>0</v>
      </c>
      <c r="AJ57" s="15">
        <f t="shared" si="4"/>
        <v>39305.35</v>
      </c>
      <c r="AK57" s="78">
        <f>Valores!$C$35</f>
        <v>415.59</v>
      </c>
      <c r="AL57" s="79">
        <f>Valores!$C$8</f>
        <v>234.26</v>
      </c>
      <c r="AM57" s="89">
        <f>Valores!$C$51</f>
        <v>128.84</v>
      </c>
      <c r="AN57" s="79">
        <f>IF($H$4="SI",SUM(AL57+AM57),AL57)*Valores!$C$63</f>
        <v>0</v>
      </c>
      <c r="AO57" s="12">
        <f t="shared" si="8"/>
        <v>778.6899999999999</v>
      </c>
      <c r="AP57" s="152">
        <f>AJ57*-Valores!$C$65</f>
        <v>-5109.6955</v>
      </c>
      <c r="AQ57" s="152">
        <f>AJ57*-Valores!$C$66</f>
        <v>-196.52675</v>
      </c>
      <c r="AR57" s="78">
        <f>AJ57*-Valores!$C$67</f>
        <v>-1768.74075</v>
      </c>
      <c r="AS57" s="78">
        <f>AJ57*-Valores!$C$68</f>
        <v>-1061.2444500000001</v>
      </c>
      <c r="AT57" s="78">
        <f>AJ57*-Valores!$C$69</f>
        <v>-117.91605</v>
      </c>
      <c r="AU57" s="15">
        <f t="shared" si="5"/>
        <v>33009.077000000005</v>
      </c>
      <c r="AV57" s="15">
        <f t="shared" si="6"/>
        <v>33598.657250000004</v>
      </c>
      <c r="AW57" s="78">
        <f>AJ57*Valores!$C$70</f>
        <v>6288.856</v>
      </c>
      <c r="AX57" s="78">
        <f>AJ57*Valores!$C$71</f>
        <v>1768.74075</v>
      </c>
      <c r="AY57" s="78">
        <f>AJ57*Valores!$C$73</f>
        <v>393.0535</v>
      </c>
      <c r="AZ57" s="78">
        <f>AJ57*Valores!$C$74</f>
        <v>1375.6872500000002</v>
      </c>
      <c r="BA57" s="78">
        <f>AJ57*Valores!$C$75</f>
        <v>235.8321</v>
      </c>
      <c r="BB57" s="78">
        <f t="shared" si="9"/>
        <v>2122.4889000000003</v>
      </c>
      <c r="BC57" s="20"/>
      <c r="BD57" s="20">
        <v>25</v>
      </c>
      <c r="BE57" s="9" t="s">
        <v>462</v>
      </c>
    </row>
    <row r="58" spans="1:57" s="9" customFormat="1" ht="11.25" customHeight="1">
      <c r="A58" s="20">
        <v>57</v>
      </c>
      <c r="B58" s="20"/>
      <c r="C58" s="9" t="s">
        <v>98</v>
      </c>
      <c r="E58" s="9">
        <f t="shared" si="7"/>
        <v>25</v>
      </c>
      <c r="F58" s="10" t="s">
        <v>99</v>
      </c>
      <c r="G58" s="123">
        <v>89</v>
      </c>
      <c r="H58" s="7">
        <f>INT((G58*Valores!$C$2*100)+0.5)/100</f>
        <v>533.94</v>
      </c>
      <c r="I58" s="113">
        <v>2251</v>
      </c>
      <c r="J58" s="77">
        <f>INT((I58*Valores!$C$2*100)+0.5)/100</f>
        <v>13504.43</v>
      </c>
      <c r="K58" s="146">
        <v>0</v>
      </c>
      <c r="L58" s="77">
        <f>INT((K58*Valores!$C$2*100)+0.5)/100</f>
        <v>0</v>
      </c>
      <c r="M58" s="120">
        <v>0</v>
      </c>
      <c r="N58" s="77">
        <f>INT((M58*Valores!$C$2*100)+0.5)/100</f>
        <v>0</v>
      </c>
      <c r="O58" s="77">
        <f t="shared" si="0"/>
        <v>0</v>
      </c>
      <c r="P58" s="77">
        <f t="shared" si="1"/>
        <v>7454.85</v>
      </c>
      <c r="Q58" s="78">
        <f>Valores!$C$16</f>
        <v>3718.92</v>
      </c>
      <c r="R58" s="78">
        <f>Valores!$D$4</f>
        <v>2683.49</v>
      </c>
      <c r="S58" s="61">
        <f>Valores!$C$26</f>
        <v>2700.67</v>
      </c>
      <c r="T58" s="87">
        <f>Valores!$C$42</f>
        <v>871.33</v>
      </c>
      <c r="U58" s="77">
        <f>Valores!$C$23</f>
        <v>2584.33</v>
      </c>
      <c r="V58" s="77">
        <f t="shared" si="13"/>
        <v>3876.495</v>
      </c>
      <c r="W58" s="77">
        <v>0</v>
      </c>
      <c r="X58" s="77">
        <v>0</v>
      </c>
      <c r="Y58" s="116">
        <v>0</v>
      </c>
      <c r="Z58" s="77">
        <f>Y58*Valores!$C$2</f>
        <v>0</v>
      </c>
      <c r="AA58" s="77">
        <v>0</v>
      </c>
      <c r="AB58" s="89">
        <f>Valores!$C$29</f>
        <v>151.15</v>
      </c>
      <c r="AC58" s="77">
        <f t="shared" si="3"/>
        <v>0</v>
      </c>
      <c r="AD58" s="77">
        <f>Valores!$C$30</f>
        <v>151.15</v>
      </c>
      <c r="AE58" s="116">
        <v>0</v>
      </c>
      <c r="AF58" s="77">
        <f>INT(((AE58*Valores!$C$2)*100)+0.5)/100</f>
        <v>0</v>
      </c>
      <c r="AG58" s="77">
        <f>Valores!$C$58</f>
        <v>307.46</v>
      </c>
      <c r="AH58" s="77">
        <f>Valores!$C$60</f>
        <v>87.85</v>
      </c>
      <c r="AI58" s="77">
        <f>SUM(H58,J58,L58,N58,O58,P58,Q58,R58,S58,T58,V58,W58,X58,Z58,AA58,AB58,AC58,AD58,AF58,AG58,AH58)*Valores!$C$63</f>
        <v>0</v>
      </c>
      <c r="AJ58" s="15">
        <f t="shared" si="4"/>
        <v>36041.735</v>
      </c>
      <c r="AK58" s="78">
        <f>Valores!$C$35</f>
        <v>415.59</v>
      </c>
      <c r="AL58" s="79">
        <f>Valores!$C$8</f>
        <v>234.26</v>
      </c>
      <c r="AM58" s="89">
        <f>Valores!$C$51</f>
        <v>128.84</v>
      </c>
      <c r="AN58" s="79">
        <f>IF($H$4="SI",SUM(AL58+AM58),AL58)*Valores!$C$63</f>
        <v>0</v>
      </c>
      <c r="AO58" s="12">
        <f t="shared" si="8"/>
        <v>778.6899999999999</v>
      </c>
      <c r="AP58" s="152">
        <f>AJ58*-Valores!$C$65</f>
        <v>-4685.42555</v>
      </c>
      <c r="AQ58" s="152">
        <f>AJ58*-Valores!$C$66</f>
        <v>-180.208675</v>
      </c>
      <c r="AR58" s="78">
        <f>AJ58*-Valores!$C$67</f>
        <v>-1621.8780749999999</v>
      </c>
      <c r="AS58" s="78">
        <f>AJ58*-Valores!$C$68</f>
        <v>-973.1268450000001</v>
      </c>
      <c r="AT58" s="78">
        <f>AJ58*-Valores!$C$69</f>
        <v>-108.12520500000001</v>
      </c>
      <c r="AU58" s="15">
        <f t="shared" si="5"/>
        <v>30332.9127</v>
      </c>
      <c r="AV58" s="15">
        <f t="shared" si="6"/>
        <v>30873.538725000002</v>
      </c>
      <c r="AW58" s="78">
        <f>AJ58*Valores!$C$70</f>
        <v>5766.6776</v>
      </c>
      <c r="AX58" s="78">
        <f>AJ58*Valores!$C$71</f>
        <v>1621.8780749999999</v>
      </c>
      <c r="AY58" s="78">
        <f>AJ58*Valores!$C$73</f>
        <v>360.41735</v>
      </c>
      <c r="AZ58" s="78">
        <f>AJ58*Valores!$C$74</f>
        <v>1261.4607250000001</v>
      </c>
      <c r="BA58" s="78">
        <f>AJ58*Valores!$C$75</f>
        <v>216.25041000000002</v>
      </c>
      <c r="BB58" s="78">
        <f t="shared" si="9"/>
        <v>1946.25369</v>
      </c>
      <c r="BC58" s="20"/>
      <c r="BD58" s="20">
        <v>30</v>
      </c>
      <c r="BE58" s="9" t="s">
        <v>462</v>
      </c>
    </row>
    <row r="59" spans="1:57" s="9" customFormat="1" ht="11.25" customHeight="1">
      <c r="A59" s="20">
        <v>58</v>
      </c>
      <c r="B59" s="20"/>
      <c r="C59" s="9" t="s">
        <v>100</v>
      </c>
      <c r="E59" s="9">
        <f t="shared" si="7"/>
        <v>28</v>
      </c>
      <c r="F59" s="10" t="s">
        <v>101</v>
      </c>
      <c r="G59" s="123">
        <v>85</v>
      </c>
      <c r="H59" s="7">
        <f>INT((G59*Valores!$C$2*100)+0.5)/100</f>
        <v>509.94</v>
      </c>
      <c r="I59" s="113">
        <v>2255</v>
      </c>
      <c r="J59" s="77">
        <f>INT((I59*Valores!$C$2*100)+0.5)/100</f>
        <v>13528.43</v>
      </c>
      <c r="K59" s="146">
        <v>0</v>
      </c>
      <c r="L59" s="77">
        <f>INT((K59*Valores!$C$2*100)+0.5)/100</f>
        <v>0</v>
      </c>
      <c r="M59" s="120">
        <v>0</v>
      </c>
      <c r="N59" s="77">
        <f>INT((M59*Valores!$C$2*100)+0.5)/100</f>
        <v>0</v>
      </c>
      <c r="O59" s="77">
        <f t="shared" si="0"/>
        <v>0</v>
      </c>
      <c r="P59" s="77">
        <f t="shared" si="1"/>
        <v>7454.85</v>
      </c>
      <c r="Q59" s="78">
        <f>Valores!$C$16</f>
        <v>3718.92</v>
      </c>
      <c r="R59" s="78">
        <f>Valores!$D$4</f>
        <v>2683.49</v>
      </c>
      <c r="S59" s="77">
        <f>Valores!$C$26</f>
        <v>2700.67</v>
      </c>
      <c r="T59" s="79">
        <f>Valores!$C$42</f>
        <v>871.33</v>
      </c>
      <c r="U59" s="77">
        <f>Valores!$C$23</f>
        <v>2584.33</v>
      </c>
      <c r="V59" s="77">
        <f t="shared" si="13"/>
        <v>3876.495</v>
      </c>
      <c r="W59" s="77">
        <v>0</v>
      </c>
      <c r="X59" s="77">
        <v>0</v>
      </c>
      <c r="Y59" s="116">
        <v>0</v>
      </c>
      <c r="Z59" s="77">
        <f>Y59*Valores!$C$2</f>
        <v>0</v>
      </c>
      <c r="AA59" s="77">
        <v>0</v>
      </c>
      <c r="AB59" s="89">
        <f>Valores!$C$29</f>
        <v>151.15</v>
      </c>
      <c r="AC59" s="77">
        <f t="shared" si="3"/>
        <v>0</v>
      </c>
      <c r="AD59" s="77">
        <f>Valores!$C$30</f>
        <v>151.15</v>
      </c>
      <c r="AE59" s="116">
        <v>94</v>
      </c>
      <c r="AF59" s="77">
        <f>INT(((AE59*Valores!$C$2)*100)+0.5)/100</f>
        <v>563.93</v>
      </c>
      <c r="AG59" s="77">
        <f>Valores!$C$58</f>
        <v>307.46</v>
      </c>
      <c r="AH59" s="77">
        <f>Valores!$C$60</f>
        <v>87.85</v>
      </c>
      <c r="AI59" s="77">
        <f>SUM(H59,J59,L59,N59,O59,P59,Q59,R59,S59,T59,V59,W59,X59,Z59,AA59,AB59,AC59,AD59,AF59,AG59,AH59)*Valores!$C$63</f>
        <v>0</v>
      </c>
      <c r="AJ59" s="15">
        <f t="shared" si="4"/>
        <v>36605.665</v>
      </c>
      <c r="AK59" s="78">
        <f>Valores!$C$35</f>
        <v>415.59</v>
      </c>
      <c r="AL59" s="79">
        <f>Valores!$C$8</f>
        <v>234.26</v>
      </c>
      <c r="AM59" s="89">
        <f>Valores!$C$51</f>
        <v>128.84</v>
      </c>
      <c r="AN59" s="79">
        <f>IF($H$4="SI",SUM(AL59+AM59),AL59)*Valores!$C$63</f>
        <v>0</v>
      </c>
      <c r="AO59" s="12">
        <f t="shared" si="8"/>
        <v>778.6899999999999</v>
      </c>
      <c r="AP59" s="152">
        <f>AJ59*-Valores!$C$65</f>
        <v>-4758.73645</v>
      </c>
      <c r="AQ59" s="152">
        <f>AJ59*-Valores!$C$66</f>
        <v>-183.028325</v>
      </c>
      <c r="AR59" s="78">
        <f>AJ59*-Valores!$C$67</f>
        <v>-1647.254925</v>
      </c>
      <c r="AS59" s="78">
        <f>AJ59*-Valores!$C$68</f>
        <v>-988.3529550000002</v>
      </c>
      <c r="AT59" s="78">
        <f>AJ59*-Valores!$C$69</f>
        <v>-109.816995</v>
      </c>
      <c r="AU59" s="15">
        <f t="shared" si="5"/>
        <v>30795.335300000002</v>
      </c>
      <c r="AV59" s="15">
        <f t="shared" si="6"/>
        <v>31344.420275</v>
      </c>
      <c r="AW59" s="78">
        <f>AJ59*Valores!$C$70</f>
        <v>5856.9064</v>
      </c>
      <c r="AX59" s="78">
        <f>AJ59*Valores!$C$71</f>
        <v>1647.254925</v>
      </c>
      <c r="AY59" s="78">
        <f>AJ59*Valores!$C$73</f>
        <v>366.05665</v>
      </c>
      <c r="AZ59" s="78">
        <f>AJ59*Valores!$C$74</f>
        <v>1281.1982750000002</v>
      </c>
      <c r="BA59" s="78">
        <f>AJ59*Valores!$C$75</f>
        <v>219.63399</v>
      </c>
      <c r="BB59" s="78">
        <f t="shared" si="9"/>
        <v>1976.7059100000001</v>
      </c>
      <c r="BC59" s="20"/>
      <c r="BD59" s="20">
        <v>25</v>
      </c>
      <c r="BE59" s="9" t="s">
        <v>462</v>
      </c>
    </row>
    <row r="60" spans="1:57" s="9" customFormat="1" ht="11.25" customHeight="1">
      <c r="A60" s="20">
        <v>59</v>
      </c>
      <c r="B60" s="20"/>
      <c r="C60" s="9" t="s">
        <v>102</v>
      </c>
      <c r="E60" s="9">
        <f t="shared" si="7"/>
        <v>33</v>
      </c>
      <c r="F60" s="10" t="s">
        <v>103</v>
      </c>
      <c r="G60" s="123">
        <v>100</v>
      </c>
      <c r="H60" s="7">
        <f>INT((G60*Valores!$C$2*100)+0.5)/100</f>
        <v>599.93</v>
      </c>
      <c r="I60" s="113">
        <v>3180</v>
      </c>
      <c r="J60" s="77">
        <f>INT((I60*Valores!$C$2*100)+0.5)/100</f>
        <v>19077.79</v>
      </c>
      <c r="K60" s="146">
        <v>0</v>
      </c>
      <c r="L60" s="77">
        <f>INT((K60*Valores!$C$2*100)+0.5)/100</f>
        <v>0</v>
      </c>
      <c r="M60" s="120">
        <v>0</v>
      </c>
      <c r="N60" s="77">
        <f>INT((M60*Valores!$C$2*100)+0.5)/100</f>
        <v>0</v>
      </c>
      <c r="O60" s="77">
        <f t="shared" si="0"/>
        <v>0</v>
      </c>
      <c r="P60" s="77">
        <f t="shared" si="1"/>
        <v>10492.35</v>
      </c>
      <c r="Q60" s="78">
        <f>Valores!$C$16</f>
        <v>3718.92</v>
      </c>
      <c r="R60" s="78">
        <f>Valores!$D$4</f>
        <v>2683.49</v>
      </c>
      <c r="S60" s="61">
        <f>Valores!$C$26</f>
        <v>2700.67</v>
      </c>
      <c r="T60" s="87">
        <f>Valores!$C$43</f>
        <v>1306.98</v>
      </c>
      <c r="U60" s="77">
        <f>Valores!$C$23</f>
        <v>2584.33</v>
      </c>
      <c r="V60" s="77">
        <f t="shared" si="13"/>
        <v>3876.495</v>
      </c>
      <c r="W60" s="77">
        <v>0</v>
      </c>
      <c r="X60" s="77">
        <v>0</v>
      </c>
      <c r="Y60" s="116">
        <v>0</v>
      </c>
      <c r="Z60" s="77">
        <f>Y60*Valores!$C$2</f>
        <v>0</v>
      </c>
      <c r="AA60" s="77">
        <v>0</v>
      </c>
      <c r="AB60" s="89">
        <f>Valores!$C$29</f>
        <v>151.15</v>
      </c>
      <c r="AC60" s="77">
        <f t="shared" si="3"/>
        <v>0</v>
      </c>
      <c r="AD60" s="77">
        <f>Valores!$C$30</f>
        <v>151.15</v>
      </c>
      <c r="AE60" s="116">
        <v>0</v>
      </c>
      <c r="AF60" s="77">
        <f>INT(((AE60*Valores!$C$2)*100)+0.5)/100</f>
        <v>0</v>
      </c>
      <c r="AG60" s="77">
        <f>Valores!$C$58</f>
        <v>307.46</v>
      </c>
      <c r="AH60" s="77">
        <f>Valores!$C$60</f>
        <v>87.85</v>
      </c>
      <c r="AI60" s="77">
        <f>SUM(H60,J60,L60,N60,O60,P60,Q60,R60,S60,T60,V60,W60,X60,Z60,AA60,AB60,AC60,AD60,AF60,AG60,AH60)*Valores!$C$63</f>
        <v>0</v>
      </c>
      <c r="AJ60" s="15">
        <f t="shared" si="4"/>
        <v>45154.235</v>
      </c>
      <c r="AK60" s="78">
        <f>Valores!$C$35</f>
        <v>415.59</v>
      </c>
      <c r="AL60" s="79">
        <f>Valores!$C$9</f>
        <v>351.39</v>
      </c>
      <c r="AM60" s="89">
        <f>Valores!$C$51</f>
        <v>128.84</v>
      </c>
      <c r="AN60" s="79">
        <f>IF($H$4="SI",SUM(AL60+AM60),AL60)*Valores!$C$63</f>
        <v>0</v>
      </c>
      <c r="AO60" s="12">
        <f t="shared" si="8"/>
        <v>895.82</v>
      </c>
      <c r="AP60" s="152">
        <f>AJ60*-Valores!$C$65</f>
        <v>-5870.05055</v>
      </c>
      <c r="AQ60" s="152">
        <f>AJ60*-Valores!$C$66</f>
        <v>-225.771175</v>
      </c>
      <c r="AR60" s="78">
        <f>AJ60*-Valores!$C$67</f>
        <v>-2031.9405749999999</v>
      </c>
      <c r="AS60" s="78">
        <f>AJ60*-Valores!$C$68</f>
        <v>-1219.1643450000001</v>
      </c>
      <c r="AT60" s="78">
        <f>AJ60*-Valores!$C$69</f>
        <v>-135.462705</v>
      </c>
      <c r="AU60" s="15">
        <f t="shared" si="5"/>
        <v>37922.2927</v>
      </c>
      <c r="AV60" s="15">
        <f t="shared" si="6"/>
        <v>38599.606225</v>
      </c>
      <c r="AW60" s="78">
        <f>AJ60*Valores!$C$70</f>
        <v>7224.6776</v>
      </c>
      <c r="AX60" s="78">
        <f>AJ60*Valores!$C$71</f>
        <v>2031.9405749999999</v>
      </c>
      <c r="AY60" s="78">
        <f>AJ60*Valores!$C$73</f>
        <v>451.54235</v>
      </c>
      <c r="AZ60" s="78">
        <f>AJ60*Valores!$C$74</f>
        <v>1580.3982250000001</v>
      </c>
      <c r="BA60" s="78">
        <f>AJ60*Valores!$C$75</f>
        <v>270.92541</v>
      </c>
      <c r="BB60" s="78">
        <f t="shared" si="9"/>
        <v>2438.3286900000003</v>
      </c>
      <c r="BC60" s="20"/>
      <c r="BD60" s="20"/>
      <c r="BE60" s="9" t="s">
        <v>462</v>
      </c>
    </row>
    <row r="61" spans="1:57" s="9" customFormat="1" ht="11.25" customHeight="1">
      <c r="A61" s="55">
        <v>60</v>
      </c>
      <c r="B61" s="55" t="s">
        <v>458</v>
      </c>
      <c r="C61" s="52" t="s">
        <v>104</v>
      </c>
      <c r="D61" s="52"/>
      <c r="E61" s="52">
        <f t="shared" si="7"/>
        <v>30</v>
      </c>
      <c r="F61" s="53" t="s">
        <v>105</v>
      </c>
      <c r="G61" s="124">
        <v>83</v>
      </c>
      <c r="H61" s="129">
        <f>INT((G61*Valores!$C$2*100)+0.5)/100</f>
        <v>497.94</v>
      </c>
      <c r="I61" s="114">
        <v>2352</v>
      </c>
      <c r="J61" s="80">
        <f>INT((I61*Valores!$C$2*100)+0.5)/100</f>
        <v>14110.36</v>
      </c>
      <c r="K61" s="147">
        <v>0</v>
      </c>
      <c r="L61" s="80">
        <f>INT((K61*Valores!$C$2*100)+0.5)/100</f>
        <v>0</v>
      </c>
      <c r="M61" s="121">
        <v>0</v>
      </c>
      <c r="N61" s="80">
        <f>INT((M61*Valores!$C$2*100)+0.5)/100</f>
        <v>0</v>
      </c>
      <c r="O61" s="80">
        <f t="shared" si="0"/>
        <v>0</v>
      </c>
      <c r="P61" s="80">
        <f t="shared" si="1"/>
        <v>7739.8150000000005</v>
      </c>
      <c r="Q61" s="81">
        <f>Valores!$C$16</f>
        <v>3718.92</v>
      </c>
      <c r="R61" s="81">
        <f>Valores!$D$4</f>
        <v>2683.49</v>
      </c>
      <c r="S61" s="85">
        <f>Valores!$C$26</f>
        <v>2700.67</v>
      </c>
      <c r="T61" s="88">
        <f>Valores!$C$42</f>
        <v>871.33</v>
      </c>
      <c r="U61" s="80">
        <f>Valores!$C$23</f>
        <v>2584.33</v>
      </c>
      <c r="V61" s="80">
        <f t="shared" si="13"/>
        <v>3876.495</v>
      </c>
      <c r="W61" s="80">
        <v>0</v>
      </c>
      <c r="X61" s="80">
        <v>0</v>
      </c>
      <c r="Y61" s="115">
        <v>0</v>
      </c>
      <c r="Z61" s="80">
        <f>Y61*Valores!$C$2</f>
        <v>0</v>
      </c>
      <c r="AA61" s="80">
        <v>0</v>
      </c>
      <c r="AB61" s="90">
        <f>Valores!$C$29</f>
        <v>151.15</v>
      </c>
      <c r="AC61" s="80">
        <f t="shared" si="3"/>
        <v>0</v>
      </c>
      <c r="AD61" s="80">
        <f>Valores!$C$30</f>
        <v>151.15</v>
      </c>
      <c r="AE61" s="115">
        <v>0</v>
      </c>
      <c r="AF61" s="80">
        <f>INT(((AE61*Valores!$C$2)*100)+0.5)/100</f>
        <v>0</v>
      </c>
      <c r="AG61" s="80">
        <f>Valores!$C$58</f>
        <v>307.46</v>
      </c>
      <c r="AH61" s="80">
        <f>Valores!$C$60</f>
        <v>87.85</v>
      </c>
      <c r="AI61" s="80">
        <f>SUM(H61,J61,L61,N61,O61,P61,Q61,R61,S61,T61,V61,W61,X61,Z61,AA61,AB61,AC61,AD61,AF61,AG61,AH61)*Valores!$C$63</f>
        <v>0</v>
      </c>
      <c r="AJ61" s="54">
        <f t="shared" si="4"/>
        <v>36896.630000000005</v>
      </c>
      <c r="AK61" s="81">
        <f>Valores!$C$35</f>
        <v>415.59</v>
      </c>
      <c r="AL61" s="82">
        <f>Valores!$C$8</f>
        <v>234.26</v>
      </c>
      <c r="AM61" s="89">
        <f>Valores!$C$51</f>
        <v>128.84</v>
      </c>
      <c r="AN61" s="82">
        <f>IF($H$4="SI",SUM(AL61+AM61),AL61)*Valores!$C$63</f>
        <v>0</v>
      </c>
      <c r="AO61" s="185">
        <f t="shared" si="8"/>
        <v>778.6899999999999</v>
      </c>
      <c r="AP61" s="153">
        <f>AJ61*-Valores!$C$65</f>
        <v>-4796.561900000001</v>
      </c>
      <c r="AQ61" s="153">
        <f>AJ61*-Valores!$C$66</f>
        <v>-184.48315000000002</v>
      </c>
      <c r="AR61" s="81">
        <f>AJ61*-Valores!$C$67</f>
        <v>-1660.3483500000002</v>
      </c>
      <c r="AS61" s="81">
        <f>AJ61*-Valores!$C$68</f>
        <v>-996.2090100000003</v>
      </c>
      <c r="AT61" s="81">
        <f>AJ61*-Valores!$C$69</f>
        <v>-110.68989000000002</v>
      </c>
      <c r="AU61" s="54">
        <f t="shared" si="5"/>
        <v>31033.926600000006</v>
      </c>
      <c r="AV61" s="54">
        <f t="shared" si="6"/>
        <v>31587.376050000006</v>
      </c>
      <c r="AW61" s="81">
        <f>AJ61*Valores!$C$70</f>
        <v>5903.460800000001</v>
      </c>
      <c r="AX61" s="81">
        <f>AJ61*Valores!$C$71</f>
        <v>1660.3483500000002</v>
      </c>
      <c r="AY61" s="81">
        <f>AJ61*Valores!$C$73</f>
        <v>368.96630000000005</v>
      </c>
      <c r="AZ61" s="81">
        <f>AJ61*Valores!$C$74</f>
        <v>1291.3820500000004</v>
      </c>
      <c r="BA61" s="81">
        <f>AJ61*Valores!$C$75</f>
        <v>221.37978000000004</v>
      </c>
      <c r="BB61" s="81">
        <f t="shared" si="9"/>
        <v>1992.4180200000003</v>
      </c>
      <c r="BC61" s="55"/>
      <c r="BD61" s="55">
        <v>30</v>
      </c>
      <c r="BE61" s="52" t="s">
        <v>462</v>
      </c>
    </row>
    <row r="62" spans="1:57" s="9" customFormat="1" ht="11.25" customHeight="1">
      <c r="A62" s="20">
        <v>61</v>
      </c>
      <c r="B62" s="20"/>
      <c r="C62" s="9" t="s">
        <v>106</v>
      </c>
      <c r="E62" s="9">
        <f t="shared" si="7"/>
        <v>33</v>
      </c>
      <c r="F62" s="10" t="s">
        <v>107</v>
      </c>
      <c r="G62" s="123">
        <v>81</v>
      </c>
      <c r="H62" s="7">
        <f>INT((G62*Valores!$C$2*100)+0.5)/100</f>
        <v>485.94</v>
      </c>
      <c r="I62" s="113">
        <v>2354</v>
      </c>
      <c r="J62" s="77">
        <f>INT((I62*Valores!$C$2*100)+0.5)/100</f>
        <v>14122.36</v>
      </c>
      <c r="K62" s="146">
        <v>0</v>
      </c>
      <c r="L62" s="77">
        <f>INT((K62*Valores!$C$2*100)+0.5)/100</f>
        <v>0</v>
      </c>
      <c r="M62" s="120">
        <v>0</v>
      </c>
      <c r="N62" s="77">
        <f>INT((M62*Valores!$C$2*100)+0.5)/100</f>
        <v>0</v>
      </c>
      <c r="O62" s="77">
        <f t="shared" si="0"/>
        <v>0</v>
      </c>
      <c r="P62" s="77">
        <f t="shared" si="1"/>
        <v>7739.8150000000005</v>
      </c>
      <c r="Q62" s="78">
        <f>Valores!$C$16</f>
        <v>3718.92</v>
      </c>
      <c r="R62" s="78">
        <f>Valores!$D$4</f>
        <v>2683.49</v>
      </c>
      <c r="S62" s="61">
        <f>Valores!$C$26</f>
        <v>2700.67</v>
      </c>
      <c r="T62" s="87">
        <f>Valores!$C$42</f>
        <v>871.33</v>
      </c>
      <c r="U62" s="77">
        <f>Valores!$C$23</f>
        <v>2584.33</v>
      </c>
      <c r="V62" s="77">
        <f t="shared" si="13"/>
        <v>3876.495</v>
      </c>
      <c r="W62" s="77">
        <v>0</v>
      </c>
      <c r="X62" s="77">
        <v>0</v>
      </c>
      <c r="Y62" s="116">
        <v>0</v>
      </c>
      <c r="Z62" s="77">
        <f>Y62*Valores!$C$2</f>
        <v>0</v>
      </c>
      <c r="AA62" s="77">
        <v>0</v>
      </c>
      <c r="AB62" s="89">
        <f>Valores!$C$29</f>
        <v>151.15</v>
      </c>
      <c r="AC62" s="77">
        <f t="shared" si="3"/>
        <v>0</v>
      </c>
      <c r="AD62" s="77">
        <f>Valores!$C$30</f>
        <v>151.15</v>
      </c>
      <c r="AE62" s="116">
        <v>94</v>
      </c>
      <c r="AF62" s="77">
        <f>INT(((AE62*Valores!$C$2)*100)+0.5)/100</f>
        <v>563.93</v>
      </c>
      <c r="AG62" s="77">
        <f>Valores!$C$58</f>
        <v>307.46</v>
      </c>
      <c r="AH62" s="77">
        <f>Valores!$C$60</f>
        <v>87.85</v>
      </c>
      <c r="AI62" s="77">
        <f>SUM(H62,J62,L62,N62,O62,P62,Q62,R62,S62,T62,V62,W62,X62,Z62,AA62,AB62,AC62,AD62,AF62,AG62,AH62)*Valores!$C$63</f>
        <v>0</v>
      </c>
      <c r="AJ62" s="15">
        <f t="shared" si="4"/>
        <v>37460.560000000005</v>
      </c>
      <c r="AK62" s="78">
        <f>Valores!$C$35</f>
        <v>415.59</v>
      </c>
      <c r="AL62" s="79">
        <f>Valores!$C$8</f>
        <v>234.26</v>
      </c>
      <c r="AM62" s="89">
        <f>Valores!$C$51</f>
        <v>128.84</v>
      </c>
      <c r="AN62" s="79">
        <f>IF($H$4="SI",SUM(AL62+AM62),AL62)*Valores!$C$63</f>
        <v>0</v>
      </c>
      <c r="AO62" s="12">
        <f t="shared" si="8"/>
        <v>778.6899999999999</v>
      </c>
      <c r="AP62" s="152">
        <f>AJ62*-Valores!$C$65</f>
        <v>-4869.872800000001</v>
      </c>
      <c r="AQ62" s="152">
        <f>AJ62*-Valores!$C$66</f>
        <v>-187.30280000000002</v>
      </c>
      <c r="AR62" s="78">
        <f>AJ62*-Valores!$C$67</f>
        <v>-1685.7252</v>
      </c>
      <c r="AS62" s="78">
        <f>AJ62*-Valores!$C$68</f>
        <v>-1011.4351200000002</v>
      </c>
      <c r="AT62" s="78">
        <f>AJ62*-Valores!$C$69</f>
        <v>-112.38168000000002</v>
      </c>
      <c r="AU62" s="15">
        <f t="shared" si="5"/>
        <v>31496.349200000008</v>
      </c>
      <c r="AV62" s="15">
        <f t="shared" si="6"/>
        <v>32058.257600000008</v>
      </c>
      <c r="AW62" s="78">
        <f>AJ62*Valores!$C$70</f>
        <v>5993.689600000001</v>
      </c>
      <c r="AX62" s="78">
        <f>AJ62*Valores!$C$71</f>
        <v>1685.7252</v>
      </c>
      <c r="AY62" s="78">
        <f>AJ62*Valores!$C$73</f>
        <v>374.60560000000004</v>
      </c>
      <c r="AZ62" s="78">
        <f>AJ62*Valores!$C$74</f>
        <v>1311.1196000000002</v>
      </c>
      <c r="BA62" s="78">
        <f>AJ62*Valores!$C$75</f>
        <v>224.76336000000003</v>
      </c>
      <c r="BB62" s="78">
        <f t="shared" si="9"/>
        <v>2022.8702400000004</v>
      </c>
      <c r="BC62" s="20"/>
      <c r="BD62" s="20">
        <v>25</v>
      </c>
      <c r="BE62" s="9" t="s">
        <v>462</v>
      </c>
    </row>
    <row r="63" spans="1:57" s="9" customFormat="1" ht="11.25" customHeight="1">
      <c r="A63" s="20">
        <v>62</v>
      </c>
      <c r="B63" s="20"/>
      <c r="C63" s="9" t="s">
        <v>108</v>
      </c>
      <c r="E63" s="9">
        <f t="shared" si="7"/>
        <v>30</v>
      </c>
      <c r="F63" s="10" t="s">
        <v>109</v>
      </c>
      <c r="G63" s="123">
        <v>81</v>
      </c>
      <c r="H63" s="7">
        <f>INT((G63*Valores!$C$2*100)+0.5)/100</f>
        <v>485.94</v>
      </c>
      <c r="I63" s="113">
        <v>2094</v>
      </c>
      <c r="J63" s="77">
        <f>INT((I63*Valores!$C$2*100)+0.5)/100</f>
        <v>12562.54</v>
      </c>
      <c r="K63" s="146">
        <v>0</v>
      </c>
      <c r="L63" s="77">
        <f>INT((K63*Valores!$C$2*100)+0.5)/100</f>
        <v>0</v>
      </c>
      <c r="M63" s="120">
        <v>0</v>
      </c>
      <c r="N63" s="77">
        <f>INT((M63*Valores!$C$2*100)+0.5)/100</f>
        <v>0</v>
      </c>
      <c r="O63" s="77">
        <f t="shared" si="0"/>
        <v>0</v>
      </c>
      <c r="P63" s="77">
        <f t="shared" si="1"/>
        <v>6959.905000000001</v>
      </c>
      <c r="Q63" s="78">
        <f>Valores!$C$16</f>
        <v>3718.92</v>
      </c>
      <c r="R63" s="78">
        <f>Valores!$D$4</f>
        <v>2683.49</v>
      </c>
      <c r="S63" s="61">
        <f>Valores!$C$26</f>
        <v>2700.67</v>
      </c>
      <c r="T63" s="87">
        <f>Valores!$C$42</f>
        <v>871.33</v>
      </c>
      <c r="U63" s="77">
        <f>Valores!$C$23</f>
        <v>2584.33</v>
      </c>
      <c r="V63" s="77">
        <f t="shared" si="13"/>
        <v>3876.495</v>
      </c>
      <c r="W63" s="77">
        <v>0</v>
      </c>
      <c r="X63" s="77">
        <v>0</v>
      </c>
      <c r="Y63" s="116">
        <v>0</v>
      </c>
      <c r="Z63" s="77">
        <f>Y63*Valores!$C$2</f>
        <v>0</v>
      </c>
      <c r="AA63" s="77">
        <v>0</v>
      </c>
      <c r="AB63" s="89">
        <f>Valores!$C$29</f>
        <v>151.15</v>
      </c>
      <c r="AC63" s="77">
        <f t="shared" si="3"/>
        <v>0</v>
      </c>
      <c r="AD63" s="77">
        <f>Valores!$C$30</f>
        <v>151.15</v>
      </c>
      <c r="AE63" s="116">
        <v>0</v>
      </c>
      <c r="AF63" s="77">
        <f>INT(((AE63*Valores!$C$2)*100)+0.5)/100</f>
        <v>0</v>
      </c>
      <c r="AG63" s="77">
        <f>Valores!$C$58</f>
        <v>307.46</v>
      </c>
      <c r="AH63" s="77">
        <f>Valores!$C$60</f>
        <v>87.85</v>
      </c>
      <c r="AI63" s="77">
        <f>SUM(H63,J63,L63,N63,O63,P63,Q63,R63,S63,T63,V63,W63,X63,Z63,AA63,AB63,AC63,AD63,AF63,AG63,AH63)*Valores!$C$63</f>
        <v>0</v>
      </c>
      <c r="AJ63" s="15">
        <f t="shared" si="4"/>
        <v>34556.9</v>
      </c>
      <c r="AK63" s="78">
        <f>Valores!$C$35</f>
        <v>415.59</v>
      </c>
      <c r="AL63" s="79">
        <f>Valores!$C$8</f>
        <v>234.26</v>
      </c>
      <c r="AM63" s="89">
        <f>Valores!$C$51</f>
        <v>128.84</v>
      </c>
      <c r="AN63" s="79">
        <f>IF($H$4="SI",SUM(AL63+AM63),AL63)*Valores!$C$63</f>
        <v>0</v>
      </c>
      <c r="AO63" s="12">
        <f t="shared" si="8"/>
        <v>778.6899999999999</v>
      </c>
      <c r="AP63" s="152">
        <f>AJ63*-Valores!$C$65</f>
        <v>-4492.397</v>
      </c>
      <c r="AQ63" s="152">
        <f>AJ63*-Valores!$C$66</f>
        <v>-172.7845</v>
      </c>
      <c r="AR63" s="78">
        <f>AJ63*-Valores!$C$67</f>
        <v>-1555.0605</v>
      </c>
      <c r="AS63" s="78">
        <f>AJ63*-Valores!$C$68</f>
        <v>-933.0363000000001</v>
      </c>
      <c r="AT63" s="78">
        <f>AJ63*-Valores!$C$69</f>
        <v>-103.67070000000001</v>
      </c>
      <c r="AU63" s="15">
        <f t="shared" si="5"/>
        <v>29115.348</v>
      </c>
      <c r="AV63" s="15">
        <f t="shared" si="6"/>
        <v>29633.701500000003</v>
      </c>
      <c r="AW63" s="78">
        <f>AJ63*Valores!$C$70</f>
        <v>5529.104</v>
      </c>
      <c r="AX63" s="78">
        <f>AJ63*Valores!$C$71</f>
        <v>1555.0605</v>
      </c>
      <c r="AY63" s="78">
        <f>AJ63*Valores!$C$73</f>
        <v>345.569</v>
      </c>
      <c r="AZ63" s="78">
        <f>AJ63*Valores!$C$74</f>
        <v>1209.4915</v>
      </c>
      <c r="BA63" s="78">
        <f>AJ63*Valores!$C$75</f>
        <v>207.34140000000002</v>
      </c>
      <c r="BB63" s="78">
        <f t="shared" si="9"/>
        <v>1866.0726000000002</v>
      </c>
      <c r="BC63" s="20"/>
      <c r="BD63" s="20">
        <v>30</v>
      </c>
      <c r="BE63" s="9" t="s">
        <v>462</v>
      </c>
    </row>
    <row r="64" spans="1:57" s="9" customFormat="1" ht="11.25" customHeight="1">
      <c r="A64" s="20">
        <v>63</v>
      </c>
      <c r="B64" s="20"/>
      <c r="C64" s="9" t="s">
        <v>110</v>
      </c>
      <c r="E64" s="9">
        <f t="shared" si="7"/>
        <v>33</v>
      </c>
      <c r="F64" s="10" t="s">
        <v>111</v>
      </c>
      <c r="G64" s="123">
        <v>80</v>
      </c>
      <c r="H64" s="7">
        <f>INT((G64*Valores!$C$2*100)+0.5)/100</f>
        <v>479.94</v>
      </c>
      <c r="I64" s="113">
        <v>2095</v>
      </c>
      <c r="J64" s="77">
        <f>INT((I64*Valores!$C$2*100)+0.5)/100</f>
        <v>12568.54</v>
      </c>
      <c r="K64" s="146">
        <v>0</v>
      </c>
      <c r="L64" s="77">
        <f>INT((K64*Valores!$C$2*100)+0.5)/100</f>
        <v>0</v>
      </c>
      <c r="M64" s="120">
        <v>0</v>
      </c>
      <c r="N64" s="77">
        <f>INT((M64*Valores!$C$2*100)+0.5)/100</f>
        <v>0</v>
      </c>
      <c r="O64" s="77">
        <f t="shared" si="0"/>
        <v>0</v>
      </c>
      <c r="P64" s="77">
        <f t="shared" si="1"/>
        <v>6959.905000000001</v>
      </c>
      <c r="Q64" s="78">
        <f>Valores!$C$16</f>
        <v>3718.92</v>
      </c>
      <c r="R64" s="78">
        <f>Valores!$D$4</f>
        <v>2683.49</v>
      </c>
      <c r="S64" s="77">
        <f>Valores!$C$26</f>
        <v>2700.67</v>
      </c>
      <c r="T64" s="79">
        <f>Valores!$C$42</f>
        <v>871.33</v>
      </c>
      <c r="U64" s="77">
        <f>Valores!$C$23</f>
        <v>2584.33</v>
      </c>
      <c r="V64" s="77">
        <f t="shared" si="13"/>
        <v>3876.495</v>
      </c>
      <c r="W64" s="77">
        <v>0</v>
      </c>
      <c r="X64" s="77">
        <v>0</v>
      </c>
      <c r="Y64" s="116">
        <v>0</v>
      </c>
      <c r="Z64" s="77">
        <f>Y64*Valores!$C$2</f>
        <v>0</v>
      </c>
      <c r="AA64" s="77">
        <v>0</v>
      </c>
      <c r="AB64" s="89">
        <f>Valores!$C$29</f>
        <v>151.15</v>
      </c>
      <c r="AC64" s="77">
        <f t="shared" si="3"/>
        <v>0</v>
      </c>
      <c r="AD64" s="77">
        <f>Valores!$C$30</f>
        <v>151.15</v>
      </c>
      <c r="AE64" s="116">
        <v>94</v>
      </c>
      <c r="AF64" s="77">
        <f>INT(((AE64*Valores!$C$2)*100)+0.5)/100</f>
        <v>563.93</v>
      </c>
      <c r="AG64" s="77">
        <f>Valores!$C$58</f>
        <v>307.46</v>
      </c>
      <c r="AH64" s="77">
        <f>Valores!$C$60</f>
        <v>87.85</v>
      </c>
      <c r="AI64" s="77">
        <f>SUM(H64,J64,L64,N64,O64,P64,Q64,R64,S64,T64,V64,W64,X64,Z64,AA64,AB64,AC64,AD64,AF64,AG64,AH64)*Valores!$C$63</f>
        <v>0</v>
      </c>
      <c r="AJ64" s="15">
        <f t="shared" si="4"/>
        <v>35120.83</v>
      </c>
      <c r="AK64" s="78">
        <f>Valores!$C$35</f>
        <v>415.59</v>
      </c>
      <c r="AL64" s="79">
        <f>Valores!$C$8</f>
        <v>234.26</v>
      </c>
      <c r="AM64" s="89">
        <f>Valores!$C$51</f>
        <v>128.84</v>
      </c>
      <c r="AN64" s="79">
        <f>IF($H$4="SI",SUM(AL64+AM64),AL64)*Valores!$C$63</f>
        <v>0</v>
      </c>
      <c r="AO64" s="12">
        <f t="shared" si="8"/>
        <v>778.6899999999999</v>
      </c>
      <c r="AP64" s="152">
        <f>AJ64*-Valores!$C$65</f>
        <v>-4565.7079</v>
      </c>
      <c r="AQ64" s="152">
        <f>AJ64*-Valores!$C$66</f>
        <v>-175.60415</v>
      </c>
      <c r="AR64" s="78">
        <f>AJ64*-Valores!$C$67</f>
        <v>-1580.43735</v>
      </c>
      <c r="AS64" s="78">
        <f>AJ64*-Valores!$C$68</f>
        <v>-948.2624100000002</v>
      </c>
      <c r="AT64" s="78">
        <f>AJ64*-Valores!$C$69</f>
        <v>-105.36249000000001</v>
      </c>
      <c r="AU64" s="15">
        <f t="shared" si="5"/>
        <v>29577.770600000003</v>
      </c>
      <c r="AV64" s="15">
        <f t="shared" si="6"/>
        <v>30104.58305</v>
      </c>
      <c r="AW64" s="78">
        <f>AJ64*Valores!$C$70</f>
        <v>5619.3328</v>
      </c>
      <c r="AX64" s="78">
        <f>AJ64*Valores!$C$71</f>
        <v>1580.43735</v>
      </c>
      <c r="AY64" s="78">
        <f>AJ64*Valores!$C$73</f>
        <v>351.2083</v>
      </c>
      <c r="AZ64" s="78">
        <f>AJ64*Valores!$C$74</f>
        <v>1229.2290500000001</v>
      </c>
      <c r="BA64" s="78">
        <f>AJ64*Valores!$C$75</f>
        <v>210.72498000000002</v>
      </c>
      <c r="BB64" s="78">
        <f t="shared" si="9"/>
        <v>1896.52482</v>
      </c>
      <c r="BC64" s="20"/>
      <c r="BD64" s="20">
        <v>25</v>
      </c>
      <c r="BE64" s="9" t="s">
        <v>462</v>
      </c>
    </row>
    <row r="65" spans="1:57" s="9" customFormat="1" ht="11.25" customHeight="1">
      <c r="A65" s="20">
        <v>64</v>
      </c>
      <c r="B65" s="20"/>
      <c r="C65" s="9" t="s">
        <v>112</v>
      </c>
      <c r="E65" s="9">
        <f t="shared" si="7"/>
        <v>30</v>
      </c>
      <c r="F65" s="10" t="s">
        <v>113</v>
      </c>
      <c r="G65" s="123">
        <v>79</v>
      </c>
      <c r="H65" s="7">
        <f>INT((G65*Valores!$C$2*100)+0.5)/100</f>
        <v>473.95</v>
      </c>
      <c r="I65" s="113">
        <v>1944</v>
      </c>
      <c r="J65" s="77">
        <f>INT((I65*Valores!$C$2*100)+0.5)/100</f>
        <v>11662.65</v>
      </c>
      <c r="K65" s="146">
        <v>0</v>
      </c>
      <c r="L65" s="77">
        <f>INT((K65*Valores!$C$2*100)+0.5)/100</f>
        <v>0</v>
      </c>
      <c r="M65" s="120">
        <v>0</v>
      </c>
      <c r="N65" s="77">
        <f>INT((M65*Valores!$C$2*100)+0.5)/100</f>
        <v>0</v>
      </c>
      <c r="O65" s="77">
        <f t="shared" si="0"/>
        <v>0</v>
      </c>
      <c r="P65" s="77">
        <f t="shared" si="1"/>
        <v>6503.965</v>
      </c>
      <c r="Q65" s="78">
        <f>Valores!$C$16</f>
        <v>3718.92</v>
      </c>
      <c r="R65" s="78">
        <f>Valores!$D$4</f>
        <v>2683.49</v>
      </c>
      <c r="S65" s="61">
        <f>Valores!$C$26</f>
        <v>2700.67</v>
      </c>
      <c r="T65" s="87">
        <f>Valores!$C$42</f>
        <v>871.33</v>
      </c>
      <c r="U65" s="77">
        <f>Valores!$C$23</f>
        <v>2584.33</v>
      </c>
      <c r="V65" s="77">
        <f t="shared" si="13"/>
        <v>3876.495</v>
      </c>
      <c r="W65" s="77">
        <v>0</v>
      </c>
      <c r="X65" s="77">
        <v>0</v>
      </c>
      <c r="Y65" s="116">
        <v>0</v>
      </c>
      <c r="Z65" s="77">
        <f>Y65*Valores!$C$2</f>
        <v>0</v>
      </c>
      <c r="AA65" s="77">
        <v>0</v>
      </c>
      <c r="AB65" s="89">
        <f>Valores!$C$29</f>
        <v>151.15</v>
      </c>
      <c r="AC65" s="77">
        <f t="shared" si="3"/>
        <v>0</v>
      </c>
      <c r="AD65" s="77">
        <f>Valores!$C$30</f>
        <v>151.15</v>
      </c>
      <c r="AE65" s="116">
        <v>0</v>
      </c>
      <c r="AF65" s="77">
        <f>INT(((AE65*Valores!$C$2)*100)+0.5)/100</f>
        <v>0</v>
      </c>
      <c r="AG65" s="77">
        <f>Valores!$C$58</f>
        <v>307.46</v>
      </c>
      <c r="AH65" s="77">
        <f>Valores!$C$60</f>
        <v>87.85</v>
      </c>
      <c r="AI65" s="77">
        <f>SUM(H65,J65,L65,N65,O65,P65,Q65,R65,S65,T65,V65,W65,X65,Z65,AA65,AB65,AC65,AD65,AF65,AG65,AH65)*Valores!$C$63</f>
        <v>0</v>
      </c>
      <c r="AJ65" s="15">
        <f t="shared" si="4"/>
        <v>33189.079999999994</v>
      </c>
      <c r="AK65" s="78">
        <f>Valores!$C$35</f>
        <v>415.59</v>
      </c>
      <c r="AL65" s="79">
        <f>Valores!$C$8</f>
        <v>234.26</v>
      </c>
      <c r="AM65" s="89">
        <f>Valores!$C$51</f>
        <v>128.84</v>
      </c>
      <c r="AN65" s="79">
        <f>IF($H$4="SI",SUM(AL65+AM65),AL65)*Valores!$C$63</f>
        <v>0</v>
      </c>
      <c r="AO65" s="12">
        <f t="shared" si="8"/>
        <v>778.6899999999999</v>
      </c>
      <c r="AP65" s="152">
        <f>AJ65*-Valores!$C$65</f>
        <v>-4314.5804</v>
      </c>
      <c r="AQ65" s="152">
        <f>AJ65*-Valores!$C$66</f>
        <v>-165.94539999999998</v>
      </c>
      <c r="AR65" s="78">
        <f>AJ65*-Valores!$C$67</f>
        <v>-1493.5085999999997</v>
      </c>
      <c r="AS65" s="78">
        <f>AJ65*-Valores!$C$68</f>
        <v>-896.10516</v>
      </c>
      <c r="AT65" s="78">
        <f>AJ65*-Valores!$C$69</f>
        <v>-99.56723999999998</v>
      </c>
      <c r="AU65" s="15">
        <f t="shared" si="5"/>
        <v>27993.7356</v>
      </c>
      <c r="AV65" s="15">
        <f t="shared" si="6"/>
        <v>28491.5718</v>
      </c>
      <c r="AW65" s="78">
        <f>AJ65*Valores!$C$70</f>
        <v>5310.252799999999</v>
      </c>
      <c r="AX65" s="78">
        <f>AJ65*Valores!$C$71</f>
        <v>1493.5085999999997</v>
      </c>
      <c r="AY65" s="78">
        <f>AJ65*Valores!$C$73</f>
        <v>331.89079999999996</v>
      </c>
      <c r="AZ65" s="78">
        <f>AJ65*Valores!$C$74</f>
        <v>1161.6178</v>
      </c>
      <c r="BA65" s="78">
        <f>AJ65*Valores!$C$75</f>
        <v>199.13447999999997</v>
      </c>
      <c r="BB65" s="78">
        <f t="shared" si="9"/>
        <v>1792.2103199999997</v>
      </c>
      <c r="BC65" s="20"/>
      <c r="BD65" s="20">
        <v>30</v>
      </c>
      <c r="BE65" s="9" t="s">
        <v>462</v>
      </c>
    </row>
    <row r="66" spans="1:57" s="9" customFormat="1" ht="11.25" customHeight="1">
      <c r="A66" s="55">
        <v>65</v>
      </c>
      <c r="B66" s="55" t="s">
        <v>458</v>
      </c>
      <c r="C66" s="52" t="s">
        <v>114</v>
      </c>
      <c r="D66" s="52"/>
      <c r="E66" s="52">
        <f t="shared" si="7"/>
        <v>33</v>
      </c>
      <c r="F66" s="53" t="s">
        <v>115</v>
      </c>
      <c r="G66" s="124">
        <v>79</v>
      </c>
      <c r="H66" s="129">
        <f>INT((G66*Valores!$C$2*100)+0.5)/100</f>
        <v>473.95</v>
      </c>
      <c r="I66" s="114">
        <v>1944</v>
      </c>
      <c r="J66" s="80">
        <f>INT((I66*Valores!$C$2*100)+0.5)/100</f>
        <v>11662.65</v>
      </c>
      <c r="K66" s="147">
        <v>0</v>
      </c>
      <c r="L66" s="80">
        <f>INT((K66*Valores!$C$2*100)+0.5)/100</f>
        <v>0</v>
      </c>
      <c r="M66" s="121">
        <v>0</v>
      </c>
      <c r="N66" s="80">
        <f>INT((M66*Valores!$C$2*100)+0.5)/100</f>
        <v>0</v>
      </c>
      <c r="O66" s="80">
        <f t="shared" si="0"/>
        <v>0</v>
      </c>
      <c r="P66" s="80">
        <f t="shared" si="1"/>
        <v>6503.965</v>
      </c>
      <c r="Q66" s="81">
        <f>Valores!$C$16</f>
        <v>3718.92</v>
      </c>
      <c r="R66" s="81">
        <f>Valores!$D$4</f>
        <v>2683.49</v>
      </c>
      <c r="S66" s="85">
        <f>Valores!$C$26</f>
        <v>2700.67</v>
      </c>
      <c r="T66" s="88">
        <f>Valores!$C$42</f>
        <v>871.33</v>
      </c>
      <c r="U66" s="80">
        <f>Valores!$C$23</f>
        <v>2584.33</v>
      </c>
      <c r="V66" s="80">
        <f t="shared" si="13"/>
        <v>3876.495</v>
      </c>
      <c r="W66" s="80">
        <v>0</v>
      </c>
      <c r="X66" s="80">
        <v>0</v>
      </c>
      <c r="Y66" s="115">
        <v>0</v>
      </c>
      <c r="Z66" s="80">
        <f>Y66*Valores!$C$2</f>
        <v>0</v>
      </c>
      <c r="AA66" s="80">
        <v>0</v>
      </c>
      <c r="AB66" s="90">
        <f>Valores!$C$29</f>
        <v>151.15</v>
      </c>
      <c r="AC66" s="80">
        <f t="shared" si="3"/>
        <v>0</v>
      </c>
      <c r="AD66" s="80">
        <f>Valores!$C$30</f>
        <v>151.15</v>
      </c>
      <c r="AE66" s="115">
        <v>94</v>
      </c>
      <c r="AF66" s="80">
        <f>INT(((AE66*Valores!$C$2)*100)+0.5)/100</f>
        <v>563.93</v>
      </c>
      <c r="AG66" s="80">
        <f>Valores!$C$58</f>
        <v>307.46</v>
      </c>
      <c r="AH66" s="80">
        <f>Valores!$C$60</f>
        <v>87.85</v>
      </c>
      <c r="AI66" s="80">
        <f>SUM(H66,J66,L66,N66,O66,P66,Q66,R66,S66,T66,V66,W66,X66,Z66,AA66,AB66,AC66,AD66,AF66,AG66,AH66)*Valores!$C$63</f>
        <v>0</v>
      </c>
      <c r="AJ66" s="54">
        <f t="shared" si="4"/>
        <v>33753.009999999995</v>
      </c>
      <c r="AK66" s="81">
        <f>Valores!$C$35</f>
        <v>415.59</v>
      </c>
      <c r="AL66" s="82">
        <f>Valores!$C$8</f>
        <v>234.26</v>
      </c>
      <c r="AM66" s="90">
        <f>Valores!$C$51</f>
        <v>128.84</v>
      </c>
      <c r="AN66" s="82">
        <f>IF($H$4="SI",SUM(AL66+AM66),AL66)*Valores!$C$63</f>
        <v>0</v>
      </c>
      <c r="AO66" s="185">
        <f t="shared" si="8"/>
        <v>778.6899999999999</v>
      </c>
      <c r="AP66" s="153">
        <f>AJ66*-Valores!$C$65</f>
        <v>-4387.891299999999</v>
      </c>
      <c r="AQ66" s="153">
        <f>AJ66*-Valores!$C$66</f>
        <v>-168.76504999999997</v>
      </c>
      <c r="AR66" s="81">
        <f>AJ66*-Valores!$C$67</f>
        <v>-1518.8854499999998</v>
      </c>
      <c r="AS66" s="81">
        <f>AJ66*-Valores!$C$68</f>
        <v>-911.33127</v>
      </c>
      <c r="AT66" s="81">
        <f>AJ66*-Valores!$C$69</f>
        <v>-101.25902999999998</v>
      </c>
      <c r="AU66" s="54">
        <f t="shared" si="5"/>
        <v>28456.158199999994</v>
      </c>
      <c r="AV66" s="54">
        <f t="shared" si="6"/>
        <v>28962.453349999992</v>
      </c>
      <c r="AW66" s="81">
        <f>AJ66*Valores!$C$70</f>
        <v>5400.481599999999</v>
      </c>
      <c r="AX66" s="81">
        <f>AJ66*Valores!$C$71</f>
        <v>1518.8854499999998</v>
      </c>
      <c r="AY66" s="81">
        <f>AJ66*Valores!$C$73</f>
        <v>337.53009999999995</v>
      </c>
      <c r="AZ66" s="81">
        <f>AJ66*Valores!$C$74</f>
        <v>1181.3553499999998</v>
      </c>
      <c r="BA66" s="81">
        <f>AJ66*Valores!$C$75</f>
        <v>202.51805999999996</v>
      </c>
      <c r="BB66" s="81">
        <f t="shared" si="9"/>
        <v>1822.6625399999998</v>
      </c>
      <c r="BC66" s="55"/>
      <c r="BD66" s="55">
        <v>25</v>
      </c>
      <c r="BE66" s="52" t="s">
        <v>461</v>
      </c>
    </row>
    <row r="67" spans="1:57" s="9" customFormat="1" ht="11.25" customHeight="1">
      <c r="A67" s="20">
        <v>66</v>
      </c>
      <c r="B67" s="20"/>
      <c r="C67" s="9" t="s">
        <v>116</v>
      </c>
      <c r="E67" s="9">
        <f t="shared" si="7"/>
        <v>29</v>
      </c>
      <c r="F67" s="10" t="s">
        <v>117</v>
      </c>
      <c r="G67" s="123">
        <v>100</v>
      </c>
      <c r="H67" s="7">
        <f>INT((G67*Valores!$C$2*100)+0.5)/100</f>
        <v>599.93</v>
      </c>
      <c r="I67" s="113">
        <v>2864</v>
      </c>
      <c r="J67" s="77">
        <f>INT((I67*Valores!$C$2*100)+0.5)/100</f>
        <v>17182.01</v>
      </c>
      <c r="K67" s="146">
        <v>0</v>
      </c>
      <c r="L67" s="77">
        <f>INT((K67*Valores!$C$2*100)+0.5)/100</f>
        <v>0</v>
      </c>
      <c r="M67" s="120">
        <v>0</v>
      </c>
      <c r="N67" s="77">
        <f>INT((M67*Valores!$C$2*100)+0.5)/100</f>
        <v>0</v>
      </c>
      <c r="O67" s="77">
        <f t="shared" si="0"/>
        <v>0</v>
      </c>
      <c r="P67" s="77">
        <f t="shared" si="1"/>
        <v>9326.635</v>
      </c>
      <c r="Q67" s="78">
        <f>Valores!$C$16</f>
        <v>3718.92</v>
      </c>
      <c r="R67" s="78">
        <f>Valores!$D$4</f>
        <v>2683.49</v>
      </c>
      <c r="S67" s="77">
        <v>0</v>
      </c>
      <c r="T67" s="79">
        <f>Valores!$C$42</f>
        <v>871.33</v>
      </c>
      <c r="U67" s="77">
        <f>Valores!$C$23</f>
        <v>2584.33</v>
      </c>
      <c r="V67" s="77">
        <f t="shared" si="13"/>
        <v>3876.495</v>
      </c>
      <c r="W67" s="77">
        <v>0</v>
      </c>
      <c r="X67" s="77">
        <v>0</v>
      </c>
      <c r="Y67" s="116">
        <v>0</v>
      </c>
      <c r="Z67" s="77">
        <f>Y67*Valores!$C$2</f>
        <v>0</v>
      </c>
      <c r="AA67" s="77">
        <v>0</v>
      </c>
      <c r="AB67" s="89">
        <f>Valores!$C$29</f>
        <v>151.15</v>
      </c>
      <c r="AC67" s="77">
        <f t="shared" si="3"/>
        <v>0</v>
      </c>
      <c r="AD67" s="77">
        <f>Valores!$C$30</f>
        <v>151.15</v>
      </c>
      <c r="AE67" s="116">
        <v>0</v>
      </c>
      <c r="AF67" s="77">
        <f>INT(((AE67*Valores!$C$2)*100)+0.5)/100</f>
        <v>0</v>
      </c>
      <c r="AG67" s="77">
        <f>Valores!$C$58</f>
        <v>307.46</v>
      </c>
      <c r="AH67" s="77">
        <f>Valores!$C$60</f>
        <v>87.85</v>
      </c>
      <c r="AI67" s="77">
        <f>SUM(H67,J67,L67,N67,O67,P67,Q67,R67,S67,T67,V67,W67,X67,Z67,AA67,AB67,AC67,AD67,AF67,AG67,AH67)*Valores!$C$63</f>
        <v>0</v>
      </c>
      <c r="AJ67" s="15">
        <f t="shared" si="4"/>
        <v>38956.42</v>
      </c>
      <c r="AK67" s="78">
        <f>Valores!$C$35</f>
        <v>415.59</v>
      </c>
      <c r="AL67" s="79">
        <f>Valores!$C$8</f>
        <v>234.26</v>
      </c>
      <c r="AM67" s="89">
        <f>Valores!$C$50</f>
        <v>257.67</v>
      </c>
      <c r="AN67" s="79">
        <f>IF($H$4="SI",SUM(AL67+AM67),AL67)*Valores!$C$63</f>
        <v>0</v>
      </c>
      <c r="AO67" s="12">
        <f t="shared" si="8"/>
        <v>907.52</v>
      </c>
      <c r="AP67" s="152">
        <f>AJ67*-Valores!$C$65</f>
        <v>-5064.3346</v>
      </c>
      <c r="AQ67" s="152">
        <f>AJ67*-Valores!$C$66</f>
        <v>-194.78209999999999</v>
      </c>
      <c r="AR67" s="78">
        <f>AJ67*-Valores!$C$67</f>
        <v>-1753.0388999999998</v>
      </c>
      <c r="AS67" s="78">
        <f>AJ67*-Valores!$C$68</f>
        <v>-1051.8233400000001</v>
      </c>
      <c r="AT67" s="78">
        <f>AJ67*-Valores!$C$69</f>
        <v>-116.86926</v>
      </c>
      <c r="AU67" s="15">
        <f t="shared" si="5"/>
        <v>32851.7844</v>
      </c>
      <c r="AV67" s="15">
        <f t="shared" si="6"/>
        <v>33436.130699999994</v>
      </c>
      <c r="AW67" s="78">
        <f>AJ67*Valores!$C$70</f>
        <v>6233.0271999999995</v>
      </c>
      <c r="AX67" s="78">
        <f>AJ67*Valores!$C$71</f>
        <v>1753.0388999999998</v>
      </c>
      <c r="AY67" s="78">
        <f>AJ67*Valores!$C$73</f>
        <v>389.56419999999997</v>
      </c>
      <c r="AZ67" s="78">
        <f>AJ67*Valores!$C$74</f>
        <v>1363.4747</v>
      </c>
      <c r="BA67" s="78">
        <f>AJ67*Valores!$C$75</f>
        <v>233.73852</v>
      </c>
      <c r="BB67" s="78">
        <f t="shared" si="9"/>
        <v>2103.64668</v>
      </c>
      <c r="BC67" s="20"/>
      <c r="BD67" s="20"/>
      <c r="BE67" s="9" t="s">
        <v>462</v>
      </c>
    </row>
    <row r="68" spans="1:57" s="9" customFormat="1" ht="11.25" customHeight="1">
      <c r="A68" s="20">
        <v>67</v>
      </c>
      <c r="B68" s="20"/>
      <c r="C68" s="9" t="s">
        <v>118</v>
      </c>
      <c r="E68" s="9">
        <f t="shared" si="7"/>
        <v>24</v>
      </c>
      <c r="F68" s="10" t="s">
        <v>119</v>
      </c>
      <c r="G68" s="123">
        <v>79</v>
      </c>
      <c r="H68" s="7">
        <f>INT((G68*Valores!$C$2*100)+0.5)/100</f>
        <v>473.95</v>
      </c>
      <c r="I68" s="113">
        <v>2161</v>
      </c>
      <c r="J68" s="77">
        <f>INT((I68*Valores!$C$2*100)+0.5)/100</f>
        <v>12964.5</v>
      </c>
      <c r="K68" s="146">
        <v>0</v>
      </c>
      <c r="L68" s="77">
        <f>INT((K68*Valores!$C$2*100)+0.5)/100</f>
        <v>0</v>
      </c>
      <c r="M68" s="120">
        <v>0</v>
      </c>
      <c r="N68" s="77">
        <f>INT((M68*Valores!$C$2*100)+0.5)/100</f>
        <v>0</v>
      </c>
      <c r="O68" s="77">
        <f t="shared" si="0"/>
        <v>0</v>
      </c>
      <c r="P68" s="77">
        <f t="shared" si="1"/>
        <v>7154.89</v>
      </c>
      <c r="Q68" s="78">
        <f>Valores!$C$16</f>
        <v>3718.92</v>
      </c>
      <c r="R68" s="78">
        <f>Valores!$D$4</f>
        <v>2683.49</v>
      </c>
      <c r="S68" s="61">
        <f>Valores!$C$26</f>
        <v>2700.67</v>
      </c>
      <c r="T68" s="87">
        <f>Valores!$C$42</f>
        <v>871.33</v>
      </c>
      <c r="U68" s="77">
        <f>Valores!$C$23</f>
        <v>2584.33</v>
      </c>
      <c r="V68" s="77">
        <f t="shared" si="13"/>
        <v>3876.495</v>
      </c>
      <c r="W68" s="77">
        <v>0</v>
      </c>
      <c r="X68" s="77">
        <v>0</v>
      </c>
      <c r="Y68" s="116">
        <v>0</v>
      </c>
      <c r="Z68" s="77">
        <f>Y68*Valores!$C$2</f>
        <v>0</v>
      </c>
      <c r="AA68" s="77">
        <v>0</v>
      </c>
      <c r="AB68" s="89">
        <f>Valores!$C$29</f>
        <v>151.15</v>
      </c>
      <c r="AC68" s="77">
        <f t="shared" si="3"/>
        <v>0</v>
      </c>
      <c r="AD68" s="77">
        <f>Valores!$C$30</f>
        <v>151.15</v>
      </c>
      <c r="AE68" s="116">
        <v>0</v>
      </c>
      <c r="AF68" s="77">
        <f>INT(((AE68*Valores!$C$2)*100)+0.5)/100</f>
        <v>0</v>
      </c>
      <c r="AG68" s="77">
        <f>Valores!$C$58</f>
        <v>307.46</v>
      </c>
      <c r="AH68" s="77">
        <f>Valores!$C$60</f>
        <v>87.85</v>
      </c>
      <c r="AI68" s="77">
        <f>SUM(H68,J68,L68,N68,O68,P68,Q68,R68,S68,T68,V68,W68,X68,Z68,AA68,AB68,AC68,AD68,AF68,AG68,AH68)*Valores!$C$63</f>
        <v>0</v>
      </c>
      <c r="AJ68" s="15">
        <f t="shared" si="4"/>
        <v>35141.855</v>
      </c>
      <c r="AK68" s="78">
        <f>Valores!$C$35</f>
        <v>415.59</v>
      </c>
      <c r="AL68" s="79">
        <f>Valores!$C$8</f>
        <v>234.26</v>
      </c>
      <c r="AM68" s="89">
        <f>Valores!$C$51</f>
        <v>128.84</v>
      </c>
      <c r="AN68" s="79">
        <f>IF($H$4="SI",SUM(AL68+AM68),AL68)*Valores!$C$63</f>
        <v>0</v>
      </c>
      <c r="AO68" s="12">
        <f t="shared" si="8"/>
        <v>778.6899999999999</v>
      </c>
      <c r="AP68" s="152">
        <f>AJ68*-Valores!$C$65</f>
        <v>-4568.441150000001</v>
      </c>
      <c r="AQ68" s="152">
        <f>AJ68*-Valores!$C$66</f>
        <v>-175.70927500000002</v>
      </c>
      <c r="AR68" s="78">
        <f>AJ68*-Valores!$C$67</f>
        <v>-1581.383475</v>
      </c>
      <c r="AS68" s="78">
        <f>AJ68*-Valores!$C$68</f>
        <v>-948.8300850000002</v>
      </c>
      <c r="AT68" s="78">
        <f>AJ68*-Valores!$C$69</f>
        <v>-105.425565</v>
      </c>
      <c r="AU68" s="15">
        <f t="shared" si="5"/>
        <v>29595.011100000003</v>
      </c>
      <c r="AV68" s="15">
        <f t="shared" si="6"/>
        <v>30122.138925000003</v>
      </c>
      <c r="AW68" s="78">
        <f>AJ68*Valores!$C$70</f>
        <v>5622.696800000001</v>
      </c>
      <c r="AX68" s="78">
        <f>AJ68*Valores!$C$71</f>
        <v>1581.383475</v>
      </c>
      <c r="AY68" s="78">
        <f>AJ68*Valores!$C$73</f>
        <v>351.41855000000004</v>
      </c>
      <c r="AZ68" s="78">
        <f>AJ68*Valores!$C$74</f>
        <v>1229.9649250000002</v>
      </c>
      <c r="BA68" s="78">
        <f>AJ68*Valores!$C$75</f>
        <v>210.85113</v>
      </c>
      <c r="BB68" s="78">
        <f t="shared" si="9"/>
        <v>1897.66017</v>
      </c>
      <c r="BC68" s="20"/>
      <c r="BD68" s="20">
        <v>30</v>
      </c>
      <c r="BE68" s="9" t="s">
        <v>462</v>
      </c>
    </row>
    <row r="69" spans="1:57" s="9" customFormat="1" ht="11.25" customHeight="1">
      <c r="A69" s="20">
        <v>68</v>
      </c>
      <c r="B69" s="20"/>
      <c r="C69" s="9" t="s">
        <v>120</v>
      </c>
      <c r="E69" s="9">
        <f t="shared" si="7"/>
        <v>32</v>
      </c>
      <c r="F69" s="10" t="s">
        <v>121</v>
      </c>
      <c r="G69" s="123">
        <v>90</v>
      </c>
      <c r="H69" s="7">
        <f>INT((G69*Valores!$C$2*100)+0.5)/100</f>
        <v>539.94</v>
      </c>
      <c r="I69" s="113">
        <v>3010</v>
      </c>
      <c r="J69" s="77">
        <f>INT((I69*Valores!$C$2*100)+0.5)/100</f>
        <v>18057.91</v>
      </c>
      <c r="K69" s="146">
        <v>0</v>
      </c>
      <c r="L69" s="77">
        <f>INT((K69*Valores!$C$2*100)+0.5)/100</f>
        <v>0</v>
      </c>
      <c r="M69" s="120">
        <v>0</v>
      </c>
      <c r="N69" s="77">
        <f>INT((M69*Valores!$C$2*100)+0.5)/100</f>
        <v>0</v>
      </c>
      <c r="O69" s="77">
        <f t="shared" si="0"/>
        <v>0</v>
      </c>
      <c r="P69" s="77">
        <f t="shared" si="1"/>
        <v>9952.414999999999</v>
      </c>
      <c r="Q69" s="78">
        <f>Valores!$C$16</f>
        <v>3718.92</v>
      </c>
      <c r="R69" s="78">
        <f>Valores!$D$4</f>
        <v>2683.49</v>
      </c>
      <c r="S69" s="77">
        <f>Valores!$C$26</f>
        <v>2700.67</v>
      </c>
      <c r="T69" s="79">
        <f>Valores!$C$43</f>
        <v>1306.98</v>
      </c>
      <c r="U69" s="77">
        <f>Valores!$C$23</f>
        <v>2584.33</v>
      </c>
      <c r="V69" s="77">
        <f t="shared" si="13"/>
        <v>3876.495</v>
      </c>
      <c r="W69" s="77">
        <v>0</v>
      </c>
      <c r="X69" s="77">
        <v>0</v>
      </c>
      <c r="Y69" s="116">
        <v>0</v>
      </c>
      <c r="Z69" s="77">
        <f>Y69*Valores!$C$2</f>
        <v>0</v>
      </c>
      <c r="AA69" s="77">
        <v>0</v>
      </c>
      <c r="AB69" s="89">
        <f>Valores!$C$29</f>
        <v>151.15</v>
      </c>
      <c r="AC69" s="77">
        <f t="shared" si="3"/>
        <v>0</v>
      </c>
      <c r="AD69" s="77">
        <f>Valores!$C$30</f>
        <v>151.15</v>
      </c>
      <c r="AE69" s="116">
        <v>0</v>
      </c>
      <c r="AF69" s="77">
        <f>INT(((AE69*Valores!$C$2)*100)+0.5)/100</f>
        <v>0</v>
      </c>
      <c r="AG69" s="77">
        <f>Valores!$C$58</f>
        <v>307.46</v>
      </c>
      <c r="AH69" s="77">
        <f>Valores!$C$60</f>
        <v>87.85</v>
      </c>
      <c r="AI69" s="77">
        <f>SUM(H69,J69,L69,N69,O69,P69,Q69,R69,S69,T69,V69,W69,X69,Z69,AA69,AB69,AC69,AD69,AF69,AG69,AH69)*Valores!$C$63</f>
        <v>0</v>
      </c>
      <c r="AJ69" s="15">
        <f t="shared" si="4"/>
        <v>43534.43</v>
      </c>
      <c r="AK69" s="78">
        <f>Valores!$C$35</f>
        <v>415.59</v>
      </c>
      <c r="AL69" s="79">
        <f>Valores!$C$9</f>
        <v>351.39</v>
      </c>
      <c r="AM69" s="89">
        <v>224.5</v>
      </c>
      <c r="AN69" s="79">
        <f>IF($H$4="SI",SUM(AL69+AM69),AL69)*Valores!$C$63</f>
        <v>0</v>
      </c>
      <c r="AO69" s="12">
        <f t="shared" si="8"/>
        <v>991.48</v>
      </c>
      <c r="AP69" s="152">
        <f>AJ69*-Valores!$C$65</f>
        <v>-5659.4759</v>
      </c>
      <c r="AQ69" s="152">
        <f>AJ69*-Valores!$C$66</f>
        <v>-217.67215000000002</v>
      </c>
      <c r="AR69" s="78">
        <f>AJ69*-Valores!$C$67</f>
        <v>-1959.04935</v>
      </c>
      <c r="AS69" s="78">
        <f>AJ69*-Valores!$C$68</f>
        <v>-1175.4296100000001</v>
      </c>
      <c r="AT69" s="78">
        <f>AJ69*-Valores!$C$69</f>
        <v>-130.60329000000002</v>
      </c>
      <c r="AU69" s="15">
        <f t="shared" si="5"/>
        <v>36689.712600000006</v>
      </c>
      <c r="AV69" s="15">
        <f t="shared" si="6"/>
        <v>37342.72905000001</v>
      </c>
      <c r="AW69" s="78">
        <f>AJ69*Valores!$C$70</f>
        <v>6965.5088000000005</v>
      </c>
      <c r="AX69" s="78">
        <f>AJ69*Valores!$C$71</f>
        <v>1959.04935</v>
      </c>
      <c r="AY69" s="78">
        <f>AJ69*Valores!$C$73</f>
        <v>435.34430000000003</v>
      </c>
      <c r="AZ69" s="78">
        <f>AJ69*Valores!$C$74</f>
        <v>1523.7050500000003</v>
      </c>
      <c r="BA69" s="78">
        <f>AJ69*Valores!$C$75</f>
        <v>261.20658000000003</v>
      </c>
      <c r="BB69" s="78">
        <f t="shared" si="9"/>
        <v>2350.8592200000003</v>
      </c>
      <c r="BC69" s="20"/>
      <c r="BD69" s="20"/>
      <c r="BE69" s="9" t="s">
        <v>462</v>
      </c>
    </row>
    <row r="70" spans="1:57" s="9" customFormat="1" ht="11.25" customHeight="1">
      <c r="A70" s="20">
        <v>69</v>
      </c>
      <c r="B70" s="20"/>
      <c r="C70" s="9" t="s">
        <v>122</v>
      </c>
      <c r="E70" s="9">
        <f t="shared" si="7"/>
        <v>27</v>
      </c>
      <c r="F70" s="10" t="s">
        <v>123</v>
      </c>
      <c r="G70" s="123">
        <v>78</v>
      </c>
      <c r="H70" s="7">
        <f>INT((G70*Valores!$C$2*100)+0.5)/100</f>
        <v>467.95</v>
      </c>
      <c r="I70" s="113">
        <v>2162</v>
      </c>
      <c r="J70" s="77">
        <f>INT((I70*Valores!$C$2*100)+0.5)/100</f>
        <v>12970.5</v>
      </c>
      <c r="K70" s="146">
        <v>0</v>
      </c>
      <c r="L70" s="77">
        <f>INT((K70*Valores!$C$2*100)+0.5)/100</f>
        <v>0</v>
      </c>
      <c r="M70" s="120">
        <v>0</v>
      </c>
      <c r="N70" s="77">
        <f>INT((M70*Valores!$C$2*100)+0.5)/100</f>
        <v>0</v>
      </c>
      <c r="O70" s="77">
        <f t="shared" si="0"/>
        <v>0</v>
      </c>
      <c r="P70" s="77">
        <f t="shared" si="1"/>
        <v>7154.89</v>
      </c>
      <c r="Q70" s="78">
        <f>Valores!$C$16</f>
        <v>3718.92</v>
      </c>
      <c r="R70" s="78">
        <f>Valores!$D$4</f>
        <v>2683.49</v>
      </c>
      <c r="S70" s="61">
        <f>Valores!$C$26</f>
        <v>2700.67</v>
      </c>
      <c r="T70" s="87">
        <f>Valores!$C$42</f>
        <v>871.33</v>
      </c>
      <c r="U70" s="77">
        <f>Valores!$C$23</f>
        <v>2584.33</v>
      </c>
      <c r="V70" s="77">
        <f t="shared" si="13"/>
        <v>3876.495</v>
      </c>
      <c r="W70" s="77">
        <v>0</v>
      </c>
      <c r="X70" s="77">
        <v>0</v>
      </c>
      <c r="Y70" s="116">
        <v>0</v>
      </c>
      <c r="Z70" s="77">
        <f>Y70*Valores!$C$2</f>
        <v>0</v>
      </c>
      <c r="AA70" s="77">
        <v>0</v>
      </c>
      <c r="AB70" s="89">
        <f>Valores!$C$29</f>
        <v>151.15</v>
      </c>
      <c r="AC70" s="77">
        <f t="shared" si="3"/>
        <v>0</v>
      </c>
      <c r="AD70" s="77">
        <f>Valores!$C$30</f>
        <v>151.15</v>
      </c>
      <c r="AE70" s="116">
        <v>0</v>
      </c>
      <c r="AF70" s="77">
        <f>INT(((AE70*Valores!$C$2)*100)+0.5)/100</f>
        <v>0</v>
      </c>
      <c r="AG70" s="77">
        <f>Valores!$C$58</f>
        <v>307.46</v>
      </c>
      <c r="AH70" s="77">
        <f>Valores!$C$60</f>
        <v>87.85</v>
      </c>
      <c r="AI70" s="77">
        <f>SUM(H70,J70,L70,N70,O70,P70,Q70,R70,S70,T70,V70,W70,X70,Z70,AA70,AB70,AC70,AD70,AF70,AG70,AH70)*Valores!$C$63</f>
        <v>0</v>
      </c>
      <c r="AJ70" s="15">
        <f t="shared" si="4"/>
        <v>35141.855</v>
      </c>
      <c r="AK70" s="78">
        <f>Valores!$C$35</f>
        <v>415.59</v>
      </c>
      <c r="AL70" s="79">
        <f>Valores!$C$8</f>
        <v>234.26</v>
      </c>
      <c r="AM70" s="89">
        <f>Valores!$C$51</f>
        <v>128.84</v>
      </c>
      <c r="AN70" s="79">
        <f>IF($H$4="SI",SUM(AL70+AM70),AL70)*Valores!$C$63</f>
        <v>0</v>
      </c>
      <c r="AO70" s="12">
        <f t="shared" si="8"/>
        <v>778.6899999999999</v>
      </c>
      <c r="AP70" s="152">
        <f>AJ70*-Valores!$C$65</f>
        <v>-4568.441150000001</v>
      </c>
      <c r="AQ70" s="152">
        <f>AJ70*-Valores!$C$66</f>
        <v>-175.70927500000002</v>
      </c>
      <c r="AR70" s="78">
        <f>AJ70*-Valores!$C$67</f>
        <v>-1581.383475</v>
      </c>
      <c r="AS70" s="78">
        <f>AJ70*-Valores!$C$68</f>
        <v>-948.8300850000002</v>
      </c>
      <c r="AT70" s="78">
        <f>AJ70*-Valores!$C$69</f>
        <v>-105.425565</v>
      </c>
      <c r="AU70" s="15">
        <f t="shared" si="5"/>
        <v>29595.011100000003</v>
      </c>
      <c r="AV70" s="15">
        <f t="shared" si="6"/>
        <v>30122.138925000003</v>
      </c>
      <c r="AW70" s="78">
        <f>AJ70*Valores!$C$70</f>
        <v>5622.696800000001</v>
      </c>
      <c r="AX70" s="78">
        <f>AJ70*Valores!$C$71</f>
        <v>1581.383475</v>
      </c>
      <c r="AY70" s="78">
        <f>AJ70*Valores!$C$73</f>
        <v>351.41855000000004</v>
      </c>
      <c r="AZ70" s="78">
        <f>AJ70*Valores!$C$74</f>
        <v>1229.9649250000002</v>
      </c>
      <c r="BA70" s="78">
        <f>AJ70*Valores!$C$75</f>
        <v>210.85113</v>
      </c>
      <c r="BB70" s="78">
        <f t="shared" si="9"/>
        <v>1897.66017</v>
      </c>
      <c r="BC70" s="20"/>
      <c r="BD70" s="20">
        <v>25</v>
      </c>
      <c r="BE70" s="9" t="s">
        <v>462</v>
      </c>
    </row>
    <row r="71" spans="1:57" s="9" customFormat="1" ht="11.25" customHeight="1">
      <c r="A71" s="55">
        <v>70</v>
      </c>
      <c r="B71" s="55" t="s">
        <v>458</v>
      </c>
      <c r="C71" s="52" t="s">
        <v>124</v>
      </c>
      <c r="D71" s="52"/>
      <c r="E71" s="52">
        <f t="shared" si="7"/>
        <v>32</v>
      </c>
      <c r="F71" s="53" t="s">
        <v>125</v>
      </c>
      <c r="G71" s="124">
        <v>90</v>
      </c>
      <c r="H71" s="129">
        <f>INT((G71*Valores!$C$2*100)+0.5)/100</f>
        <v>539.94</v>
      </c>
      <c r="I71" s="114">
        <v>2800</v>
      </c>
      <c r="J71" s="80">
        <f>INT((I71*Valores!$C$2*100)+0.5)/100</f>
        <v>16798.05</v>
      </c>
      <c r="K71" s="147">
        <v>0</v>
      </c>
      <c r="L71" s="80">
        <f>INT((K71*Valores!$C$2*100)+0.5)/100</f>
        <v>0</v>
      </c>
      <c r="M71" s="121">
        <v>0</v>
      </c>
      <c r="N71" s="80">
        <f>INT((M71*Valores!$C$2*100)+0.5)/100</f>
        <v>0</v>
      </c>
      <c r="O71" s="80">
        <f aca="true" t="shared" si="14" ref="O71:O134">IF($J$2=0,IF(C71&lt;&gt;"13-930",(SUM(H71,J71,L71,N71,Z71,U71,T71)*$O$2),0),0)</f>
        <v>0</v>
      </c>
      <c r="P71" s="80">
        <f aca="true" t="shared" si="15" ref="P71:P134">SUM(H71,J71,L71,N71,Z71,T71)*$J$2</f>
        <v>9322.484999999999</v>
      </c>
      <c r="Q71" s="81">
        <f>Valores!$C$16</f>
        <v>3718.92</v>
      </c>
      <c r="R71" s="81">
        <f>Valores!$D$4</f>
        <v>2683.49</v>
      </c>
      <c r="S71" s="80">
        <v>0</v>
      </c>
      <c r="T71" s="82">
        <f>Valores!$C$43</f>
        <v>1306.98</v>
      </c>
      <c r="U71" s="80">
        <f>Valores!$C$23</f>
        <v>2584.33</v>
      </c>
      <c r="V71" s="80">
        <f t="shared" si="13"/>
        <v>3876.495</v>
      </c>
      <c r="W71" s="80">
        <v>0</v>
      </c>
      <c r="X71" s="80">
        <v>0</v>
      </c>
      <c r="Y71" s="115">
        <v>0</v>
      </c>
      <c r="Z71" s="80">
        <f>Y71*Valores!$C$2</f>
        <v>0</v>
      </c>
      <c r="AA71" s="80">
        <v>0</v>
      </c>
      <c r="AB71" s="90">
        <f>Valores!$C$29</f>
        <v>151.15</v>
      </c>
      <c r="AC71" s="80">
        <f aca="true" t="shared" si="16" ref="AC71:AC134">SUM(H71,J71,L71,Z71,T71,N71)*$H$3/100</f>
        <v>0</v>
      </c>
      <c r="AD71" s="80">
        <f>Valores!$C$30</f>
        <v>151.15</v>
      </c>
      <c r="AE71" s="115">
        <v>0</v>
      </c>
      <c r="AF71" s="80">
        <f>INT(((AE71*Valores!$C$2)*100)+0.5)/100</f>
        <v>0</v>
      </c>
      <c r="AG71" s="80">
        <f>Valores!$C$58</f>
        <v>307.46</v>
      </c>
      <c r="AH71" s="80">
        <f>Valores!$C$60</f>
        <v>87.85</v>
      </c>
      <c r="AI71" s="80">
        <f>SUM(H71,J71,L71,N71,O71,P71,Q71,R71,S71,T71,V71,W71,X71,Z71,AA71,AB71,AC71,AD71,AF71,AG71,AH71)*Valores!$C$63</f>
        <v>0</v>
      </c>
      <c r="AJ71" s="54">
        <f aca="true" t="shared" si="17" ref="AJ71:AJ134">SUM(H71,J71,L71,N71,O71,P71,Q71,R71,S71,V71,W71,X71,Z71,AA71,AB71,AC71,AD71,AF71,T71,AG71,AH71,AI71)</f>
        <v>38943.97</v>
      </c>
      <c r="AK71" s="81">
        <f>Valores!$C$35</f>
        <v>415.59</v>
      </c>
      <c r="AL71" s="82">
        <f>Valores!$C$9</f>
        <v>351.39</v>
      </c>
      <c r="AM71" s="90">
        <v>0</v>
      </c>
      <c r="AN71" s="82">
        <f>IF($H$4="SI",SUM(AL71+AM71),AL71)*Valores!$C$63</f>
        <v>0</v>
      </c>
      <c r="AO71" s="185">
        <f t="shared" si="8"/>
        <v>766.98</v>
      </c>
      <c r="AP71" s="153">
        <f>AJ71*-Valores!$C$65</f>
        <v>-5062.716100000001</v>
      </c>
      <c r="AQ71" s="153">
        <f>AJ71*-Valores!$C$66</f>
        <v>-194.71985</v>
      </c>
      <c r="AR71" s="81">
        <f>AJ71*-Valores!$C$67</f>
        <v>-1752.47865</v>
      </c>
      <c r="AS71" s="81">
        <f>AJ71*-Valores!$C$68</f>
        <v>-1051.48719</v>
      </c>
      <c r="AT71" s="81">
        <f>AJ71*-Valores!$C$69</f>
        <v>-116.83191000000001</v>
      </c>
      <c r="AU71" s="54">
        <f aca="true" t="shared" si="18" ref="AU71:AU134">AJ71+AO71+AQ71+AR71+AP71</f>
        <v>32701.035400000004</v>
      </c>
      <c r="AV71" s="54">
        <f aca="true" t="shared" si="19" ref="AV71:AV134">AJ71+AO71+AQ71+AS71+AP71+AT71</f>
        <v>33285.194950000005</v>
      </c>
      <c r="AW71" s="81">
        <f>AJ71*Valores!$C$70</f>
        <v>6231.0352</v>
      </c>
      <c r="AX71" s="81">
        <f>AJ71*Valores!$C$71</f>
        <v>1752.47865</v>
      </c>
      <c r="AY71" s="81">
        <f>AJ71*Valores!$C$73</f>
        <v>389.4397</v>
      </c>
      <c r="AZ71" s="81">
        <f>AJ71*Valores!$C$74</f>
        <v>1363.03895</v>
      </c>
      <c r="BA71" s="81">
        <f>AJ71*Valores!$C$75</f>
        <v>233.66382000000002</v>
      </c>
      <c r="BB71" s="81">
        <f t="shared" si="9"/>
        <v>2102.97438</v>
      </c>
      <c r="BC71" s="55"/>
      <c r="BD71" s="55"/>
      <c r="BE71" s="52" t="s">
        <v>461</v>
      </c>
    </row>
    <row r="72" spans="1:57" s="9" customFormat="1" ht="11.25" customHeight="1">
      <c r="A72" s="20">
        <v>71</v>
      </c>
      <c r="B72" s="20"/>
      <c r="C72" s="9" t="s">
        <v>126</v>
      </c>
      <c r="E72" s="9">
        <f aca="true" t="shared" si="20" ref="E72:E135">LEN(F72)</f>
        <v>27</v>
      </c>
      <c r="F72" s="10" t="s">
        <v>127</v>
      </c>
      <c r="G72" s="123">
        <v>79</v>
      </c>
      <c r="H72" s="7">
        <f>INT((G72*Valores!$C$2*100)+0.5)/100</f>
        <v>473.95</v>
      </c>
      <c r="I72" s="113">
        <v>2161</v>
      </c>
      <c r="J72" s="77">
        <f>INT((I72*Valores!$C$2*100)+0.5)/100</f>
        <v>12964.5</v>
      </c>
      <c r="K72" s="146">
        <v>0</v>
      </c>
      <c r="L72" s="77">
        <f>INT((K72*Valores!$C$2*100)+0.5)/100</f>
        <v>0</v>
      </c>
      <c r="M72" s="120">
        <v>0</v>
      </c>
      <c r="N72" s="77">
        <f>INT((M72*Valores!$C$2*100)+0.5)/100</f>
        <v>0</v>
      </c>
      <c r="O72" s="77">
        <f t="shared" si="14"/>
        <v>0</v>
      </c>
      <c r="P72" s="77">
        <f t="shared" si="15"/>
        <v>7154.89</v>
      </c>
      <c r="Q72" s="78">
        <f>Valores!$C$16</f>
        <v>3718.92</v>
      </c>
      <c r="R72" s="78">
        <f>Valores!$D$4</f>
        <v>2683.49</v>
      </c>
      <c r="S72" s="61">
        <f>Valores!$C$26</f>
        <v>2700.67</v>
      </c>
      <c r="T72" s="87">
        <f>Valores!$C$42</f>
        <v>871.33</v>
      </c>
      <c r="U72" s="77">
        <f>Valores!$C$23</f>
        <v>2584.33</v>
      </c>
      <c r="V72" s="77">
        <f t="shared" si="13"/>
        <v>3876.495</v>
      </c>
      <c r="W72" s="77">
        <v>0</v>
      </c>
      <c r="X72" s="77">
        <v>0</v>
      </c>
      <c r="Y72" s="116">
        <v>0</v>
      </c>
      <c r="Z72" s="77">
        <f>Y72*Valores!$C$2</f>
        <v>0</v>
      </c>
      <c r="AA72" s="77">
        <v>0</v>
      </c>
      <c r="AB72" s="89">
        <f>Valores!$C$29</f>
        <v>151.15</v>
      </c>
      <c r="AC72" s="77">
        <f t="shared" si="16"/>
        <v>0</v>
      </c>
      <c r="AD72" s="77">
        <f>Valores!$C$30</f>
        <v>151.15</v>
      </c>
      <c r="AE72" s="116">
        <v>0</v>
      </c>
      <c r="AF72" s="77">
        <f>INT(((AE72*Valores!$C$2)*100)+0.5)/100</f>
        <v>0</v>
      </c>
      <c r="AG72" s="77">
        <f>Valores!$C$58</f>
        <v>307.46</v>
      </c>
      <c r="AH72" s="77">
        <f>Valores!$C$60</f>
        <v>87.85</v>
      </c>
      <c r="AI72" s="77">
        <f>SUM(H72,J72,L72,N72,O72,P72,Q72,R72,S72,T72,V72,W72,X72,Z72,AA72,AB72,AC72,AD72,AF72,AG72,AH72)*Valores!$C$63</f>
        <v>0</v>
      </c>
      <c r="AJ72" s="15">
        <f t="shared" si="17"/>
        <v>35141.855</v>
      </c>
      <c r="AK72" s="78">
        <f>Valores!$C$35</f>
        <v>415.59</v>
      </c>
      <c r="AL72" s="79">
        <f>Valores!$C$8</f>
        <v>234.26</v>
      </c>
      <c r="AM72" s="89">
        <f>Valores!$C$51</f>
        <v>128.84</v>
      </c>
      <c r="AN72" s="79">
        <f>IF($H$4="SI",SUM(AL72+AM72),AL72)*Valores!$C$63</f>
        <v>0</v>
      </c>
      <c r="AO72" s="12">
        <f aca="true" t="shared" si="21" ref="AO72:AO135">SUM(AK72:AL72,AM72,AN72)</f>
        <v>778.6899999999999</v>
      </c>
      <c r="AP72" s="152">
        <f>AJ72*-Valores!$C$65</f>
        <v>-4568.441150000001</v>
      </c>
      <c r="AQ72" s="152">
        <f>AJ72*-Valores!$C$66</f>
        <v>-175.70927500000002</v>
      </c>
      <c r="AR72" s="78">
        <f>AJ72*-Valores!$C$67</f>
        <v>-1581.383475</v>
      </c>
      <c r="AS72" s="78">
        <f>AJ72*-Valores!$C$68</f>
        <v>-948.8300850000002</v>
      </c>
      <c r="AT72" s="78">
        <f>AJ72*-Valores!$C$69</f>
        <v>-105.425565</v>
      </c>
      <c r="AU72" s="15">
        <f t="shared" si="18"/>
        <v>29595.011100000003</v>
      </c>
      <c r="AV72" s="15">
        <f t="shared" si="19"/>
        <v>30122.138925000003</v>
      </c>
      <c r="AW72" s="78">
        <f>AJ72*Valores!$C$70</f>
        <v>5622.696800000001</v>
      </c>
      <c r="AX72" s="78">
        <f>AJ72*Valores!$C$71</f>
        <v>1581.383475</v>
      </c>
      <c r="AY72" s="78">
        <f>AJ72*Valores!$C$73</f>
        <v>351.41855000000004</v>
      </c>
      <c r="AZ72" s="78">
        <f>AJ72*Valores!$C$74</f>
        <v>1229.9649250000002</v>
      </c>
      <c r="BA72" s="78">
        <f>AJ72*Valores!$C$75</f>
        <v>210.85113</v>
      </c>
      <c r="BB72" s="78">
        <f t="shared" si="9"/>
        <v>1897.66017</v>
      </c>
      <c r="BC72" s="20"/>
      <c r="BD72" s="20">
        <v>30</v>
      </c>
      <c r="BE72" s="9" t="s">
        <v>462</v>
      </c>
    </row>
    <row r="73" spans="1:57" s="9" customFormat="1" ht="11.25" customHeight="1">
      <c r="A73" s="20">
        <v>72</v>
      </c>
      <c r="B73" s="20"/>
      <c r="C73" s="9" t="s">
        <v>128</v>
      </c>
      <c r="E73" s="9">
        <f t="shared" si="20"/>
        <v>32</v>
      </c>
      <c r="F73" s="10" t="s">
        <v>129</v>
      </c>
      <c r="G73" s="123">
        <v>90</v>
      </c>
      <c r="H73" s="7">
        <f>INT((G73*Valores!$C$2*100)+0.5)/100</f>
        <v>539.94</v>
      </c>
      <c r="I73" s="113">
        <v>2720</v>
      </c>
      <c r="J73" s="77">
        <f>INT((I73*Valores!$C$2*100)+0.5)/100</f>
        <v>16318.11</v>
      </c>
      <c r="K73" s="146">
        <v>0</v>
      </c>
      <c r="L73" s="77">
        <f>INT((K73*Valores!$C$2*100)+0.5)/100</f>
        <v>0</v>
      </c>
      <c r="M73" s="120">
        <v>0</v>
      </c>
      <c r="N73" s="77">
        <f>INT((M73*Valores!$C$2*100)+0.5)/100</f>
        <v>0</v>
      </c>
      <c r="O73" s="77">
        <f t="shared" si="14"/>
        <v>0</v>
      </c>
      <c r="P73" s="77">
        <f t="shared" si="15"/>
        <v>9082.515</v>
      </c>
      <c r="Q73" s="78">
        <f>Valores!$C$16</f>
        <v>3718.92</v>
      </c>
      <c r="R73" s="78">
        <f>Valores!$D$4</f>
        <v>2683.49</v>
      </c>
      <c r="S73" s="77">
        <v>0</v>
      </c>
      <c r="T73" s="79">
        <f>Valores!$C$43</f>
        <v>1306.98</v>
      </c>
      <c r="U73" s="77">
        <f>Valores!$C$23</f>
        <v>2584.33</v>
      </c>
      <c r="V73" s="77">
        <f t="shared" si="13"/>
        <v>3876.495</v>
      </c>
      <c r="W73" s="77">
        <v>0</v>
      </c>
      <c r="X73" s="77">
        <v>0</v>
      </c>
      <c r="Y73" s="116">
        <v>0</v>
      </c>
      <c r="Z73" s="77">
        <f>Y73*Valores!$C$2</f>
        <v>0</v>
      </c>
      <c r="AA73" s="77">
        <v>0</v>
      </c>
      <c r="AB73" s="89">
        <f>Valores!$C$29</f>
        <v>151.15</v>
      </c>
      <c r="AC73" s="77">
        <f t="shared" si="16"/>
        <v>0</v>
      </c>
      <c r="AD73" s="77">
        <f>Valores!$C$30</f>
        <v>151.15</v>
      </c>
      <c r="AE73" s="116">
        <v>0</v>
      </c>
      <c r="AF73" s="77">
        <f>INT(((AE73*Valores!$C$2)*100)+0.5)/100</f>
        <v>0</v>
      </c>
      <c r="AG73" s="77">
        <f>Valores!$C$58</f>
        <v>307.46</v>
      </c>
      <c r="AH73" s="77">
        <f>Valores!$C$60</f>
        <v>87.85</v>
      </c>
      <c r="AI73" s="77">
        <f>SUM(H73,J73,L73,N73,O73,P73,Q73,R73,S73,T73,V73,W73,X73,Z73,AA73,AB73,AC73,AD73,AF73,AG73,AH73)*Valores!$C$63</f>
        <v>0</v>
      </c>
      <c r="AJ73" s="15">
        <f t="shared" si="17"/>
        <v>38224.060000000005</v>
      </c>
      <c r="AK73" s="78">
        <f>Valores!$C$35</f>
        <v>415.59</v>
      </c>
      <c r="AL73" s="79">
        <f>Valores!$C$9</f>
        <v>351.39</v>
      </c>
      <c r="AM73" s="89">
        <v>0</v>
      </c>
      <c r="AN73" s="79">
        <f>IF($H$4="SI",SUM(AL73+AM73),AL73)*Valores!$C$63</f>
        <v>0</v>
      </c>
      <c r="AO73" s="12">
        <f t="shared" si="21"/>
        <v>766.98</v>
      </c>
      <c r="AP73" s="152">
        <f>AJ73*-Valores!$C$65</f>
        <v>-4969.127800000001</v>
      </c>
      <c r="AQ73" s="152">
        <f>AJ73*-Valores!$C$66</f>
        <v>-191.12030000000004</v>
      </c>
      <c r="AR73" s="78">
        <f>AJ73*-Valores!$C$67</f>
        <v>-1720.0827000000002</v>
      </c>
      <c r="AS73" s="78">
        <f>AJ73*-Valores!$C$68</f>
        <v>-1032.0496200000002</v>
      </c>
      <c r="AT73" s="78">
        <f>AJ73*-Valores!$C$69</f>
        <v>-114.67218000000001</v>
      </c>
      <c r="AU73" s="15">
        <f t="shared" si="18"/>
        <v>32110.709200000005</v>
      </c>
      <c r="AV73" s="15">
        <f t="shared" si="19"/>
        <v>32684.070100000004</v>
      </c>
      <c r="AW73" s="78">
        <f>AJ73*Valores!$C$70</f>
        <v>6115.849600000001</v>
      </c>
      <c r="AX73" s="78">
        <f>AJ73*Valores!$C$71</f>
        <v>1720.0827000000002</v>
      </c>
      <c r="AY73" s="78">
        <f>AJ73*Valores!$C$73</f>
        <v>382.2406000000001</v>
      </c>
      <c r="AZ73" s="78">
        <f>AJ73*Valores!$C$74</f>
        <v>1337.8421000000003</v>
      </c>
      <c r="BA73" s="78">
        <f>AJ73*Valores!$C$75</f>
        <v>229.34436000000002</v>
      </c>
      <c r="BB73" s="78">
        <f aca="true" t="shared" si="22" ref="BB73:BB136">AJ73*5.4/100</f>
        <v>2064.0992400000005</v>
      </c>
      <c r="BC73" s="20"/>
      <c r="BD73" s="20"/>
      <c r="BE73" s="9" t="s">
        <v>461</v>
      </c>
    </row>
    <row r="74" spans="1:57" s="9" customFormat="1" ht="11.25" customHeight="1">
      <c r="A74" s="20">
        <v>73</v>
      </c>
      <c r="B74" s="20"/>
      <c r="C74" s="9" t="s">
        <v>130</v>
      </c>
      <c r="E74" s="9">
        <f t="shared" si="20"/>
        <v>16</v>
      </c>
      <c r="F74" s="10" t="s">
        <v>131</v>
      </c>
      <c r="G74" s="123">
        <v>78</v>
      </c>
      <c r="H74" s="7">
        <f>INT((G74*Valores!$C$2*100)+0.5)/100</f>
        <v>467.95</v>
      </c>
      <c r="I74" s="113">
        <v>1284</v>
      </c>
      <c r="J74" s="77">
        <f>INT((I74*Valores!$C$2*100)+0.5)/100</f>
        <v>7703.11</v>
      </c>
      <c r="K74" s="146">
        <v>0</v>
      </c>
      <c r="L74" s="77">
        <f>INT((K74*Valores!$C$2*100)+0.5)/100</f>
        <v>0</v>
      </c>
      <c r="M74" s="120">
        <v>0</v>
      </c>
      <c r="N74" s="77">
        <f>INT((M74*Valores!$C$2*100)+0.5)/100</f>
        <v>0</v>
      </c>
      <c r="O74" s="77">
        <f t="shared" si="14"/>
        <v>0</v>
      </c>
      <c r="P74" s="77">
        <f t="shared" si="15"/>
        <v>4521.195</v>
      </c>
      <c r="Q74" s="78">
        <f>Valores!$C$15</f>
        <v>3695.48</v>
      </c>
      <c r="R74" s="78">
        <f>Valores!$D$4</f>
        <v>2683.49</v>
      </c>
      <c r="S74" s="77">
        <f>Valores!$C$26</f>
        <v>2700.67</v>
      </c>
      <c r="T74" s="79">
        <f>Valores!$C$42</f>
        <v>871.33</v>
      </c>
      <c r="U74" s="61">
        <f>Valores!$C$24</f>
        <v>2549.17</v>
      </c>
      <c r="V74" s="77">
        <f t="shared" si="13"/>
        <v>3823.755</v>
      </c>
      <c r="W74" s="77">
        <v>0</v>
      </c>
      <c r="X74" s="77">
        <v>0</v>
      </c>
      <c r="Y74" s="116">
        <v>0</v>
      </c>
      <c r="Z74" s="77">
        <f>Y74*Valores!$C$2</f>
        <v>0</v>
      </c>
      <c r="AA74" s="77">
        <v>0</v>
      </c>
      <c r="AB74" s="89">
        <f>Valores!$C$29</f>
        <v>151.15</v>
      </c>
      <c r="AC74" s="77">
        <f t="shared" si="16"/>
        <v>0</v>
      </c>
      <c r="AD74" s="77">
        <f>Valores!$C$30</f>
        <v>151.15</v>
      </c>
      <c r="AE74" s="116">
        <v>0</v>
      </c>
      <c r="AF74" s="77">
        <f>INT(((AE74*Valores!$C$2)*100)+0.5)/100</f>
        <v>0</v>
      </c>
      <c r="AG74" s="77">
        <f>Valores!$C$58</f>
        <v>307.46</v>
      </c>
      <c r="AH74" s="77">
        <f>Valores!$C$60</f>
        <v>87.85</v>
      </c>
      <c r="AI74" s="77">
        <f>SUM(H74,J74,L74,N74,O74,P74,Q74,R74,S74,T74,V74,W74,X74,Z74,AA74,AB74,AC74,AD74,AF74,AG74,AH74)*Valores!$C$63</f>
        <v>0</v>
      </c>
      <c r="AJ74" s="15">
        <f t="shared" si="17"/>
        <v>27164.59</v>
      </c>
      <c r="AK74" s="78">
        <f>Valores!$C$35</f>
        <v>415.59</v>
      </c>
      <c r="AL74" s="79">
        <f>Valores!$C$8</f>
        <v>234.26</v>
      </c>
      <c r="AM74" s="89">
        <f>Valores!$C$51</f>
        <v>128.84</v>
      </c>
      <c r="AN74" s="79">
        <f>IF($H$4="SI",SUM(AL74+AM74),AL74)*Valores!$C$63</f>
        <v>0</v>
      </c>
      <c r="AO74" s="12">
        <f t="shared" si="21"/>
        <v>778.6899999999999</v>
      </c>
      <c r="AP74" s="152">
        <f>AJ74*-Valores!$C$65</f>
        <v>-3531.3967000000002</v>
      </c>
      <c r="AQ74" s="152">
        <f>AJ74*-Valores!$C$66</f>
        <v>-135.82295</v>
      </c>
      <c r="AR74" s="78">
        <f>AJ74*-Valores!$C$67</f>
        <v>-1222.40655</v>
      </c>
      <c r="AS74" s="78">
        <f>AJ74*-Valores!$C$68</f>
        <v>-733.4439300000001</v>
      </c>
      <c r="AT74" s="78">
        <f>AJ74*-Valores!$C$69</f>
        <v>-81.49377</v>
      </c>
      <c r="AU74" s="15">
        <f t="shared" si="18"/>
        <v>23053.653799999996</v>
      </c>
      <c r="AV74" s="15">
        <f t="shared" si="19"/>
        <v>23461.122649999994</v>
      </c>
      <c r="AW74" s="78">
        <f>AJ74*Valores!$C$70</f>
        <v>4346.3344</v>
      </c>
      <c r="AX74" s="78">
        <f>AJ74*Valores!$C$71</f>
        <v>1222.40655</v>
      </c>
      <c r="AY74" s="78">
        <f>AJ74*Valores!$C$73</f>
        <v>271.6459</v>
      </c>
      <c r="AZ74" s="78">
        <f>AJ74*Valores!$C$74</f>
        <v>950.76065</v>
      </c>
      <c r="BA74" s="78">
        <f>AJ74*Valores!$C$75</f>
        <v>162.98754</v>
      </c>
      <c r="BB74" s="78">
        <f t="shared" si="22"/>
        <v>1466.8878600000003</v>
      </c>
      <c r="BC74" s="20"/>
      <c r="BD74" s="20">
        <v>30</v>
      </c>
      <c r="BE74" s="9" t="s">
        <v>462</v>
      </c>
    </row>
    <row r="75" spans="1:57" s="9" customFormat="1" ht="11.25" customHeight="1">
      <c r="A75" s="20">
        <v>74</v>
      </c>
      <c r="B75" s="20"/>
      <c r="C75" s="9" t="s">
        <v>132</v>
      </c>
      <c r="E75" s="9">
        <f t="shared" si="20"/>
        <v>33</v>
      </c>
      <c r="F75" s="10" t="s">
        <v>133</v>
      </c>
      <c r="G75" s="123">
        <v>78</v>
      </c>
      <c r="H75" s="7">
        <f>INT((G75*Valores!$C$2*100)+0.5)/100</f>
        <v>467.95</v>
      </c>
      <c r="I75" s="113">
        <v>1284</v>
      </c>
      <c r="J75" s="77">
        <f>INT((I75*Valores!$C$2*100)+0.5)/100</f>
        <v>7703.11</v>
      </c>
      <c r="K75" s="146">
        <v>0</v>
      </c>
      <c r="L75" s="77">
        <f>INT((K75*Valores!$C$2*100)+0.5)/100</f>
        <v>0</v>
      </c>
      <c r="M75" s="120">
        <v>0</v>
      </c>
      <c r="N75" s="77">
        <f>INT((M75*Valores!$C$2*100)+0.5)/100</f>
        <v>0</v>
      </c>
      <c r="O75" s="77">
        <f t="shared" si="14"/>
        <v>0</v>
      </c>
      <c r="P75" s="77">
        <f t="shared" si="15"/>
        <v>4521.195</v>
      </c>
      <c r="Q75" s="78">
        <f>Valores!$C$15</f>
        <v>3695.48</v>
      </c>
      <c r="R75" s="78">
        <f>Valores!$D$4</f>
        <v>2683.49</v>
      </c>
      <c r="S75" s="61">
        <f>Valores!$C$26</f>
        <v>2700.67</v>
      </c>
      <c r="T75" s="87">
        <f>Valores!$C$42</f>
        <v>871.33</v>
      </c>
      <c r="U75" s="61">
        <f>Valores!$C$24</f>
        <v>2549.17</v>
      </c>
      <c r="V75" s="77">
        <f t="shared" si="13"/>
        <v>3823.755</v>
      </c>
      <c r="W75" s="77">
        <v>0</v>
      </c>
      <c r="X75" s="77">
        <v>0</v>
      </c>
      <c r="Y75" s="116">
        <v>0</v>
      </c>
      <c r="Z75" s="77">
        <f>Y75*Valores!$C$2</f>
        <v>0</v>
      </c>
      <c r="AA75" s="77">
        <v>0</v>
      </c>
      <c r="AB75" s="89">
        <f>Valores!$C$29</f>
        <v>151.15</v>
      </c>
      <c r="AC75" s="77">
        <f t="shared" si="16"/>
        <v>0</v>
      </c>
      <c r="AD75" s="77">
        <f>Valores!$C$30</f>
        <v>151.15</v>
      </c>
      <c r="AE75" s="116">
        <v>0</v>
      </c>
      <c r="AF75" s="77">
        <f>INT(((AE75*Valores!$C$2)*100)+0.5)/100</f>
        <v>0</v>
      </c>
      <c r="AG75" s="77">
        <f>Valores!$C$58</f>
        <v>307.46</v>
      </c>
      <c r="AH75" s="77">
        <f>Valores!$C$60</f>
        <v>87.85</v>
      </c>
      <c r="AI75" s="77">
        <f>SUM(H75,J75,L75,N75,O75,P75,Q75,R75,S75,T75,V75,W75,X75,Z75,AA75,AB75,AC75,AD75,AF75,AG75,AH75)*Valores!$C$63</f>
        <v>0</v>
      </c>
      <c r="AJ75" s="15">
        <f t="shared" si="17"/>
        <v>27164.59</v>
      </c>
      <c r="AK75" s="78">
        <f>Valores!$C$35</f>
        <v>415.59</v>
      </c>
      <c r="AL75" s="79">
        <f>Valores!$C$8</f>
        <v>234.26</v>
      </c>
      <c r="AM75" s="89">
        <v>0</v>
      </c>
      <c r="AN75" s="79">
        <f>IF($H$4="SI",SUM(AL75+AM75),AL75)*Valores!$C$63</f>
        <v>0</v>
      </c>
      <c r="AO75" s="12">
        <f t="shared" si="21"/>
        <v>649.8499999999999</v>
      </c>
      <c r="AP75" s="152">
        <f>AJ75*-Valores!$C$65</f>
        <v>-3531.3967000000002</v>
      </c>
      <c r="AQ75" s="152">
        <f>AJ75*-Valores!$C$66</f>
        <v>-135.82295</v>
      </c>
      <c r="AR75" s="78">
        <f>AJ75*-Valores!$C$67</f>
        <v>-1222.40655</v>
      </c>
      <c r="AS75" s="78">
        <f>AJ75*-Valores!$C$68</f>
        <v>-733.4439300000001</v>
      </c>
      <c r="AT75" s="78">
        <f>AJ75*-Valores!$C$69</f>
        <v>-81.49377</v>
      </c>
      <c r="AU75" s="15">
        <f t="shared" si="18"/>
        <v>22924.813799999996</v>
      </c>
      <c r="AV75" s="15">
        <f t="shared" si="19"/>
        <v>23332.282649999994</v>
      </c>
      <c r="AW75" s="78">
        <f>AJ75*Valores!$C$70</f>
        <v>4346.3344</v>
      </c>
      <c r="AX75" s="78">
        <f>AJ75*Valores!$C$71</f>
        <v>1222.40655</v>
      </c>
      <c r="AY75" s="78">
        <f>AJ75*Valores!$C$73</f>
        <v>271.6459</v>
      </c>
      <c r="AZ75" s="78">
        <f>AJ75*Valores!$C$74</f>
        <v>950.76065</v>
      </c>
      <c r="BA75" s="78">
        <f>AJ75*Valores!$C$75</f>
        <v>162.98754</v>
      </c>
      <c r="BB75" s="78">
        <f t="shared" si="22"/>
        <v>1466.8878600000003</v>
      </c>
      <c r="BC75" s="20"/>
      <c r="BD75" s="20"/>
      <c r="BE75" s="9" t="s">
        <v>461</v>
      </c>
    </row>
    <row r="76" spans="1:57" s="9" customFormat="1" ht="11.25" customHeight="1">
      <c r="A76" s="55">
        <v>75</v>
      </c>
      <c r="B76" s="55" t="s">
        <v>458</v>
      </c>
      <c r="C76" s="52" t="s">
        <v>134</v>
      </c>
      <c r="D76" s="52"/>
      <c r="E76" s="52">
        <f t="shared" si="20"/>
        <v>33</v>
      </c>
      <c r="F76" s="53" t="s">
        <v>135</v>
      </c>
      <c r="G76" s="124">
        <v>78</v>
      </c>
      <c r="H76" s="129">
        <f>INT((G76*Valores!$C$2*100)+0.5)/100</f>
        <v>467.95</v>
      </c>
      <c r="I76" s="114">
        <v>1284</v>
      </c>
      <c r="J76" s="80">
        <f>INT((I76*Valores!$C$2*100)+0.5)/100</f>
        <v>7703.11</v>
      </c>
      <c r="K76" s="147">
        <v>0</v>
      </c>
      <c r="L76" s="80">
        <f>INT((K76*Valores!$C$2*100)+0.5)/100</f>
        <v>0</v>
      </c>
      <c r="M76" s="121">
        <v>0</v>
      </c>
      <c r="N76" s="80">
        <f>INT((M76*Valores!$C$2*100)+0.5)/100</f>
        <v>0</v>
      </c>
      <c r="O76" s="80">
        <f t="shared" si="14"/>
        <v>0</v>
      </c>
      <c r="P76" s="80">
        <f t="shared" si="15"/>
        <v>4521.195</v>
      </c>
      <c r="Q76" s="81">
        <f>Valores!$C$20</f>
        <v>3519.79</v>
      </c>
      <c r="R76" s="81">
        <f>Valores!$D$4</f>
        <v>2683.49</v>
      </c>
      <c r="S76" s="85">
        <f>Valores!$C$26</f>
        <v>2700.67</v>
      </c>
      <c r="T76" s="88">
        <f>Valores!$C$42</f>
        <v>871.33</v>
      </c>
      <c r="U76" s="85">
        <v>0</v>
      </c>
      <c r="V76" s="80">
        <f t="shared" si="13"/>
        <v>0</v>
      </c>
      <c r="W76" s="80">
        <v>0</v>
      </c>
      <c r="X76" s="80">
        <v>0</v>
      </c>
      <c r="Y76" s="115">
        <v>0</v>
      </c>
      <c r="Z76" s="80">
        <f>Y76*Valores!$C$2</f>
        <v>0</v>
      </c>
      <c r="AA76" s="80">
        <v>0</v>
      </c>
      <c r="AB76" s="90">
        <f>Valores!$C$29</f>
        <v>151.15</v>
      </c>
      <c r="AC76" s="80">
        <f t="shared" si="16"/>
        <v>0</v>
      </c>
      <c r="AD76" s="80">
        <f>Valores!$C$30</f>
        <v>151.15</v>
      </c>
      <c r="AE76" s="115">
        <v>0</v>
      </c>
      <c r="AF76" s="80">
        <f>INT(((AE76*Valores!$C$2)*100)+0.5)/100</f>
        <v>0</v>
      </c>
      <c r="AG76" s="80">
        <f>Valores!$C$58</f>
        <v>307.46</v>
      </c>
      <c r="AH76" s="80">
        <f>Valores!$C$60</f>
        <v>87.85</v>
      </c>
      <c r="AI76" s="80">
        <f>SUM(H76,J76,L76,N76,O76,P76,Q76,R76,S76,T76,V76,W76,X76,Z76,AA76,AB76,AC76,AD76,AF76,AG76,AH76)*Valores!$C$63</f>
        <v>0</v>
      </c>
      <c r="AJ76" s="54">
        <f t="shared" si="17"/>
        <v>23165.144999999997</v>
      </c>
      <c r="AK76" s="81">
        <f>Valores!$C$35</f>
        <v>415.59</v>
      </c>
      <c r="AL76" s="82">
        <f>Valores!$C$8</f>
        <v>234.26</v>
      </c>
      <c r="AM76" s="90">
        <v>0</v>
      </c>
      <c r="AN76" s="82">
        <f>IF($H$4="SI",SUM(AL76+AM76),AL76)*Valores!$C$63</f>
        <v>0</v>
      </c>
      <c r="AO76" s="185">
        <f t="shared" si="21"/>
        <v>649.8499999999999</v>
      </c>
      <c r="AP76" s="153">
        <f>AJ76*-Valores!$C$65</f>
        <v>-3011.4688499999997</v>
      </c>
      <c r="AQ76" s="153">
        <f>AJ76*-Valores!$C$66</f>
        <v>-115.82572499999999</v>
      </c>
      <c r="AR76" s="81">
        <f>AJ76*-Valores!$C$67</f>
        <v>-1042.4315249999997</v>
      </c>
      <c r="AS76" s="81">
        <f>AJ76*-Valores!$C$68</f>
        <v>-625.4589149999999</v>
      </c>
      <c r="AT76" s="81">
        <f>AJ76*-Valores!$C$69</f>
        <v>-69.49543499999999</v>
      </c>
      <c r="AU76" s="54">
        <f t="shared" si="18"/>
        <v>19645.268899999995</v>
      </c>
      <c r="AV76" s="54">
        <f t="shared" si="19"/>
        <v>19992.746074999995</v>
      </c>
      <c r="AW76" s="81">
        <f>AJ76*Valores!$C$70</f>
        <v>3706.4231999999997</v>
      </c>
      <c r="AX76" s="81">
        <f>AJ76*Valores!$C$71</f>
        <v>1042.4315249999997</v>
      </c>
      <c r="AY76" s="81">
        <f>AJ76*Valores!$C$73</f>
        <v>231.65144999999998</v>
      </c>
      <c r="AZ76" s="81">
        <f>AJ76*Valores!$C$74</f>
        <v>810.780075</v>
      </c>
      <c r="BA76" s="81">
        <f>AJ76*Valores!$C$75</f>
        <v>138.99086999999997</v>
      </c>
      <c r="BB76" s="81">
        <f t="shared" si="22"/>
        <v>1250.9178299999999</v>
      </c>
      <c r="BC76" s="55"/>
      <c r="BD76" s="55"/>
      <c r="BE76" s="52" t="s">
        <v>461</v>
      </c>
    </row>
    <row r="77" spans="1:57" s="9" customFormat="1" ht="11.25" customHeight="1">
      <c r="A77" s="20">
        <v>76</v>
      </c>
      <c r="B77" s="20"/>
      <c r="C77" s="9" t="s">
        <v>136</v>
      </c>
      <c r="E77" s="9">
        <f t="shared" si="20"/>
        <v>29</v>
      </c>
      <c r="F77" s="10" t="s">
        <v>137</v>
      </c>
      <c r="G77" s="123">
        <v>82</v>
      </c>
      <c r="H77" s="7">
        <f>INT((G77*Valores!$C$2*100)+0.5)/100</f>
        <v>491.94</v>
      </c>
      <c r="I77" s="113">
        <v>2038</v>
      </c>
      <c r="J77" s="77">
        <f>INT((I77*Valores!$C$2*100)+0.5)/100</f>
        <v>12226.58</v>
      </c>
      <c r="K77" s="146">
        <v>0</v>
      </c>
      <c r="L77" s="77">
        <f>INT((K77*Valores!$C$2*100)+0.5)/100</f>
        <v>0</v>
      </c>
      <c r="M77" s="120">
        <v>0</v>
      </c>
      <c r="N77" s="77">
        <f>INT((M77*Valores!$C$2*100)+0.5)/100</f>
        <v>0</v>
      </c>
      <c r="O77" s="77">
        <f t="shared" si="14"/>
        <v>0</v>
      </c>
      <c r="P77" s="77">
        <f t="shared" si="15"/>
        <v>6794.925</v>
      </c>
      <c r="Q77" s="83">
        <f>Valores!$C$16</f>
        <v>3718.92</v>
      </c>
      <c r="R77" s="83">
        <f>Valores!$D$4</f>
        <v>2683.49</v>
      </c>
      <c r="S77" s="87">
        <f>Valores!$C$26</f>
        <v>2700.67</v>
      </c>
      <c r="T77" s="87">
        <f>Valores!$C$42</f>
        <v>871.33</v>
      </c>
      <c r="U77" s="79">
        <f>Valores!$C$23</f>
        <v>2584.33</v>
      </c>
      <c r="V77" s="77">
        <f t="shared" si="13"/>
        <v>3876.495</v>
      </c>
      <c r="W77" s="77">
        <v>0</v>
      </c>
      <c r="X77" s="77">
        <v>0</v>
      </c>
      <c r="Y77" s="116">
        <v>0</v>
      </c>
      <c r="Z77" s="77">
        <f>Y77*Valores!$C$2</f>
        <v>0</v>
      </c>
      <c r="AA77" s="77">
        <v>0</v>
      </c>
      <c r="AB77" s="89">
        <f>Valores!$C$29</f>
        <v>151.15</v>
      </c>
      <c r="AC77" s="77">
        <f t="shared" si="16"/>
        <v>0</v>
      </c>
      <c r="AD77" s="77">
        <f>Valores!$C$30</f>
        <v>151.15</v>
      </c>
      <c r="AE77" s="116">
        <v>0</v>
      </c>
      <c r="AF77" s="77">
        <f>INT(((AE77*Valores!$C$2)*100)+0.5)/100</f>
        <v>0</v>
      </c>
      <c r="AG77" s="77">
        <f>Valores!$C$58</f>
        <v>307.46</v>
      </c>
      <c r="AH77" s="77">
        <f>Valores!$C$60</f>
        <v>87.85</v>
      </c>
      <c r="AI77" s="77">
        <f>SUM(H77,J77,L77,N77,O77,P77,Q77,R77,S77,T77,V77,W77,X77,Z77,AA77,AB77,AC77,AD77,AF77,AG77,AH77)*Valores!$C$63</f>
        <v>0</v>
      </c>
      <c r="AJ77" s="15">
        <f t="shared" si="17"/>
        <v>34061.95999999999</v>
      </c>
      <c r="AK77" s="78">
        <f>Valores!$C$35</f>
        <v>415.59</v>
      </c>
      <c r="AL77" s="79">
        <f>Valores!$C$8</f>
        <v>234.26</v>
      </c>
      <c r="AM77" s="89">
        <f>Valores!$C$51</f>
        <v>128.84</v>
      </c>
      <c r="AN77" s="79">
        <f>IF($H$4="SI",SUM(AL77+AM77),AL77)*Valores!$C$63</f>
        <v>0</v>
      </c>
      <c r="AO77" s="12">
        <f t="shared" si="21"/>
        <v>778.6899999999999</v>
      </c>
      <c r="AP77" s="152">
        <f>AJ77*-Valores!$C$65</f>
        <v>-4428.054799999999</v>
      </c>
      <c r="AQ77" s="152">
        <f>AJ77*-Valores!$C$66</f>
        <v>-170.30979999999997</v>
      </c>
      <c r="AR77" s="78">
        <f>AJ77*-Valores!$C$67</f>
        <v>-1532.7881999999995</v>
      </c>
      <c r="AS77" s="78">
        <f>AJ77*-Valores!$C$68</f>
        <v>-919.6729199999999</v>
      </c>
      <c r="AT77" s="78">
        <f>AJ77*-Valores!$C$69</f>
        <v>-102.18587999999998</v>
      </c>
      <c r="AU77" s="15">
        <f t="shared" si="18"/>
        <v>28709.49719999999</v>
      </c>
      <c r="AV77" s="15">
        <f t="shared" si="19"/>
        <v>29220.426599999995</v>
      </c>
      <c r="AW77" s="78">
        <f>AJ77*Valores!$C$70</f>
        <v>5449.913599999999</v>
      </c>
      <c r="AX77" s="78">
        <f>AJ77*Valores!$C$71</f>
        <v>1532.7881999999995</v>
      </c>
      <c r="AY77" s="78">
        <f>AJ77*Valores!$C$73</f>
        <v>340.61959999999993</v>
      </c>
      <c r="AZ77" s="78">
        <f>AJ77*Valores!$C$74</f>
        <v>1192.1685999999997</v>
      </c>
      <c r="BA77" s="78">
        <f>AJ77*Valores!$C$75</f>
        <v>204.37175999999997</v>
      </c>
      <c r="BB77" s="78">
        <f t="shared" si="22"/>
        <v>1839.3458399999997</v>
      </c>
      <c r="BC77" s="20"/>
      <c r="BD77" s="20">
        <v>25</v>
      </c>
      <c r="BE77" s="9" t="s">
        <v>462</v>
      </c>
    </row>
    <row r="78" spans="1:57" s="9" customFormat="1" ht="11.25" customHeight="1">
      <c r="A78" s="20">
        <v>77</v>
      </c>
      <c r="B78" s="20"/>
      <c r="C78" s="9" t="s">
        <v>138</v>
      </c>
      <c r="E78" s="9">
        <f t="shared" si="20"/>
        <v>24</v>
      </c>
      <c r="F78" s="10" t="s">
        <v>139</v>
      </c>
      <c r="G78" s="123">
        <v>78</v>
      </c>
      <c r="H78" s="7">
        <f>INT((G78*Valores!$C$2*100)+0.5)/100</f>
        <v>467.95</v>
      </c>
      <c r="I78" s="113">
        <v>2072</v>
      </c>
      <c r="J78" s="77">
        <f>INT((I78*Valores!$C$2*100)+0.5)/100</f>
        <v>12430.56</v>
      </c>
      <c r="K78" s="146">
        <v>0</v>
      </c>
      <c r="L78" s="77">
        <f>INT((K78*Valores!$C$2*100)+0.5)/100</f>
        <v>0</v>
      </c>
      <c r="M78" s="120">
        <v>0</v>
      </c>
      <c r="N78" s="77">
        <f>INT((M78*Valores!$C$2*100)+0.5)/100</f>
        <v>0</v>
      </c>
      <c r="O78" s="77">
        <f t="shared" si="14"/>
        <v>0</v>
      </c>
      <c r="P78" s="77">
        <f t="shared" si="15"/>
        <v>6884.92</v>
      </c>
      <c r="Q78" s="83">
        <f>Valores!$C$16</f>
        <v>3718.92</v>
      </c>
      <c r="R78" s="83">
        <f>Valores!$D$4</f>
        <v>2683.49</v>
      </c>
      <c r="S78" s="87">
        <f>Valores!$C$26</f>
        <v>2700.67</v>
      </c>
      <c r="T78" s="87">
        <f>Valores!$C$42</f>
        <v>871.33</v>
      </c>
      <c r="U78" s="79">
        <f>Valores!$C$23</f>
        <v>2584.33</v>
      </c>
      <c r="V78" s="77">
        <f t="shared" si="13"/>
        <v>3876.495</v>
      </c>
      <c r="W78" s="77">
        <v>0</v>
      </c>
      <c r="X78" s="77">
        <v>0</v>
      </c>
      <c r="Y78" s="116">
        <v>0</v>
      </c>
      <c r="Z78" s="77">
        <f>Y78*Valores!$C$2</f>
        <v>0</v>
      </c>
      <c r="AA78" s="77">
        <v>0</v>
      </c>
      <c r="AB78" s="89">
        <f>Valores!$C$29</f>
        <v>151.15</v>
      </c>
      <c r="AC78" s="77">
        <f t="shared" si="16"/>
        <v>0</v>
      </c>
      <c r="AD78" s="77">
        <f>Valores!$C$30</f>
        <v>151.15</v>
      </c>
      <c r="AE78" s="116">
        <v>0</v>
      </c>
      <c r="AF78" s="77">
        <f>INT(((AE78*Valores!$C$2)*100)+0.5)/100</f>
        <v>0</v>
      </c>
      <c r="AG78" s="77">
        <f>Valores!$C$58</f>
        <v>307.46</v>
      </c>
      <c r="AH78" s="77">
        <f>Valores!$C$60</f>
        <v>87.85</v>
      </c>
      <c r="AI78" s="77">
        <f>SUM(H78,J78,L78,N78,O78,P78,Q78,R78,S78,T78,V78,W78,X78,Z78,AA78,AB78,AC78,AD78,AF78,AG78,AH78)*Valores!$C$63</f>
        <v>0</v>
      </c>
      <c r="AJ78" s="15">
        <f t="shared" si="17"/>
        <v>34331.94499999999</v>
      </c>
      <c r="AK78" s="78">
        <f>Valores!$C$35</f>
        <v>415.59</v>
      </c>
      <c r="AL78" s="79">
        <f>Valores!$C$8</f>
        <v>234.26</v>
      </c>
      <c r="AM78" s="89">
        <f>Valores!$C$51</f>
        <v>128.84</v>
      </c>
      <c r="AN78" s="79">
        <f>IF($H$4="SI",SUM(AL78+AM78),AL78)*Valores!$C$63</f>
        <v>0</v>
      </c>
      <c r="AO78" s="12">
        <f t="shared" si="21"/>
        <v>778.6899999999999</v>
      </c>
      <c r="AP78" s="152">
        <f>AJ78*-Valores!$C$65</f>
        <v>-4463.1528499999995</v>
      </c>
      <c r="AQ78" s="152">
        <f>AJ78*-Valores!$C$66</f>
        <v>-171.65972499999995</v>
      </c>
      <c r="AR78" s="78">
        <f>AJ78*-Valores!$C$67</f>
        <v>-1544.9375249999996</v>
      </c>
      <c r="AS78" s="78">
        <f>AJ78*-Valores!$C$68</f>
        <v>-926.9625149999999</v>
      </c>
      <c r="AT78" s="78">
        <f>AJ78*-Valores!$C$69</f>
        <v>-102.99583499999999</v>
      </c>
      <c r="AU78" s="15">
        <f t="shared" si="18"/>
        <v>28930.884899999997</v>
      </c>
      <c r="AV78" s="15">
        <f t="shared" si="19"/>
        <v>29445.864074999998</v>
      </c>
      <c r="AW78" s="78">
        <f>AJ78*Valores!$C$70</f>
        <v>5493.1111999999985</v>
      </c>
      <c r="AX78" s="78">
        <f>AJ78*Valores!$C$71</f>
        <v>1544.9375249999996</v>
      </c>
      <c r="AY78" s="78">
        <f>AJ78*Valores!$C$73</f>
        <v>343.3194499999999</v>
      </c>
      <c r="AZ78" s="78">
        <f>AJ78*Valores!$C$74</f>
        <v>1201.6180749999999</v>
      </c>
      <c r="BA78" s="78">
        <f>AJ78*Valores!$C$75</f>
        <v>205.99166999999997</v>
      </c>
      <c r="BB78" s="78">
        <f t="shared" si="22"/>
        <v>1853.9250299999997</v>
      </c>
      <c r="BC78" s="20"/>
      <c r="BD78" s="20">
        <v>30</v>
      </c>
      <c r="BE78" s="9" t="s">
        <v>462</v>
      </c>
    </row>
    <row r="79" spans="1:57" s="9" customFormat="1" ht="11.25" customHeight="1">
      <c r="A79" s="20">
        <v>78</v>
      </c>
      <c r="B79" s="20"/>
      <c r="C79" s="9" t="s">
        <v>140</v>
      </c>
      <c r="E79" s="9">
        <f t="shared" si="20"/>
        <v>24</v>
      </c>
      <c r="F79" s="10" t="s">
        <v>141</v>
      </c>
      <c r="G79" s="123">
        <v>78</v>
      </c>
      <c r="H79" s="7">
        <f>INT((G79*Valores!$C$2*100)+0.5)/100</f>
        <v>467.95</v>
      </c>
      <c r="I79" s="113">
        <v>1770</v>
      </c>
      <c r="J79" s="77">
        <f>INT((I79*Valores!$C$2*100)+0.5)/100</f>
        <v>10618.77</v>
      </c>
      <c r="K79" s="146">
        <v>0</v>
      </c>
      <c r="L79" s="77">
        <f>INT((K79*Valores!$C$2*100)+0.5)/100</f>
        <v>0</v>
      </c>
      <c r="M79" s="120">
        <v>0</v>
      </c>
      <c r="N79" s="77">
        <f>INT((M79*Valores!$C$2*100)+0.5)/100</f>
        <v>0</v>
      </c>
      <c r="O79" s="77">
        <f t="shared" si="14"/>
        <v>0</v>
      </c>
      <c r="P79" s="77">
        <f t="shared" si="15"/>
        <v>5979.025000000001</v>
      </c>
      <c r="Q79" s="83">
        <f>Valores!$C$16</f>
        <v>3718.92</v>
      </c>
      <c r="R79" s="83">
        <f>Valores!$D$4</f>
        <v>2683.49</v>
      </c>
      <c r="S79" s="79">
        <f>Valores!$C$26</f>
        <v>2700.67</v>
      </c>
      <c r="T79" s="79">
        <f>Valores!$C$42</f>
        <v>871.33</v>
      </c>
      <c r="U79" s="79">
        <f>Valores!$C$23</f>
        <v>2584.33</v>
      </c>
      <c r="V79" s="77">
        <f t="shared" si="13"/>
        <v>3876.495</v>
      </c>
      <c r="W79" s="77">
        <v>0</v>
      </c>
      <c r="X79" s="77">
        <v>0</v>
      </c>
      <c r="Y79" s="116">
        <v>0</v>
      </c>
      <c r="Z79" s="77">
        <f>Y79*Valores!$C$2</f>
        <v>0</v>
      </c>
      <c r="AA79" s="77">
        <v>0</v>
      </c>
      <c r="AB79" s="89">
        <f>Valores!$C$29</f>
        <v>151.15</v>
      </c>
      <c r="AC79" s="77">
        <f t="shared" si="16"/>
        <v>0</v>
      </c>
      <c r="AD79" s="77">
        <f>Valores!$C$30</f>
        <v>151.15</v>
      </c>
      <c r="AE79" s="116">
        <v>0</v>
      </c>
      <c r="AF79" s="77">
        <f>INT(((AE79*Valores!$C$2)*100)+0.5)/100</f>
        <v>0</v>
      </c>
      <c r="AG79" s="77">
        <f>Valores!$C$58</f>
        <v>307.46</v>
      </c>
      <c r="AH79" s="77">
        <f>Valores!$C$60</f>
        <v>87.85</v>
      </c>
      <c r="AI79" s="77">
        <f>SUM(H79,J79,L79,N79,O79,P79,Q79,R79,S79,T79,V79,W79,X79,Z79,AA79,AB79,AC79,AD79,AF79,AG79,AH79)*Valores!$C$63</f>
        <v>0</v>
      </c>
      <c r="AJ79" s="15">
        <f t="shared" si="17"/>
        <v>31614.26</v>
      </c>
      <c r="AK79" s="78">
        <f>Valores!$C$35</f>
        <v>415.59</v>
      </c>
      <c r="AL79" s="79">
        <f>Valores!$C$8</f>
        <v>234.26</v>
      </c>
      <c r="AM79" s="89">
        <f>Valores!$C$51</f>
        <v>128.84</v>
      </c>
      <c r="AN79" s="79">
        <f>IF($H$4="SI",SUM(AL79+AM79),AL79)*Valores!$C$63</f>
        <v>0</v>
      </c>
      <c r="AO79" s="12">
        <f t="shared" si="21"/>
        <v>778.6899999999999</v>
      </c>
      <c r="AP79" s="152">
        <f>AJ79*-Valores!$C$65</f>
        <v>-4109.8538</v>
      </c>
      <c r="AQ79" s="152">
        <f>AJ79*-Valores!$C$66</f>
        <v>-158.0713</v>
      </c>
      <c r="AR79" s="78">
        <f>AJ79*-Valores!$C$67</f>
        <v>-1422.6417</v>
      </c>
      <c r="AS79" s="78">
        <f>AJ79*-Valores!$C$68</f>
        <v>-853.5850200000001</v>
      </c>
      <c r="AT79" s="78">
        <f>AJ79*-Valores!$C$69</f>
        <v>-94.84277999999999</v>
      </c>
      <c r="AU79" s="15">
        <f t="shared" si="18"/>
        <v>26702.383199999997</v>
      </c>
      <c r="AV79" s="15">
        <f t="shared" si="19"/>
        <v>27176.5971</v>
      </c>
      <c r="AW79" s="78">
        <f>AJ79*Valores!$C$70</f>
        <v>5058.2816</v>
      </c>
      <c r="AX79" s="78">
        <f>AJ79*Valores!$C$71</f>
        <v>1422.6417</v>
      </c>
      <c r="AY79" s="78">
        <f>AJ79*Valores!$C$73</f>
        <v>316.1426</v>
      </c>
      <c r="AZ79" s="78">
        <f>AJ79*Valores!$C$74</f>
        <v>1106.4991</v>
      </c>
      <c r="BA79" s="78">
        <f>AJ79*Valores!$C$75</f>
        <v>189.68555999999998</v>
      </c>
      <c r="BB79" s="78">
        <f t="shared" si="22"/>
        <v>1707.1700400000002</v>
      </c>
      <c r="BC79" s="20"/>
      <c r="BD79" s="20"/>
      <c r="BE79" s="9" t="s">
        <v>462</v>
      </c>
    </row>
    <row r="80" spans="1:57" s="9" customFormat="1" ht="11.25" customHeight="1">
      <c r="A80" s="20">
        <v>79</v>
      </c>
      <c r="B80" s="20"/>
      <c r="C80" s="9" t="s">
        <v>142</v>
      </c>
      <c r="E80" s="9">
        <f t="shared" si="20"/>
        <v>27</v>
      </c>
      <c r="F80" s="10" t="s">
        <v>143</v>
      </c>
      <c r="G80" s="123">
        <v>77</v>
      </c>
      <c r="H80" s="7">
        <f>INT((G80*Valores!$C$2*100)+0.5)/100</f>
        <v>461.95</v>
      </c>
      <c r="I80" s="113">
        <v>2073</v>
      </c>
      <c r="J80" s="77">
        <f>INT((I80*Valores!$C$2*100)+0.5)/100</f>
        <v>12436.56</v>
      </c>
      <c r="K80" s="146">
        <v>0</v>
      </c>
      <c r="L80" s="77">
        <f>INT((K80*Valores!$C$2*100)+0.5)/100</f>
        <v>0</v>
      </c>
      <c r="M80" s="120">
        <v>0</v>
      </c>
      <c r="N80" s="77">
        <f>INT((M80*Valores!$C$2*100)+0.5)/100</f>
        <v>0</v>
      </c>
      <c r="O80" s="77">
        <f t="shared" si="14"/>
        <v>0</v>
      </c>
      <c r="P80" s="77">
        <f t="shared" si="15"/>
        <v>6884.92</v>
      </c>
      <c r="Q80" s="83">
        <f>Valores!$C$16</f>
        <v>3718.92</v>
      </c>
      <c r="R80" s="83">
        <f>Valores!$D$4</f>
        <v>2683.49</v>
      </c>
      <c r="S80" s="87">
        <f>Valores!$C$26</f>
        <v>2700.67</v>
      </c>
      <c r="T80" s="87">
        <f>Valores!$C$42</f>
        <v>871.33</v>
      </c>
      <c r="U80" s="79">
        <f>Valores!$C$23</f>
        <v>2584.33</v>
      </c>
      <c r="V80" s="77">
        <f t="shared" si="13"/>
        <v>3876.495</v>
      </c>
      <c r="W80" s="77">
        <v>0</v>
      </c>
      <c r="X80" s="77">
        <v>0</v>
      </c>
      <c r="Y80" s="116">
        <v>0</v>
      </c>
      <c r="Z80" s="77">
        <f>Y80*Valores!$C$2</f>
        <v>0</v>
      </c>
      <c r="AA80" s="77">
        <v>0</v>
      </c>
      <c r="AB80" s="89">
        <f>Valores!$C$29</f>
        <v>151.15</v>
      </c>
      <c r="AC80" s="77">
        <f t="shared" si="16"/>
        <v>0</v>
      </c>
      <c r="AD80" s="77">
        <f>Valores!$C$30</f>
        <v>151.15</v>
      </c>
      <c r="AE80" s="116">
        <v>0</v>
      </c>
      <c r="AF80" s="77">
        <f>INT(((AE80*Valores!$C$2)*100)+0.5)/100</f>
        <v>0</v>
      </c>
      <c r="AG80" s="77">
        <f>Valores!$C$58</f>
        <v>307.46</v>
      </c>
      <c r="AH80" s="77">
        <f>Valores!$C$60</f>
        <v>87.85</v>
      </c>
      <c r="AI80" s="77">
        <f>SUM(H80,J80,L80,N80,O80,P80,Q80,R80,S80,T80,V80,W80,X80,Z80,AA80,AB80,AC80,AD80,AF80,AG80,AH80)*Valores!$C$63</f>
        <v>0</v>
      </c>
      <c r="AJ80" s="15">
        <f t="shared" si="17"/>
        <v>34331.94499999999</v>
      </c>
      <c r="AK80" s="78">
        <f>Valores!$C$35</f>
        <v>415.59</v>
      </c>
      <c r="AL80" s="79">
        <f>Valores!$C$8</f>
        <v>234.26</v>
      </c>
      <c r="AM80" s="89">
        <f>Valores!$C$51</f>
        <v>128.84</v>
      </c>
      <c r="AN80" s="79">
        <f>IF($H$4="SI",SUM(AL80+AM80),AL80)*Valores!$C$63</f>
        <v>0</v>
      </c>
      <c r="AO80" s="12">
        <f t="shared" si="21"/>
        <v>778.6899999999999</v>
      </c>
      <c r="AP80" s="152">
        <f>AJ80*-Valores!$C$65</f>
        <v>-4463.1528499999995</v>
      </c>
      <c r="AQ80" s="152">
        <f>AJ80*-Valores!$C$66</f>
        <v>-171.65972499999995</v>
      </c>
      <c r="AR80" s="78">
        <f>AJ80*-Valores!$C$67</f>
        <v>-1544.9375249999996</v>
      </c>
      <c r="AS80" s="78">
        <f>AJ80*-Valores!$C$68</f>
        <v>-926.9625149999999</v>
      </c>
      <c r="AT80" s="78">
        <f>AJ80*-Valores!$C$69</f>
        <v>-102.99583499999999</v>
      </c>
      <c r="AU80" s="15">
        <f t="shared" si="18"/>
        <v>28930.884899999997</v>
      </c>
      <c r="AV80" s="15">
        <f t="shared" si="19"/>
        <v>29445.864074999998</v>
      </c>
      <c r="AW80" s="78">
        <f>AJ80*Valores!$C$70</f>
        <v>5493.1111999999985</v>
      </c>
      <c r="AX80" s="78">
        <f>AJ80*Valores!$C$71</f>
        <v>1544.9375249999996</v>
      </c>
      <c r="AY80" s="78">
        <f>AJ80*Valores!$C$73</f>
        <v>343.3194499999999</v>
      </c>
      <c r="AZ80" s="78">
        <f>AJ80*Valores!$C$74</f>
        <v>1201.6180749999999</v>
      </c>
      <c r="BA80" s="78">
        <f>AJ80*Valores!$C$75</f>
        <v>205.99166999999997</v>
      </c>
      <c r="BB80" s="78">
        <f t="shared" si="22"/>
        <v>1853.9250299999997</v>
      </c>
      <c r="BC80" s="20"/>
      <c r="BD80" s="20">
        <v>25</v>
      </c>
      <c r="BE80" s="9" t="s">
        <v>461</v>
      </c>
    </row>
    <row r="81" spans="1:57" s="9" customFormat="1" ht="11.25" customHeight="1">
      <c r="A81" s="55">
        <v>80</v>
      </c>
      <c r="B81" s="55" t="s">
        <v>458</v>
      </c>
      <c r="C81" s="52" t="s">
        <v>144</v>
      </c>
      <c r="D81" s="52"/>
      <c r="E81" s="52">
        <f t="shared" si="20"/>
        <v>27</v>
      </c>
      <c r="F81" s="53" t="s">
        <v>145</v>
      </c>
      <c r="G81" s="124">
        <v>76</v>
      </c>
      <c r="H81" s="129">
        <f>INT((G81*Valores!$C$2*100)+0.5)/100</f>
        <v>455.95</v>
      </c>
      <c r="I81" s="114">
        <v>1872</v>
      </c>
      <c r="J81" s="80">
        <f>INT((I81*Valores!$C$2*100)+0.5)/100</f>
        <v>11230.7</v>
      </c>
      <c r="K81" s="147">
        <v>0</v>
      </c>
      <c r="L81" s="80">
        <f>INT((K81*Valores!$C$2*100)+0.5)/100</f>
        <v>0</v>
      </c>
      <c r="M81" s="121">
        <v>0</v>
      </c>
      <c r="N81" s="80">
        <f>INT((M81*Valores!$C$2*100)+0.5)/100</f>
        <v>0</v>
      </c>
      <c r="O81" s="80">
        <f t="shared" si="14"/>
        <v>0</v>
      </c>
      <c r="P81" s="80">
        <f t="shared" si="15"/>
        <v>6278.990000000001</v>
      </c>
      <c r="Q81" s="84">
        <f>Valores!$C$16</f>
        <v>3718.92</v>
      </c>
      <c r="R81" s="84">
        <f>Valores!$D$4</f>
        <v>2683.49</v>
      </c>
      <c r="S81" s="82">
        <v>0</v>
      </c>
      <c r="T81" s="82">
        <f>Valores!$C$42</f>
        <v>871.33</v>
      </c>
      <c r="U81" s="82">
        <f>Valores!$C$23</f>
        <v>2584.33</v>
      </c>
      <c r="V81" s="80">
        <f t="shared" si="13"/>
        <v>3876.495</v>
      </c>
      <c r="W81" s="80">
        <v>0</v>
      </c>
      <c r="X81" s="80">
        <v>0</v>
      </c>
      <c r="Y81" s="115">
        <v>0</v>
      </c>
      <c r="Z81" s="80">
        <f>Y81*Valores!$C$2</f>
        <v>0</v>
      </c>
      <c r="AA81" s="80">
        <v>0</v>
      </c>
      <c r="AB81" s="90">
        <f>Valores!$C$29</f>
        <v>151.15</v>
      </c>
      <c r="AC81" s="80">
        <f t="shared" si="16"/>
        <v>0</v>
      </c>
      <c r="AD81" s="80">
        <f>Valores!$C$30</f>
        <v>151.15</v>
      </c>
      <c r="AE81" s="115">
        <v>0</v>
      </c>
      <c r="AF81" s="80">
        <f>INT(((AE81*Valores!$C$2)*100)+0.5)/100</f>
        <v>0</v>
      </c>
      <c r="AG81" s="80">
        <f>Valores!$C$58</f>
        <v>307.46</v>
      </c>
      <c r="AH81" s="80">
        <f>Valores!$C$60</f>
        <v>87.85</v>
      </c>
      <c r="AI81" s="80">
        <f>SUM(H81,J81,L81,N81,O81,P81,Q81,R81,S81,T81,V81,W81,X81,Z81,AA81,AB81,AC81,AD81,AF81,AG81,AH81)*Valores!$C$63</f>
        <v>0</v>
      </c>
      <c r="AJ81" s="54">
        <f t="shared" si="17"/>
        <v>29813.485000000004</v>
      </c>
      <c r="AK81" s="81">
        <f>Valores!$C$35</f>
        <v>415.59</v>
      </c>
      <c r="AL81" s="82">
        <f>Valores!$C$8</f>
        <v>234.26</v>
      </c>
      <c r="AM81" s="90">
        <f>Valores!$C$51</f>
        <v>128.84</v>
      </c>
      <c r="AN81" s="82">
        <f>IF($H$4="SI",SUM(AL81+AM81),AL81)*Valores!$C$63</f>
        <v>0</v>
      </c>
      <c r="AO81" s="185">
        <f t="shared" si="21"/>
        <v>778.6899999999999</v>
      </c>
      <c r="AP81" s="153">
        <f>AJ81*-Valores!$C$65</f>
        <v>-3875.7530500000007</v>
      </c>
      <c r="AQ81" s="153">
        <f>AJ81*-Valores!$C$66</f>
        <v>-149.06742500000001</v>
      </c>
      <c r="AR81" s="81">
        <f>AJ81*-Valores!$C$67</f>
        <v>-1341.606825</v>
      </c>
      <c r="AS81" s="81">
        <f>AJ81*-Valores!$C$68</f>
        <v>-804.9640950000002</v>
      </c>
      <c r="AT81" s="81">
        <f>AJ81*-Valores!$C$69</f>
        <v>-89.44045500000001</v>
      </c>
      <c r="AU81" s="54">
        <f t="shared" si="18"/>
        <v>25225.747700000004</v>
      </c>
      <c r="AV81" s="54">
        <f t="shared" si="19"/>
        <v>25672.949975000003</v>
      </c>
      <c r="AW81" s="81">
        <f>AJ81*Valores!$C$70</f>
        <v>4770.1576000000005</v>
      </c>
      <c r="AX81" s="81">
        <f>AJ81*Valores!$C$71</f>
        <v>1341.606825</v>
      </c>
      <c r="AY81" s="81">
        <f>AJ81*Valores!$C$73</f>
        <v>298.13485000000003</v>
      </c>
      <c r="AZ81" s="81">
        <f>AJ81*Valores!$C$74</f>
        <v>1043.4719750000002</v>
      </c>
      <c r="BA81" s="81">
        <f>AJ81*Valores!$C$75</f>
        <v>178.88091000000003</v>
      </c>
      <c r="BB81" s="81">
        <f t="shared" si="22"/>
        <v>1609.9281900000005</v>
      </c>
      <c r="BC81" s="55"/>
      <c r="BD81" s="55">
        <v>30</v>
      </c>
      <c r="BE81" s="52" t="s">
        <v>461</v>
      </c>
    </row>
    <row r="82" spans="1:57" s="9" customFormat="1" ht="11.25" customHeight="1">
      <c r="A82" s="20">
        <v>81</v>
      </c>
      <c r="B82" s="20"/>
      <c r="C82" s="9" t="s">
        <v>146</v>
      </c>
      <c r="E82" s="9">
        <f t="shared" si="20"/>
        <v>30</v>
      </c>
      <c r="F82" s="10" t="s">
        <v>147</v>
      </c>
      <c r="G82" s="123">
        <v>75</v>
      </c>
      <c r="H82" s="7">
        <f>INT((G82*Valores!$C$2*100)+0.5)/100</f>
        <v>449.95</v>
      </c>
      <c r="I82" s="113">
        <v>1873</v>
      </c>
      <c r="J82" s="77">
        <f>INT((I82*Valores!$C$2*100)+0.5)/100</f>
        <v>11236.7</v>
      </c>
      <c r="K82" s="146">
        <v>0</v>
      </c>
      <c r="L82" s="77">
        <f>INT((K82*Valores!$C$2*100)+0.5)/100</f>
        <v>0</v>
      </c>
      <c r="M82" s="120">
        <v>0</v>
      </c>
      <c r="N82" s="77">
        <f>INT((M82*Valores!$C$2*100)+0.5)/100</f>
        <v>0</v>
      </c>
      <c r="O82" s="77">
        <f t="shared" si="14"/>
        <v>0</v>
      </c>
      <c r="P82" s="77">
        <f t="shared" si="15"/>
        <v>6278.990000000001</v>
      </c>
      <c r="Q82" s="83">
        <f>Valores!$C$16</f>
        <v>3718.92</v>
      </c>
      <c r="R82" s="83">
        <f>Valores!$D$4</f>
        <v>2683.49</v>
      </c>
      <c r="S82" s="87">
        <f>Valores!$C$26</f>
        <v>2700.67</v>
      </c>
      <c r="T82" s="87">
        <f>Valores!$C$42</f>
        <v>871.33</v>
      </c>
      <c r="U82" s="79">
        <f>Valores!$C$23</f>
        <v>2584.33</v>
      </c>
      <c r="V82" s="77">
        <f t="shared" si="13"/>
        <v>3876.495</v>
      </c>
      <c r="W82" s="77">
        <v>0</v>
      </c>
      <c r="X82" s="77">
        <v>0</v>
      </c>
      <c r="Y82" s="116">
        <v>0</v>
      </c>
      <c r="Z82" s="77">
        <f>Y82*Valores!$C$2</f>
        <v>0</v>
      </c>
      <c r="AA82" s="77">
        <v>0</v>
      </c>
      <c r="AB82" s="89">
        <f>Valores!$C$29</f>
        <v>151.15</v>
      </c>
      <c r="AC82" s="77">
        <f t="shared" si="16"/>
        <v>0</v>
      </c>
      <c r="AD82" s="77">
        <f>Valores!$C$30</f>
        <v>151.15</v>
      </c>
      <c r="AE82" s="116">
        <v>0</v>
      </c>
      <c r="AF82" s="77">
        <f>INT(((AE82*Valores!$C$2)*100)+0.5)/100</f>
        <v>0</v>
      </c>
      <c r="AG82" s="77">
        <f>Valores!$C$58</f>
        <v>307.46</v>
      </c>
      <c r="AH82" s="77">
        <f>Valores!$C$60</f>
        <v>87.85</v>
      </c>
      <c r="AI82" s="77">
        <f>SUM(H82,J82,L82,N82,O82,P82,Q82,R82,S82,T82,V82,W82,X82,Z82,AA82,AB82,AC82,AD82,AF82,AG82,AH82)*Valores!$C$63</f>
        <v>0</v>
      </c>
      <c r="AJ82" s="15">
        <f t="shared" si="17"/>
        <v>32514.155000000002</v>
      </c>
      <c r="AK82" s="78">
        <f>Valores!$C$35</f>
        <v>415.59</v>
      </c>
      <c r="AL82" s="79">
        <f>Valores!$C$8</f>
        <v>234.26</v>
      </c>
      <c r="AM82" s="89">
        <f>Valores!$C$51</f>
        <v>128.84</v>
      </c>
      <c r="AN82" s="79">
        <f>IF($H$4="SI",SUM(AL82+AM82),AL82)*Valores!$C$63</f>
        <v>0</v>
      </c>
      <c r="AO82" s="12">
        <f t="shared" si="21"/>
        <v>778.6899999999999</v>
      </c>
      <c r="AP82" s="152">
        <f>AJ82*-Valores!$C$65</f>
        <v>-4226.840150000001</v>
      </c>
      <c r="AQ82" s="152">
        <f>AJ82*-Valores!$C$66</f>
        <v>-162.57077500000003</v>
      </c>
      <c r="AR82" s="78">
        <f>AJ82*-Valores!$C$67</f>
        <v>-1463.1369750000001</v>
      </c>
      <c r="AS82" s="78">
        <f>AJ82*-Valores!$C$68</f>
        <v>-877.8821850000002</v>
      </c>
      <c r="AT82" s="78">
        <f>AJ82*-Valores!$C$69</f>
        <v>-97.542465</v>
      </c>
      <c r="AU82" s="15">
        <f t="shared" si="18"/>
        <v>27440.2971</v>
      </c>
      <c r="AV82" s="15">
        <f t="shared" si="19"/>
        <v>27928.009425000004</v>
      </c>
      <c r="AW82" s="78">
        <f>AJ82*Valores!$C$70</f>
        <v>5202.264800000001</v>
      </c>
      <c r="AX82" s="78">
        <f>AJ82*Valores!$C$71</f>
        <v>1463.1369750000001</v>
      </c>
      <c r="AY82" s="78">
        <f>AJ82*Valores!$C$73</f>
        <v>325.14155000000005</v>
      </c>
      <c r="AZ82" s="78">
        <f>AJ82*Valores!$C$74</f>
        <v>1137.9954250000003</v>
      </c>
      <c r="BA82" s="78">
        <f>AJ82*Valores!$C$75</f>
        <v>195.08493</v>
      </c>
      <c r="BB82" s="78">
        <f t="shared" si="22"/>
        <v>1755.7643700000003</v>
      </c>
      <c r="BC82" s="20"/>
      <c r="BD82" s="20">
        <v>25</v>
      </c>
      <c r="BE82" s="9" t="s">
        <v>462</v>
      </c>
    </row>
    <row r="83" spans="1:57" s="9" customFormat="1" ht="11.25" customHeight="1">
      <c r="A83" s="20">
        <v>82</v>
      </c>
      <c r="B83" s="20"/>
      <c r="C83" s="9" t="s">
        <v>148</v>
      </c>
      <c r="E83" s="9">
        <f t="shared" si="20"/>
        <v>27</v>
      </c>
      <c r="F83" s="10" t="s">
        <v>149</v>
      </c>
      <c r="G83" s="123">
        <v>76</v>
      </c>
      <c r="H83" s="7">
        <f>INT((G83*Valores!$C$2*100)+0.5)/100</f>
        <v>455.95</v>
      </c>
      <c r="I83" s="113">
        <v>1752</v>
      </c>
      <c r="J83" s="77">
        <f>INT((I83*Valores!$C$2*100)+0.5)/100</f>
        <v>10510.78</v>
      </c>
      <c r="K83" s="146">
        <v>0</v>
      </c>
      <c r="L83" s="77">
        <f>INT((K83*Valores!$C$2*100)+0.5)/100</f>
        <v>0</v>
      </c>
      <c r="M83" s="120">
        <v>0</v>
      </c>
      <c r="N83" s="77">
        <f>INT((M83*Valores!$C$2*100)+0.5)/100</f>
        <v>0</v>
      </c>
      <c r="O83" s="77">
        <f t="shared" si="14"/>
        <v>0</v>
      </c>
      <c r="P83" s="77">
        <f t="shared" si="15"/>
        <v>5919.030000000001</v>
      </c>
      <c r="Q83" s="83">
        <f>Valores!$C$15</f>
        <v>3695.48</v>
      </c>
      <c r="R83" s="83">
        <f>Valores!$D$4</f>
        <v>2683.49</v>
      </c>
      <c r="S83" s="87">
        <f>Valores!$C$26</f>
        <v>2700.67</v>
      </c>
      <c r="T83" s="87">
        <f>Valores!$C$42</f>
        <v>871.33</v>
      </c>
      <c r="U83" s="79">
        <f>Valores!$C$23</f>
        <v>2584.33</v>
      </c>
      <c r="V83" s="77">
        <f t="shared" si="13"/>
        <v>3876.495</v>
      </c>
      <c r="W83" s="77">
        <v>0</v>
      </c>
      <c r="X83" s="77">
        <v>0</v>
      </c>
      <c r="Y83" s="116">
        <v>0</v>
      </c>
      <c r="Z83" s="77">
        <f>Y83*Valores!$C$2</f>
        <v>0</v>
      </c>
      <c r="AA83" s="77">
        <v>0</v>
      </c>
      <c r="AB83" s="89">
        <f>Valores!$C$29</f>
        <v>151.15</v>
      </c>
      <c r="AC83" s="77">
        <f t="shared" si="16"/>
        <v>0</v>
      </c>
      <c r="AD83" s="77">
        <f>Valores!$C$30</f>
        <v>151.15</v>
      </c>
      <c r="AE83" s="116">
        <v>0</v>
      </c>
      <c r="AF83" s="77">
        <f>INT(((AE83*Valores!$C$2)*100)+0.5)/100</f>
        <v>0</v>
      </c>
      <c r="AG83" s="77">
        <f>Valores!$C$58</f>
        <v>307.46</v>
      </c>
      <c r="AH83" s="77">
        <f>Valores!$C$60</f>
        <v>87.85</v>
      </c>
      <c r="AI83" s="77">
        <f>SUM(H83,J83,L83,N83,O83,P83,Q83,R83,S83,T83,V83,W83,X83,Z83,AA83,AB83,AC83,AD83,AF83,AG83,AH83)*Valores!$C$63</f>
        <v>0</v>
      </c>
      <c r="AJ83" s="15">
        <f t="shared" si="17"/>
        <v>31410.835000000003</v>
      </c>
      <c r="AK83" s="78">
        <f>Valores!$C$35</f>
        <v>415.59</v>
      </c>
      <c r="AL83" s="79">
        <f>Valores!$C$8</f>
        <v>234.26</v>
      </c>
      <c r="AM83" s="89">
        <f>Valores!$C$51</f>
        <v>128.84</v>
      </c>
      <c r="AN83" s="79">
        <f>IF($H$4="SI",SUM(AL83+AM83),AL83)*Valores!$C$63</f>
        <v>0</v>
      </c>
      <c r="AO83" s="12">
        <f t="shared" si="21"/>
        <v>778.6899999999999</v>
      </c>
      <c r="AP83" s="152">
        <f>AJ83*-Valores!$C$65</f>
        <v>-4083.4085500000006</v>
      </c>
      <c r="AQ83" s="152">
        <f>AJ83*-Valores!$C$66</f>
        <v>-157.05417500000001</v>
      </c>
      <c r="AR83" s="78">
        <f>AJ83*-Valores!$C$67</f>
        <v>-1413.487575</v>
      </c>
      <c r="AS83" s="78">
        <f>AJ83*-Valores!$C$68</f>
        <v>-848.0925450000002</v>
      </c>
      <c r="AT83" s="78">
        <f>AJ83*-Valores!$C$69</f>
        <v>-94.232505</v>
      </c>
      <c r="AU83" s="15">
        <f t="shared" si="18"/>
        <v>26535.5747</v>
      </c>
      <c r="AV83" s="15">
        <f t="shared" si="19"/>
        <v>27006.737225</v>
      </c>
      <c r="AW83" s="78">
        <f>AJ83*Valores!$C$70</f>
        <v>5025.7336000000005</v>
      </c>
      <c r="AX83" s="78">
        <f>AJ83*Valores!$C$71</f>
        <v>1413.487575</v>
      </c>
      <c r="AY83" s="78">
        <f>AJ83*Valores!$C$73</f>
        <v>314.10835000000003</v>
      </c>
      <c r="AZ83" s="78">
        <f>AJ83*Valores!$C$74</f>
        <v>1099.3792250000001</v>
      </c>
      <c r="BA83" s="78">
        <f>AJ83*Valores!$C$75</f>
        <v>188.46501</v>
      </c>
      <c r="BB83" s="78">
        <f t="shared" si="22"/>
        <v>1696.1850900000002</v>
      </c>
      <c r="BC83" s="20"/>
      <c r="BD83" s="20">
        <v>25</v>
      </c>
      <c r="BE83" s="9" t="s">
        <v>461</v>
      </c>
    </row>
    <row r="84" spans="1:57" s="9" customFormat="1" ht="11.25" customHeight="1">
      <c r="A84" s="20">
        <v>83</v>
      </c>
      <c r="B84" s="20"/>
      <c r="C84" s="9" t="s">
        <v>150</v>
      </c>
      <c r="E84" s="9">
        <f t="shared" si="20"/>
        <v>31</v>
      </c>
      <c r="F84" s="10" t="s">
        <v>151</v>
      </c>
      <c r="G84" s="123">
        <v>78</v>
      </c>
      <c r="H84" s="7">
        <f>INT((G84*Valores!$C$2*100)+0.5)/100</f>
        <v>467.95</v>
      </c>
      <c r="I84" s="113">
        <v>1770</v>
      </c>
      <c r="J84" s="77">
        <f>INT((I84*Valores!$C$2*100)+0.5)/100</f>
        <v>10618.77</v>
      </c>
      <c r="K84" s="146">
        <v>0</v>
      </c>
      <c r="L84" s="77">
        <f>INT((K84*Valores!$C$2*100)+0.5)/100</f>
        <v>0</v>
      </c>
      <c r="M84" s="120">
        <v>0</v>
      </c>
      <c r="N84" s="77">
        <f>INT((M84*Valores!$C$2*100)+0.5)/100</f>
        <v>0</v>
      </c>
      <c r="O84" s="77">
        <f t="shared" si="14"/>
        <v>0</v>
      </c>
      <c r="P84" s="77">
        <f t="shared" si="15"/>
        <v>5924.56</v>
      </c>
      <c r="Q84" s="83">
        <f>Valores!$C$16</f>
        <v>3718.92</v>
      </c>
      <c r="R84" s="83">
        <f>Valores!$D$4</f>
        <v>2683.49</v>
      </c>
      <c r="S84" s="86">
        <f>Valores!$C$26</f>
        <v>2700.67</v>
      </c>
      <c r="T84" s="79">
        <f>Valores!$C$41</f>
        <v>762.4</v>
      </c>
      <c r="U84" s="87">
        <f>Valores!$C$23</f>
        <v>2584.33</v>
      </c>
      <c r="V84" s="77">
        <f t="shared" si="13"/>
        <v>3876.495</v>
      </c>
      <c r="W84" s="77">
        <v>0</v>
      </c>
      <c r="X84" s="77">
        <v>0</v>
      </c>
      <c r="Y84" s="116">
        <v>0</v>
      </c>
      <c r="Z84" s="77">
        <f>Y84*Valores!$C$2</f>
        <v>0</v>
      </c>
      <c r="AA84" s="77">
        <v>0</v>
      </c>
      <c r="AB84" s="89">
        <f>Valores!$C$29</f>
        <v>151.15</v>
      </c>
      <c r="AC84" s="77">
        <f t="shared" si="16"/>
        <v>0</v>
      </c>
      <c r="AD84" s="77">
        <f>Valores!$C$30</f>
        <v>151.15</v>
      </c>
      <c r="AE84" s="116">
        <v>0</v>
      </c>
      <c r="AF84" s="77">
        <f>INT(((AE84*Valores!$C$2)*100)+0.5)/100</f>
        <v>0</v>
      </c>
      <c r="AG84" s="77">
        <f>Valores!$C$58</f>
        <v>307.46</v>
      </c>
      <c r="AH84" s="77">
        <f>Valores!$C$60</f>
        <v>87.85</v>
      </c>
      <c r="AI84" s="77">
        <f>SUM(H84,J84,L84,N84,O84,P84,Q84,R84,S84,T84,V84,W84,X84,Z84,AA84,AB84,AC84,AD84,AF84,AG84,AH84)*Valores!$C$63</f>
        <v>0</v>
      </c>
      <c r="AJ84" s="15">
        <f t="shared" si="17"/>
        <v>31450.865</v>
      </c>
      <c r="AK84" s="78">
        <f>Valores!$C$35</f>
        <v>415.59</v>
      </c>
      <c r="AL84" s="79">
        <f>Valores!$C$7</f>
        <v>204.98</v>
      </c>
      <c r="AM84" s="89">
        <f>Valores!$C$51</f>
        <v>128.84</v>
      </c>
      <c r="AN84" s="79">
        <f>IF($H$4="SI",SUM(AL84+AM84),AL84)*Valores!$C$63</f>
        <v>0</v>
      </c>
      <c r="AO84" s="12">
        <f t="shared" si="21"/>
        <v>749.41</v>
      </c>
      <c r="AP84" s="152">
        <f>AJ84*-Valores!$C$65</f>
        <v>-4088.6124500000005</v>
      </c>
      <c r="AQ84" s="152">
        <f>AJ84*-Valores!$C$66</f>
        <v>-157.25432500000002</v>
      </c>
      <c r="AR84" s="78">
        <f>AJ84*-Valores!$C$67</f>
        <v>-1415.288925</v>
      </c>
      <c r="AS84" s="78">
        <f>AJ84*-Valores!$C$68</f>
        <v>-849.1733550000001</v>
      </c>
      <c r="AT84" s="78">
        <f>AJ84*-Valores!$C$69</f>
        <v>-94.35259500000001</v>
      </c>
      <c r="AU84" s="15">
        <f t="shared" si="18"/>
        <v>26539.1193</v>
      </c>
      <c r="AV84" s="15">
        <f t="shared" si="19"/>
        <v>27010.882275</v>
      </c>
      <c r="AW84" s="78">
        <f>AJ84*Valores!$C$70</f>
        <v>5032.138400000001</v>
      </c>
      <c r="AX84" s="78">
        <f>AJ84*Valores!$C$71</f>
        <v>1415.288925</v>
      </c>
      <c r="AY84" s="78">
        <f>AJ84*Valores!$C$73</f>
        <v>314.50865000000005</v>
      </c>
      <c r="AZ84" s="78">
        <f>AJ84*Valores!$C$74</f>
        <v>1100.780275</v>
      </c>
      <c r="BA84" s="78">
        <f>AJ84*Valores!$C$75</f>
        <v>188.70519000000002</v>
      </c>
      <c r="BB84" s="78">
        <f t="shared" si="22"/>
        <v>1698.3467100000003</v>
      </c>
      <c r="BC84" s="20"/>
      <c r="BD84" s="20">
        <v>27</v>
      </c>
      <c r="BE84" s="9" t="s">
        <v>462</v>
      </c>
    </row>
    <row r="85" spans="1:57" s="9" customFormat="1" ht="11.25" customHeight="1">
      <c r="A85" s="20">
        <v>84</v>
      </c>
      <c r="B85" s="20"/>
      <c r="C85" s="9" t="s">
        <v>152</v>
      </c>
      <c r="E85" s="9">
        <f t="shared" si="20"/>
        <v>28</v>
      </c>
      <c r="F85" s="10" t="s">
        <v>153</v>
      </c>
      <c r="G85" s="123">
        <v>76</v>
      </c>
      <c r="H85" s="7">
        <f>INT((G85*Valores!$C$2*100)+0.5)/100</f>
        <v>455.95</v>
      </c>
      <c r="I85" s="113">
        <v>1872</v>
      </c>
      <c r="J85" s="77">
        <f>INT((I85*Valores!$C$2*100)+0.5)/100</f>
        <v>11230.7</v>
      </c>
      <c r="K85" s="146">
        <v>0</v>
      </c>
      <c r="L85" s="77">
        <f>INT((K85*Valores!$C$2*100)+0.5)/100</f>
        <v>0</v>
      </c>
      <c r="M85" s="120">
        <v>0</v>
      </c>
      <c r="N85" s="77">
        <f>INT((M85*Valores!$C$2*100)+0.5)/100</f>
        <v>0</v>
      </c>
      <c r="O85" s="77">
        <f t="shared" si="14"/>
        <v>0</v>
      </c>
      <c r="P85" s="77">
        <f t="shared" si="15"/>
        <v>6224.525000000001</v>
      </c>
      <c r="Q85" s="83">
        <f>Valores!$C$16</f>
        <v>3718.92</v>
      </c>
      <c r="R85" s="83">
        <f>Valores!$D$4</f>
        <v>2683.49</v>
      </c>
      <c r="S85" s="79">
        <v>0</v>
      </c>
      <c r="T85" s="79">
        <f>Valores!$C$41</f>
        <v>762.4</v>
      </c>
      <c r="U85" s="87">
        <f>Valores!$C$23</f>
        <v>2584.33</v>
      </c>
      <c r="V85" s="77">
        <f t="shared" si="13"/>
        <v>3876.495</v>
      </c>
      <c r="W85" s="77">
        <v>0</v>
      </c>
      <c r="X85" s="77">
        <v>0</v>
      </c>
      <c r="Y85" s="116">
        <v>0</v>
      </c>
      <c r="Z85" s="77">
        <f>Y85*Valores!$C$2</f>
        <v>0</v>
      </c>
      <c r="AA85" s="77">
        <v>0</v>
      </c>
      <c r="AB85" s="89">
        <f>Valores!$C$29</f>
        <v>151.15</v>
      </c>
      <c r="AC85" s="77">
        <f t="shared" si="16"/>
        <v>0</v>
      </c>
      <c r="AD85" s="77">
        <f>Valores!$C$30</f>
        <v>151.15</v>
      </c>
      <c r="AE85" s="116">
        <v>0</v>
      </c>
      <c r="AF85" s="77">
        <f>INT(((AE85*Valores!$C$2)*100)+0.5)/100</f>
        <v>0</v>
      </c>
      <c r="AG85" s="77">
        <f>Valores!$C$58</f>
        <v>307.46</v>
      </c>
      <c r="AH85" s="77">
        <f>Valores!$C$60</f>
        <v>87.85</v>
      </c>
      <c r="AI85" s="77">
        <f>SUM(H85,J85,L85,N85,O85,P85,Q85,R85,S85,T85,V85,W85,X85,Z85,AA85,AB85,AC85,AD85,AF85,AG85,AH85)*Valores!$C$63</f>
        <v>0</v>
      </c>
      <c r="AJ85" s="15">
        <f t="shared" si="17"/>
        <v>29650.09</v>
      </c>
      <c r="AK85" s="78">
        <f>Valores!$C$35</f>
        <v>415.59</v>
      </c>
      <c r="AL85" s="79">
        <f>Valores!$C$7</f>
        <v>204.98</v>
      </c>
      <c r="AM85" s="89">
        <f>Valores!$C$51</f>
        <v>128.84</v>
      </c>
      <c r="AN85" s="79">
        <f>IF($H$4="SI",SUM(AL85+AM85),AL85)*Valores!$C$63</f>
        <v>0</v>
      </c>
      <c r="AO85" s="12">
        <f t="shared" si="21"/>
        <v>749.41</v>
      </c>
      <c r="AP85" s="152">
        <f>AJ85*-Valores!$C$65</f>
        <v>-3854.5117</v>
      </c>
      <c r="AQ85" s="152">
        <f>AJ85*-Valores!$C$66</f>
        <v>-148.25045</v>
      </c>
      <c r="AR85" s="78">
        <f>AJ85*-Valores!$C$67</f>
        <v>-1334.25405</v>
      </c>
      <c r="AS85" s="78">
        <f>AJ85*-Valores!$C$68</f>
        <v>-800.5524300000001</v>
      </c>
      <c r="AT85" s="78">
        <f>AJ85*-Valores!$C$69</f>
        <v>-88.95027</v>
      </c>
      <c r="AU85" s="15">
        <f t="shared" si="18"/>
        <v>25062.4838</v>
      </c>
      <c r="AV85" s="15">
        <f t="shared" si="19"/>
        <v>25507.23515</v>
      </c>
      <c r="AW85" s="78">
        <f>AJ85*Valores!$C$70</f>
        <v>4744.0144</v>
      </c>
      <c r="AX85" s="78">
        <f>AJ85*Valores!$C$71</f>
        <v>1334.25405</v>
      </c>
      <c r="AY85" s="78">
        <f>AJ85*Valores!$C$73</f>
        <v>296.5009</v>
      </c>
      <c r="AZ85" s="78">
        <f>AJ85*Valores!$C$74</f>
        <v>1037.75315</v>
      </c>
      <c r="BA85" s="78">
        <f>AJ85*Valores!$C$75</f>
        <v>177.90054</v>
      </c>
      <c r="BB85" s="78">
        <f t="shared" si="22"/>
        <v>1601.1048600000001</v>
      </c>
      <c r="BC85" s="20"/>
      <c r="BD85" s="20">
        <v>27</v>
      </c>
      <c r="BE85" s="9" t="s">
        <v>462</v>
      </c>
    </row>
    <row r="86" spans="1:57" s="9" customFormat="1" ht="11.25" customHeight="1">
      <c r="A86" s="55">
        <v>85</v>
      </c>
      <c r="B86" s="55" t="s">
        <v>458</v>
      </c>
      <c r="C86" s="52" t="s">
        <v>154</v>
      </c>
      <c r="D86" s="52"/>
      <c r="E86" s="52">
        <f t="shared" si="20"/>
        <v>21</v>
      </c>
      <c r="F86" s="53" t="s">
        <v>155</v>
      </c>
      <c r="G86" s="124">
        <v>169</v>
      </c>
      <c r="H86" s="129">
        <f>INT((G86*Valores!$C$2*100)+0.5)/100</f>
        <v>1013.88</v>
      </c>
      <c r="I86" s="114">
        <f>1997</f>
        <v>1997</v>
      </c>
      <c r="J86" s="80">
        <f>INT((I86*Valores!$C$2*100)+0.5)/100</f>
        <v>11980.61</v>
      </c>
      <c r="K86" s="147">
        <v>0</v>
      </c>
      <c r="L86" s="80">
        <f>INT((K86*Valores!$C$2*100)+0.5)/100</f>
        <v>0</v>
      </c>
      <c r="M86" s="121">
        <v>0</v>
      </c>
      <c r="N86" s="80">
        <f>INT((M86*Valores!$C$2*100)+0.5)/100</f>
        <v>0</v>
      </c>
      <c r="O86" s="80">
        <f t="shared" si="14"/>
        <v>0</v>
      </c>
      <c r="P86" s="80">
        <f t="shared" si="15"/>
        <v>6932.91</v>
      </c>
      <c r="Q86" s="81">
        <f>Valores!$C$16</f>
        <v>3718.92</v>
      </c>
      <c r="R86" s="81">
        <f>Valores!$D$4</f>
        <v>2683.49</v>
      </c>
      <c r="S86" s="85">
        <f>Valores!$C$26</f>
        <v>2700.67</v>
      </c>
      <c r="T86" s="88">
        <f>Valores!$C$42</f>
        <v>871.33</v>
      </c>
      <c r="U86" s="80">
        <f>Valores!$C$23</f>
        <v>2584.33</v>
      </c>
      <c r="V86" s="80">
        <f t="shared" si="13"/>
        <v>3876.495</v>
      </c>
      <c r="W86" s="80">
        <v>0</v>
      </c>
      <c r="X86" s="80">
        <v>0</v>
      </c>
      <c r="Y86" s="115">
        <v>0</v>
      </c>
      <c r="Z86" s="80">
        <f>Y86*Valores!$C$2</f>
        <v>0</v>
      </c>
      <c r="AA86" s="80">
        <v>0</v>
      </c>
      <c r="AB86" s="90">
        <f>Valores!$C$29</f>
        <v>151.15</v>
      </c>
      <c r="AC86" s="80">
        <f t="shared" si="16"/>
        <v>0</v>
      </c>
      <c r="AD86" s="80">
        <f>Valores!$C$30</f>
        <v>151.15</v>
      </c>
      <c r="AE86" s="115">
        <v>0</v>
      </c>
      <c r="AF86" s="80">
        <f>INT(((AE86*Valores!$C$2)*100)+0.5)/100</f>
        <v>0</v>
      </c>
      <c r="AG86" s="80">
        <f>Valores!$C$58</f>
        <v>307.46</v>
      </c>
      <c r="AH86" s="80">
        <f>Valores!$C$60</f>
        <v>87.85</v>
      </c>
      <c r="AI86" s="80">
        <f>SUM(H86,J86,L86,N86,O86,P86,Q86,R86,S86,T86,V86,W86,X86,Z86,AA86,AB86,AC86,AD86,AF86,AG86,AH86)*Valores!$C$63</f>
        <v>0</v>
      </c>
      <c r="AJ86" s="54">
        <f t="shared" si="17"/>
        <v>34475.915</v>
      </c>
      <c r="AK86" s="81">
        <f>Valores!$C$35</f>
        <v>415.59</v>
      </c>
      <c r="AL86" s="82">
        <f>Valores!$C$8</f>
        <v>234.26</v>
      </c>
      <c r="AM86" s="90">
        <f>Valores!$C$51</f>
        <v>128.84</v>
      </c>
      <c r="AN86" s="82">
        <f>IF($H$4="SI",SUM(AL86+AM86),AL86)*Valores!$C$63</f>
        <v>0</v>
      </c>
      <c r="AO86" s="185">
        <f t="shared" si="21"/>
        <v>778.6899999999999</v>
      </c>
      <c r="AP86" s="153">
        <f>AJ86*-Valores!$C$65</f>
        <v>-4481.86895</v>
      </c>
      <c r="AQ86" s="153">
        <f>AJ86*-Valores!$C$66</f>
        <v>-172.37957500000002</v>
      </c>
      <c r="AR86" s="81">
        <f>AJ86*-Valores!$C$67</f>
        <v>-1551.416175</v>
      </c>
      <c r="AS86" s="81">
        <f>AJ86*-Valores!$C$68</f>
        <v>-930.8497050000001</v>
      </c>
      <c r="AT86" s="81">
        <f>AJ86*-Valores!$C$69</f>
        <v>-103.427745</v>
      </c>
      <c r="AU86" s="54">
        <f t="shared" si="18"/>
        <v>29048.940300000006</v>
      </c>
      <c r="AV86" s="54">
        <f t="shared" si="19"/>
        <v>29566.079025000003</v>
      </c>
      <c r="AW86" s="81">
        <f>AJ86*Valores!$C$70</f>
        <v>5516.1464000000005</v>
      </c>
      <c r="AX86" s="81">
        <f>AJ86*Valores!$C$71</f>
        <v>1551.416175</v>
      </c>
      <c r="AY86" s="81">
        <f>AJ86*Valores!$C$73</f>
        <v>344.75915000000003</v>
      </c>
      <c r="AZ86" s="81">
        <f>AJ86*Valores!$C$74</f>
        <v>1206.6570250000002</v>
      </c>
      <c r="BA86" s="81">
        <f>AJ86*Valores!$C$75</f>
        <v>206.85549</v>
      </c>
      <c r="BB86" s="81">
        <f t="shared" si="22"/>
        <v>1861.6994100000002</v>
      </c>
      <c r="BC86" s="55"/>
      <c r="BD86" s="55">
        <v>25</v>
      </c>
      <c r="BE86" s="52" t="s">
        <v>461</v>
      </c>
    </row>
    <row r="87" spans="1:57" s="9" customFormat="1" ht="11.25" customHeight="1">
      <c r="A87" s="20">
        <v>86</v>
      </c>
      <c r="B87" s="20"/>
      <c r="C87" s="9" t="s">
        <v>156</v>
      </c>
      <c r="E87" s="9">
        <f t="shared" si="20"/>
        <v>28</v>
      </c>
      <c r="F87" s="10" t="s">
        <v>157</v>
      </c>
      <c r="G87" s="123">
        <v>218</v>
      </c>
      <c r="H87" s="7">
        <f>INT((G87*Valores!$C$2*100)+0.5)/100</f>
        <v>1307.85</v>
      </c>
      <c r="I87" s="113">
        <f>1997</f>
        <v>1997</v>
      </c>
      <c r="J87" s="77">
        <f>INT((I87*Valores!$C$2*100)+0.5)/100</f>
        <v>11980.61</v>
      </c>
      <c r="K87" s="146">
        <v>0</v>
      </c>
      <c r="L87" s="77">
        <f>INT((K87*Valores!$C$2*100)+0.5)/100</f>
        <v>0</v>
      </c>
      <c r="M87" s="120">
        <v>0</v>
      </c>
      <c r="N87" s="77">
        <f>INT((M87*Valores!$C$2*100)+0.5)/100</f>
        <v>0</v>
      </c>
      <c r="O87" s="77">
        <f t="shared" si="14"/>
        <v>0</v>
      </c>
      <c r="P87" s="77">
        <f t="shared" si="15"/>
        <v>7079.895</v>
      </c>
      <c r="Q87" s="78">
        <f>Valores!$C$16</f>
        <v>3718.92</v>
      </c>
      <c r="R87" s="78">
        <f>Valores!$D$4</f>
        <v>2683.49</v>
      </c>
      <c r="S87" s="61">
        <f>Valores!$C$26</f>
        <v>2700.67</v>
      </c>
      <c r="T87" s="87">
        <f>Valores!$C$42</f>
        <v>871.33</v>
      </c>
      <c r="U87" s="77">
        <f>Valores!$C$23</f>
        <v>2584.33</v>
      </c>
      <c r="V87" s="77">
        <f t="shared" si="13"/>
        <v>3876.495</v>
      </c>
      <c r="W87" s="77">
        <v>0</v>
      </c>
      <c r="X87" s="77">
        <v>0</v>
      </c>
      <c r="Y87" s="116">
        <v>0</v>
      </c>
      <c r="Z87" s="77">
        <f>Y87*Valores!$C$2</f>
        <v>0</v>
      </c>
      <c r="AA87" s="77">
        <v>0</v>
      </c>
      <c r="AB87" s="89">
        <f>Valores!$C$29</f>
        <v>151.15</v>
      </c>
      <c r="AC87" s="77">
        <f t="shared" si="16"/>
        <v>0</v>
      </c>
      <c r="AD87" s="77">
        <f>Valores!$C$30</f>
        <v>151.15</v>
      </c>
      <c r="AE87" s="116">
        <v>0</v>
      </c>
      <c r="AF87" s="77">
        <f>INT(((AE87*Valores!$C$2)*100)+0.5)/100</f>
        <v>0</v>
      </c>
      <c r="AG87" s="77">
        <f>Valores!$C$58</f>
        <v>307.46</v>
      </c>
      <c r="AH87" s="77">
        <f>Valores!$C$60</f>
        <v>87.85</v>
      </c>
      <c r="AI87" s="77">
        <f>SUM(H87,J87,L87,N87,O87,P87,Q87,R87,S87,T87,V87,W87,X87,Z87,AA87,AB87,AC87,AD87,AF87,AG87,AH87)*Valores!$C$63</f>
        <v>0</v>
      </c>
      <c r="AJ87" s="15">
        <f t="shared" si="17"/>
        <v>34916.87</v>
      </c>
      <c r="AK87" s="78">
        <f>Valores!$C$35</f>
        <v>415.59</v>
      </c>
      <c r="AL87" s="79">
        <f>Valores!$C$8</f>
        <v>234.26</v>
      </c>
      <c r="AM87" s="89">
        <f>Valores!$C$51</f>
        <v>128.84</v>
      </c>
      <c r="AN87" s="79">
        <f>IF($H$4="SI",SUM(AL87+AM87),AL87)*Valores!$C$63</f>
        <v>0</v>
      </c>
      <c r="AO87" s="12">
        <f t="shared" si="21"/>
        <v>778.6899999999999</v>
      </c>
      <c r="AP87" s="152">
        <f>AJ87*-Valores!$C$65</f>
        <v>-4539.1931</v>
      </c>
      <c r="AQ87" s="152">
        <f>AJ87*-Valores!$C$66</f>
        <v>-174.58435000000003</v>
      </c>
      <c r="AR87" s="78">
        <f>AJ87*-Valores!$C$67</f>
        <v>-1571.25915</v>
      </c>
      <c r="AS87" s="78">
        <f>AJ87*-Valores!$C$68</f>
        <v>-942.7554900000002</v>
      </c>
      <c r="AT87" s="78">
        <f>AJ87*-Valores!$C$69</f>
        <v>-104.75061000000001</v>
      </c>
      <c r="AU87" s="15">
        <f t="shared" si="18"/>
        <v>29410.52340000001</v>
      </c>
      <c r="AV87" s="15">
        <f t="shared" si="19"/>
        <v>29934.276450000005</v>
      </c>
      <c r="AW87" s="78">
        <f>AJ87*Valores!$C$70</f>
        <v>5586.699200000001</v>
      </c>
      <c r="AX87" s="78">
        <f>AJ87*Valores!$C$71</f>
        <v>1571.25915</v>
      </c>
      <c r="AY87" s="78">
        <f>AJ87*Valores!$C$73</f>
        <v>349.16870000000006</v>
      </c>
      <c r="AZ87" s="78">
        <f>AJ87*Valores!$C$74</f>
        <v>1222.0904500000001</v>
      </c>
      <c r="BA87" s="78">
        <f>AJ87*Valores!$C$75</f>
        <v>209.50122000000002</v>
      </c>
      <c r="BB87" s="78">
        <f t="shared" si="22"/>
        <v>1885.5109800000002</v>
      </c>
      <c r="BC87" s="20"/>
      <c r="BD87" s="20">
        <v>25</v>
      </c>
      <c r="BE87" s="9" t="s">
        <v>462</v>
      </c>
    </row>
    <row r="88" spans="1:57" s="9" customFormat="1" ht="11.25" customHeight="1">
      <c r="A88" s="20">
        <v>87</v>
      </c>
      <c r="B88" s="20"/>
      <c r="C88" s="9" t="s">
        <v>156</v>
      </c>
      <c r="E88" s="9">
        <f t="shared" si="20"/>
        <v>41</v>
      </c>
      <c r="F88" s="10" t="s">
        <v>510</v>
      </c>
      <c r="G88" s="123">
        <v>218</v>
      </c>
      <c r="H88" s="7">
        <f>INT((G88*Valores!$C$2*100)+0.5)/100</f>
        <v>1307.85</v>
      </c>
      <c r="I88" s="113">
        <f>1997</f>
        <v>1997</v>
      </c>
      <c r="J88" s="77">
        <f>INT((I88*Valores!$C$2*100)+0.5)/100</f>
        <v>11980.61</v>
      </c>
      <c r="K88" s="146">
        <v>0</v>
      </c>
      <c r="L88" s="77">
        <f>INT((K88*Valores!$C$2*100)+0.5)/100</f>
        <v>0</v>
      </c>
      <c r="M88" s="120">
        <v>0</v>
      </c>
      <c r="N88" s="77">
        <f>INT((M88*Valores!$C$2*100)+0.5)/100</f>
        <v>0</v>
      </c>
      <c r="O88" s="77">
        <f t="shared" si="14"/>
        <v>0</v>
      </c>
      <c r="P88" s="77">
        <f t="shared" si="15"/>
        <v>7079.895</v>
      </c>
      <c r="Q88" s="78">
        <f>Valores!$C$16</f>
        <v>3718.92</v>
      </c>
      <c r="R88" s="78">
        <f>Valores!$D$4</f>
        <v>2683.49</v>
      </c>
      <c r="S88" s="61">
        <f>Valores!$C$26</f>
        <v>2700.67</v>
      </c>
      <c r="T88" s="87">
        <f>Valores!$C$42</f>
        <v>871.33</v>
      </c>
      <c r="U88" s="77">
        <f>Valores!$C$23</f>
        <v>2584.33</v>
      </c>
      <c r="V88" s="77">
        <f>U88*(1+$J$2)</f>
        <v>3876.495</v>
      </c>
      <c r="W88" s="77">
        <v>0</v>
      </c>
      <c r="X88" s="77">
        <v>0</v>
      </c>
      <c r="Y88" s="116">
        <v>0</v>
      </c>
      <c r="Z88" s="77">
        <f>Y88*Valores!$C$2</f>
        <v>0</v>
      </c>
      <c r="AA88" s="77">
        <v>0</v>
      </c>
      <c r="AB88" s="89">
        <f>Valores!$C$29</f>
        <v>151.15</v>
      </c>
      <c r="AC88" s="77">
        <f t="shared" si="16"/>
        <v>0</v>
      </c>
      <c r="AD88" s="77">
        <f>Valores!$C$30</f>
        <v>151.15</v>
      </c>
      <c r="AE88" s="116">
        <v>19</v>
      </c>
      <c r="AF88" s="77">
        <f>INT(((AE88*Valores!$C$2)*100)+0.5)/100</f>
        <v>113.99</v>
      </c>
      <c r="AG88" s="77">
        <f>Valores!$C$58</f>
        <v>307.46</v>
      </c>
      <c r="AH88" s="77">
        <f>Valores!$C$60</f>
        <v>87.85</v>
      </c>
      <c r="AI88" s="77">
        <f>SUM(H88,J88,L88,N88,O88,P88,Q88,R88,S88,T88,V88,W88,X88,Z88,AA88,AB88,AC88,AD88,AF88,AG88,AH88)*Valores!$C$63</f>
        <v>0</v>
      </c>
      <c r="AJ88" s="15">
        <f t="shared" si="17"/>
        <v>35030.86</v>
      </c>
      <c r="AK88" s="78">
        <f>Valores!$C$35</f>
        <v>415.59</v>
      </c>
      <c r="AL88" s="79">
        <f>Valores!$C$8</f>
        <v>234.26</v>
      </c>
      <c r="AM88" s="89">
        <f>Valores!$C$51</f>
        <v>128.84</v>
      </c>
      <c r="AN88" s="79">
        <f>IF($H$4="SI",SUM(AL88+AM88),AL88)*Valores!$C$63</f>
        <v>0</v>
      </c>
      <c r="AO88" s="12">
        <f t="shared" si="21"/>
        <v>778.6899999999999</v>
      </c>
      <c r="AP88" s="152">
        <f>AJ88*-Valores!$C$65</f>
        <v>-4554.0118</v>
      </c>
      <c r="AQ88" s="152">
        <f>AJ88*-Valores!$C$66</f>
        <v>-175.1543</v>
      </c>
      <c r="AR88" s="78">
        <f>AJ88*-Valores!$C$67</f>
        <v>-1576.3887</v>
      </c>
      <c r="AS88" s="78">
        <f>AJ88*-Valores!$C$68</f>
        <v>-945.8332200000001</v>
      </c>
      <c r="AT88" s="78">
        <f>AJ88*-Valores!$C$69</f>
        <v>-105.09258</v>
      </c>
      <c r="AU88" s="15">
        <f t="shared" si="18"/>
        <v>29503.995199999998</v>
      </c>
      <c r="AV88" s="15">
        <f t="shared" si="19"/>
        <v>30029.4581</v>
      </c>
      <c r="AW88" s="78">
        <f>AJ88*Valores!$C$70</f>
        <v>5604.9376</v>
      </c>
      <c r="AX88" s="78">
        <f>AJ88*Valores!$C$71</f>
        <v>1576.3887</v>
      </c>
      <c r="AY88" s="78">
        <f>AJ88*Valores!$C$73</f>
        <v>350.3086</v>
      </c>
      <c r="AZ88" s="78">
        <f>AJ88*Valores!$C$74</f>
        <v>1226.0801000000001</v>
      </c>
      <c r="BA88" s="78">
        <f>AJ88*Valores!$C$75</f>
        <v>210.18516</v>
      </c>
      <c r="BB88" s="78">
        <f t="shared" si="22"/>
        <v>1891.6664400000002</v>
      </c>
      <c r="BC88" s="20"/>
      <c r="BD88" s="20">
        <v>25</v>
      </c>
      <c r="BE88" s="9" t="s">
        <v>462</v>
      </c>
    </row>
    <row r="89" spans="1:57" s="9" customFormat="1" ht="11.25" customHeight="1">
      <c r="A89" s="20">
        <v>88</v>
      </c>
      <c r="B89" s="20"/>
      <c r="C89" s="9" t="s">
        <v>158</v>
      </c>
      <c r="E89" s="9">
        <f t="shared" si="20"/>
        <v>33</v>
      </c>
      <c r="F89" s="10" t="s">
        <v>159</v>
      </c>
      <c r="G89" s="123">
        <f>75+143</f>
        <v>218</v>
      </c>
      <c r="H89" s="7">
        <f>INT((G89*Valores!$C$2*100)+0.5)/100</f>
        <v>1307.85</v>
      </c>
      <c r="I89" s="113">
        <v>1997</v>
      </c>
      <c r="J89" s="77">
        <f>INT((I89*Valores!$C$2*100)+0.5)/100</f>
        <v>11980.61</v>
      </c>
      <c r="K89" s="146">
        <v>0</v>
      </c>
      <c r="L89" s="77">
        <f>INT((K89*Valores!$C$2*100)+0.5)/100</f>
        <v>0</v>
      </c>
      <c r="M89" s="120">
        <v>0</v>
      </c>
      <c r="N89" s="77">
        <f>INT((M89*Valores!$C$2*100)+0.5)/100</f>
        <v>0</v>
      </c>
      <c r="O89" s="77">
        <f t="shared" si="14"/>
        <v>0</v>
      </c>
      <c r="P89" s="77">
        <f t="shared" si="15"/>
        <v>6862.062500000001</v>
      </c>
      <c r="Q89" s="78">
        <f>Valores!$C$16</f>
        <v>3718.92</v>
      </c>
      <c r="R89" s="78">
        <f>Valores!$D$4</f>
        <v>2683.49</v>
      </c>
      <c r="S89" s="77">
        <f>Valores!$C$26</f>
        <v>2700.67</v>
      </c>
      <c r="T89" s="79">
        <f>Valores!$C$42/2</f>
        <v>435.665</v>
      </c>
      <c r="U89" s="77">
        <f>Valores!$C$23</f>
        <v>2584.33</v>
      </c>
      <c r="V89" s="77">
        <f t="shared" si="13"/>
        <v>3876.495</v>
      </c>
      <c r="W89" s="77">
        <v>0</v>
      </c>
      <c r="X89" s="77">
        <v>0</v>
      </c>
      <c r="Y89" s="116">
        <v>0</v>
      </c>
      <c r="Z89" s="77">
        <f>Y89*Valores!$C$2</f>
        <v>0</v>
      </c>
      <c r="AA89" s="77">
        <v>0</v>
      </c>
      <c r="AB89" s="89">
        <f>Valores!$C$29</f>
        <v>151.15</v>
      </c>
      <c r="AC89" s="77">
        <f t="shared" si="16"/>
        <v>0</v>
      </c>
      <c r="AD89" s="77">
        <f>Valores!$C$30</f>
        <v>151.15</v>
      </c>
      <c r="AE89" s="116">
        <v>0</v>
      </c>
      <c r="AF89" s="77">
        <f>INT(((AE89*Valores!$C$2)*100)+0.5)/100</f>
        <v>0</v>
      </c>
      <c r="AG89" s="77">
        <f>Valores!$C$58</f>
        <v>307.46</v>
      </c>
      <c r="AH89" s="77">
        <f>Valores!$C$60</f>
        <v>87.85</v>
      </c>
      <c r="AI89" s="77">
        <f>SUM(H89,J89,L89,N89,O89,P89,Q89,R89,S89,T89,V89,W89,X89,Z89,AA89,AB89,AC89,AD89,AF89,AG89,AH89)*Valores!$C$63</f>
        <v>0</v>
      </c>
      <c r="AJ89" s="15">
        <f t="shared" si="17"/>
        <v>34263.372500000005</v>
      </c>
      <c r="AK89" s="78">
        <f>Valores!$C$35</f>
        <v>415.59</v>
      </c>
      <c r="AL89" s="79">
        <f>Valores!$C$8/2</f>
        <v>117.13</v>
      </c>
      <c r="AM89" s="89">
        <f>Valores!$C$51</f>
        <v>128.84</v>
      </c>
      <c r="AN89" s="79">
        <f>IF($H$4="SI",SUM(AL89+AM89),AL89)*Valores!$C$63</f>
        <v>0</v>
      </c>
      <c r="AO89" s="12">
        <f t="shared" si="21"/>
        <v>661.5600000000001</v>
      </c>
      <c r="AP89" s="152">
        <f>AJ89*-Valores!$C$65</f>
        <v>-4454.2384250000005</v>
      </c>
      <c r="AQ89" s="152">
        <f>AJ89*-Valores!$C$66</f>
        <v>-171.31686250000004</v>
      </c>
      <c r="AR89" s="78">
        <f>AJ89*-Valores!$C$67</f>
        <v>-1541.8517625000002</v>
      </c>
      <c r="AS89" s="78">
        <f>AJ89*-Valores!$C$68</f>
        <v>-925.1110575000002</v>
      </c>
      <c r="AT89" s="78">
        <f>AJ89*-Valores!$C$69</f>
        <v>-102.79011750000002</v>
      </c>
      <c r="AU89" s="15">
        <f t="shared" si="18"/>
        <v>28757.525449999997</v>
      </c>
      <c r="AV89" s="15">
        <f t="shared" si="19"/>
        <v>29271.4760375</v>
      </c>
      <c r="AW89" s="78">
        <f>AJ89*Valores!$C$70</f>
        <v>5482.139600000001</v>
      </c>
      <c r="AX89" s="78">
        <f>AJ89*Valores!$C$71</f>
        <v>1541.8517625000002</v>
      </c>
      <c r="AY89" s="78">
        <f>AJ89*Valores!$C$73</f>
        <v>342.6337250000001</v>
      </c>
      <c r="AZ89" s="78">
        <f>AJ89*Valores!$C$74</f>
        <v>1199.2180375000003</v>
      </c>
      <c r="BA89" s="78">
        <f>AJ89*Valores!$C$75</f>
        <v>205.58023500000004</v>
      </c>
      <c r="BB89" s="78">
        <f t="shared" si="22"/>
        <v>1850.2221150000003</v>
      </c>
      <c r="BC89" s="20"/>
      <c r="BD89" s="20">
        <v>25</v>
      </c>
      <c r="BE89" s="9" t="s">
        <v>461</v>
      </c>
    </row>
    <row r="90" spans="1:57" s="9" customFormat="1" ht="11.25" customHeight="1">
      <c r="A90" s="20">
        <v>89</v>
      </c>
      <c r="B90" s="20"/>
      <c r="C90" s="9" t="s">
        <v>160</v>
      </c>
      <c r="E90" s="9">
        <f t="shared" si="20"/>
        <v>28</v>
      </c>
      <c r="F90" s="10" t="s">
        <v>161</v>
      </c>
      <c r="G90" s="123">
        <v>187</v>
      </c>
      <c r="H90" s="7">
        <f>INT((G90*Valores!$C$2*100)+0.5)/100</f>
        <v>1121.87</v>
      </c>
      <c r="I90" s="113">
        <v>1704</v>
      </c>
      <c r="J90" s="77">
        <f>INT((I90*Valores!$C$2*100)+0.5)/100</f>
        <v>10222.81</v>
      </c>
      <c r="K90" s="146">
        <v>0</v>
      </c>
      <c r="L90" s="77">
        <f>INT((K90*Valores!$C$2*100)+0.5)/100</f>
        <v>0</v>
      </c>
      <c r="M90" s="120">
        <v>0</v>
      </c>
      <c r="N90" s="77">
        <f>INT((M90*Valores!$C$2*100)+0.5)/100</f>
        <v>0</v>
      </c>
      <c r="O90" s="77">
        <f t="shared" si="14"/>
        <v>0</v>
      </c>
      <c r="P90" s="77">
        <f t="shared" si="15"/>
        <v>6108.005</v>
      </c>
      <c r="Q90" s="78">
        <f>Valores!$C$16</f>
        <v>3718.92</v>
      </c>
      <c r="R90" s="78">
        <f>Valores!$D$4</f>
        <v>2683.49</v>
      </c>
      <c r="S90" s="77">
        <f>Valores!$C$26</f>
        <v>2700.67</v>
      </c>
      <c r="T90" s="79">
        <f>Valores!$C$42</f>
        <v>871.33</v>
      </c>
      <c r="U90" s="77">
        <f>Valores!$C$23</f>
        <v>2584.33</v>
      </c>
      <c r="V90" s="77">
        <f t="shared" si="13"/>
        <v>3876.495</v>
      </c>
      <c r="W90" s="77">
        <v>0</v>
      </c>
      <c r="X90" s="77">
        <v>0</v>
      </c>
      <c r="Y90" s="116">
        <v>0</v>
      </c>
      <c r="Z90" s="77">
        <f>Y90*Valores!$C$2</f>
        <v>0</v>
      </c>
      <c r="AA90" s="77">
        <v>0</v>
      </c>
      <c r="AB90" s="89">
        <f>Valores!$C$29</f>
        <v>151.15</v>
      </c>
      <c r="AC90" s="77">
        <f t="shared" si="16"/>
        <v>0</v>
      </c>
      <c r="AD90" s="77">
        <f>Valores!$C$30</f>
        <v>151.15</v>
      </c>
      <c r="AE90" s="116">
        <v>0</v>
      </c>
      <c r="AF90" s="77">
        <f>INT(((AE90*Valores!$C$2)*100)+0.5)/100</f>
        <v>0</v>
      </c>
      <c r="AG90" s="77">
        <f>Valores!$C$58</f>
        <v>307.46</v>
      </c>
      <c r="AH90" s="77">
        <f>Valores!$C$60</f>
        <v>87.85</v>
      </c>
      <c r="AI90" s="77">
        <f>SUM(H90,J90,L90,N90,O90,P90,Q90,R90,S90,T90,V90,W90,X90,Z90,AA90,AB90,AC90,AD90,AF90,AG90,AH90)*Valores!$C$63</f>
        <v>0</v>
      </c>
      <c r="AJ90" s="15">
        <f t="shared" si="17"/>
        <v>32001.2</v>
      </c>
      <c r="AK90" s="78">
        <f>Valores!$C$35</f>
        <v>415.59</v>
      </c>
      <c r="AL90" s="79">
        <f>Valores!$C$8</f>
        <v>234.26</v>
      </c>
      <c r="AM90" s="89">
        <f>Valores!$C$51</f>
        <v>128.84</v>
      </c>
      <c r="AN90" s="79">
        <f>IF($H$4="SI",SUM(AL90+AM90),AL90)*Valores!$C$63</f>
        <v>0</v>
      </c>
      <c r="AO90" s="12">
        <f t="shared" si="21"/>
        <v>778.6899999999999</v>
      </c>
      <c r="AP90" s="152">
        <f>AJ90*-Valores!$C$65</f>
        <v>-4160.156</v>
      </c>
      <c r="AQ90" s="152">
        <f>AJ90*-Valores!$C$66</f>
        <v>-160.006</v>
      </c>
      <c r="AR90" s="78">
        <f>AJ90*-Valores!$C$67</f>
        <v>-1440.054</v>
      </c>
      <c r="AS90" s="78">
        <f>AJ90*-Valores!$C$68</f>
        <v>-864.0324000000002</v>
      </c>
      <c r="AT90" s="78">
        <f>AJ90*-Valores!$C$69</f>
        <v>-96.0036</v>
      </c>
      <c r="AU90" s="15">
        <f t="shared" si="18"/>
        <v>27019.674</v>
      </c>
      <c r="AV90" s="15">
        <f t="shared" si="19"/>
        <v>27499.692</v>
      </c>
      <c r="AW90" s="78">
        <f>AJ90*Valores!$C$70</f>
        <v>5120.192</v>
      </c>
      <c r="AX90" s="78">
        <f>AJ90*Valores!$C$71</f>
        <v>1440.054</v>
      </c>
      <c r="AY90" s="78">
        <f>AJ90*Valores!$C$73</f>
        <v>320.012</v>
      </c>
      <c r="AZ90" s="78">
        <f>AJ90*Valores!$C$74</f>
        <v>1120.0420000000001</v>
      </c>
      <c r="BA90" s="78">
        <f>AJ90*Valores!$C$75</f>
        <v>192.0072</v>
      </c>
      <c r="BB90" s="78">
        <f t="shared" si="22"/>
        <v>1728.0648</v>
      </c>
      <c r="BC90" s="20"/>
      <c r="BD90" s="20">
        <v>25</v>
      </c>
      <c r="BE90" s="9" t="s">
        <v>462</v>
      </c>
    </row>
    <row r="91" spans="1:57" s="9" customFormat="1" ht="11.25" customHeight="1">
      <c r="A91" s="55">
        <v>90</v>
      </c>
      <c r="B91" s="55" t="s">
        <v>458</v>
      </c>
      <c r="C91" s="52" t="s">
        <v>160</v>
      </c>
      <c r="D91" s="52"/>
      <c r="E91" s="52">
        <f t="shared" si="20"/>
        <v>41</v>
      </c>
      <c r="F91" s="53" t="s">
        <v>511</v>
      </c>
      <c r="G91" s="124">
        <v>187</v>
      </c>
      <c r="H91" s="129">
        <f>INT((G91*Valores!$C$2*100)+0.5)/100</f>
        <v>1121.87</v>
      </c>
      <c r="I91" s="114">
        <v>1704</v>
      </c>
      <c r="J91" s="80">
        <f>INT((I91*Valores!$C$2*100)+0.5)/100</f>
        <v>10222.81</v>
      </c>
      <c r="K91" s="147">
        <v>0</v>
      </c>
      <c r="L91" s="80">
        <f>INT((K91*Valores!$C$2*100)+0.5)/100</f>
        <v>0</v>
      </c>
      <c r="M91" s="121">
        <v>0</v>
      </c>
      <c r="N91" s="80">
        <f>INT((M91*Valores!$C$2*100)+0.5)/100</f>
        <v>0</v>
      </c>
      <c r="O91" s="80">
        <f t="shared" si="14"/>
        <v>0</v>
      </c>
      <c r="P91" s="80">
        <f t="shared" si="15"/>
        <v>6108.005</v>
      </c>
      <c r="Q91" s="81">
        <f>Valores!$C$16</f>
        <v>3718.92</v>
      </c>
      <c r="R91" s="81">
        <f>Valores!$D$4</f>
        <v>2683.49</v>
      </c>
      <c r="S91" s="80">
        <f>Valores!$C$26</f>
        <v>2700.67</v>
      </c>
      <c r="T91" s="82">
        <f>Valores!$C$42</f>
        <v>871.33</v>
      </c>
      <c r="U91" s="80">
        <f>Valores!$C$23</f>
        <v>2584.33</v>
      </c>
      <c r="V91" s="80">
        <f>U91*(1+$J$2)</f>
        <v>3876.495</v>
      </c>
      <c r="W91" s="80">
        <v>0</v>
      </c>
      <c r="X91" s="80">
        <v>0</v>
      </c>
      <c r="Y91" s="115">
        <v>0</v>
      </c>
      <c r="Z91" s="80">
        <f>Y91*Valores!$C$2</f>
        <v>0</v>
      </c>
      <c r="AA91" s="80">
        <v>0</v>
      </c>
      <c r="AB91" s="90">
        <f>Valores!$C$29</f>
        <v>151.15</v>
      </c>
      <c r="AC91" s="80">
        <f t="shared" si="16"/>
        <v>0</v>
      </c>
      <c r="AD91" s="80">
        <f>Valores!$C$30</f>
        <v>151.15</v>
      </c>
      <c r="AE91" s="115">
        <v>19</v>
      </c>
      <c r="AF91" s="80">
        <f>INT(((AE91*Valores!$C$2)*100)+0.5)/100</f>
        <v>113.99</v>
      </c>
      <c r="AG91" s="80">
        <f>Valores!$C$58</f>
        <v>307.46</v>
      </c>
      <c r="AH91" s="80">
        <f>Valores!$C$60</f>
        <v>87.85</v>
      </c>
      <c r="AI91" s="80">
        <f>SUM(H91,J91,L91,N91,O91,P91,Q91,R91,S91,T91,V91,W91,X91,Z91,AA91,AB91,AC91,AD91,AF91,AG91,AH91)*Valores!$C$63</f>
        <v>0</v>
      </c>
      <c r="AJ91" s="54">
        <f t="shared" si="17"/>
        <v>32115.190000000002</v>
      </c>
      <c r="AK91" s="81">
        <f>Valores!$C$35</f>
        <v>415.59</v>
      </c>
      <c r="AL91" s="82">
        <f>Valores!$C$8</f>
        <v>234.26</v>
      </c>
      <c r="AM91" s="89">
        <f>Valores!$C$51</f>
        <v>128.84</v>
      </c>
      <c r="AN91" s="82">
        <f>IF($H$4="SI",SUM(AL91+AM91),AL91)*Valores!$C$63</f>
        <v>0</v>
      </c>
      <c r="AO91" s="185">
        <f t="shared" si="21"/>
        <v>778.6899999999999</v>
      </c>
      <c r="AP91" s="153">
        <f>AJ91*-Valores!$C$65</f>
        <v>-4174.974700000001</v>
      </c>
      <c r="AQ91" s="153">
        <f>AJ91*-Valores!$C$66</f>
        <v>-160.57595</v>
      </c>
      <c r="AR91" s="81">
        <f>AJ91*-Valores!$C$67</f>
        <v>-1445.18355</v>
      </c>
      <c r="AS91" s="81">
        <f>AJ91*-Valores!$C$68</f>
        <v>-867.1101300000001</v>
      </c>
      <c r="AT91" s="81">
        <f>AJ91*-Valores!$C$69</f>
        <v>-96.34557000000001</v>
      </c>
      <c r="AU91" s="54">
        <f t="shared" si="18"/>
        <v>27113.145800000006</v>
      </c>
      <c r="AV91" s="54">
        <f t="shared" si="19"/>
        <v>27594.873650000005</v>
      </c>
      <c r="AW91" s="81">
        <f>AJ91*Valores!$C$70</f>
        <v>5138.4304</v>
      </c>
      <c r="AX91" s="81">
        <f>AJ91*Valores!$C$71</f>
        <v>1445.18355</v>
      </c>
      <c r="AY91" s="81">
        <f>AJ91*Valores!$C$73</f>
        <v>321.1519</v>
      </c>
      <c r="AZ91" s="81">
        <f>AJ91*Valores!$C$74</f>
        <v>1124.0316500000001</v>
      </c>
      <c r="BA91" s="81">
        <f>AJ91*Valores!$C$75</f>
        <v>192.69114000000002</v>
      </c>
      <c r="BB91" s="81">
        <f t="shared" si="22"/>
        <v>1734.22026</v>
      </c>
      <c r="BC91" s="55"/>
      <c r="BD91" s="55">
        <v>25</v>
      </c>
      <c r="BE91" s="52" t="s">
        <v>462</v>
      </c>
    </row>
    <row r="92" spans="1:57" s="9" customFormat="1" ht="11.25" customHeight="1">
      <c r="A92" s="20">
        <v>91</v>
      </c>
      <c r="B92" s="20"/>
      <c r="C92" s="9" t="s">
        <v>162</v>
      </c>
      <c r="E92" s="9">
        <f t="shared" si="20"/>
        <v>28</v>
      </c>
      <c r="F92" s="10" t="s">
        <v>163</v>
      </c>
      <c r="G92" s="123">
        <v>161</v>
      </c>
      <c r="H92" s="7">
        <f>INT((G92*Valores!$C$2*100)+0.5)/100</f>
        <v>965.89</v>
      </c>
      <c r="I92" s="113">
        <f>1480</f>
        <v>1480</v>
      </c>
      <c r="J92" s="77">
        <f>INT((I92*Valores!$C$2*100)+0.5)/100</f>
        <v>8878.97</v>
      </c>
      <c r="K92" s="146">
        <v>0</v>
      </c>
      <c r="L92" s="77">
        <f>INT((K92*Valores!$C$2*100)+0.5)/100</f>
        <v>0</v>
      </c>
      <c r="M92" s="120">
        <v>0</v>
      </c>
      <c r="N92" s="77">
        <f>INT((M92*Valores!$C$2*100)+0.5)/100</f>
        <v>0</v>
      </c>
      <c r="O92" s="77">
        <f t="shared" si="14"/>
        <v>0</v>
      </c>
      <c r="P92" s="77">
        <f t="shared" si="15"/>
        <v>5358.094999999999</v>
      </c>
      <c r="Q92" s="78">
        <f>Valores!$C$16</f>
        <v>3718.92</v>
      </c>
      <c r="R92" s="78">
        <f>Valores!$D$4</f>
        <v>2683.49</v>
      </c>
      <c r="S92" s="61">
        <f>Valores!$C$26</f>
        <v>2700.67</v>
      </c>
      <c r="T92" s="87">
        <f>Valores!$C$42</f>
        <v>871.33</v>
      </c>
      <c r="U92" s="77">
        <f>Valores!$C$23</f>
        <v>2584.33</v>
      </c>
      <c r="V92" s="77">
        <f t="shared" si="13"/>
        <v>3876.495</v>
      </c>
      <c r="W92" s="77">
        <v>0</v>
      </c>
      <c r="X92" s="77">
        <v>0</v>
      </c>
      <c r="Y92" s="116">
        <v>0</v>
      </c>
      <c r="Z92" s="77">
        <f>Y92*Valores!$C$2</f>
        <v>0</v>
      </c>
      <c r="AA92" s="77">
        <v>0</v>
      </c>
      <c r="AB92" s="89">
        <f>Valores!$C$29</f>
        <v>151.15</v>
      </c>
      <c r="AC92" s="77">
        <f t="shared" si="16"/>
        <v>0</v>
      </c>
      <c r="AD92" s="77">
        <f>Valores!$C$30</f>
        <v>151.15</v>
      </c>
      <c r="AE92" s="116">
        <v>0</v>
      </c>
      <c r="AF92" s="77">
        <f>INT(((AE92*Valores!$C$2)*100)+0.5)/100</f>
        <v>0</v>
      </c>
      <c r="AG92" s="77">
        <f>Valores!$C$58</f>
        <v>307.46</v>
      </c>
      <c r="AH92" s="77">
        <f>Valores!$C$60</f>
        <v>87.85</v>
      </c>
      <c r="AI92" s="77">
        <f>SUM(H92,J92,L92,N92,O92,P92,Q92,R92,S92,T92,V92,W92,X92,Z92,AA92,AB92,AC92,AD92,AF92,AG92,AH92)*Valores!$C$63</f>
        <v>0</v>
      </c>
      <c r="AJ92" s="15">
        <f t="shared" si="17"/>
        <v>29751.469999999998</v>
      </c>
      <c r="AK92" s="78">
        <f>Valores!$C$35</f>
        <v>415.59</v>
      </c>
      <c r="AL92" s="79">
        <f>Valores!$C$8</f>
        <v>234.26</v>
      </c>
      <c r="AM92" s="89">
        <f>Valores!$C$51</f>
        <v>128.84</v>
      </c>
      <c r="AN92" s="79">
        <f>IF($H$4="SI",SUM(AL92+AM92),AL92)*Valores!$C$63</f>
        <v>0</v>
      </c>
      <c r="AO92" s="12">
        <f t="shared" si="21"/>
        <v>778.6899999999999</v>
      </c>
      <c r="AP92" s="152">
        <f>AJ92*-Valores!$C$65</f>
        <v>-3867.6911</v>
      </c>
      <c r="AQ92" s="152">
        <f>AJ92*-Valores!$C$66</f>
        <v>-148.75735</v>
      </c>
      <c r="AR92" s="78">
        <f>AJ92*-Valores!$C$67</f>
        <v>-1338.8161499999999</v>
      </c>
      <c r="AS92" s="78">
        <f>AJ92*-Valores!$C$68</f>
        <v>-803.2896900000001</v>
      </c>
      <c r="AT92" s="78">
        <f>AJ92*-Valores!$C$69</f>
        <v>-89.25441</v>
      </c>
      <c r="AU92" s="15">
        <f t="shared" si="18"/>
        <v>25174.895399999998</v>
      </c>
      <c r="AV92" s="15">
        <f t="shared" si="19"/>
        <v>25621.167449999994</v>
      </c>
      <c r="AW92" s="78">
        <f>AJ92*Valores!$C$70</f>
        <v>4760.2352</v>
      </c>
      <c r="AX92" s="78">
        <f>AJ92*Valores!$C$71</f>
        <v>1338.8161499999999</v>
      </c>
      <c r="AY92" s="78">
        <f>AJ92*Valores!$C$73</f>
        <v>297.5147</v>
      </c>
      <c r="AZ92" s="78">
        <f>AJ92*Valores!$C$74</f>
        <v>1041.30145</v>
      </c>
      <c r="BA92" s="78">
        <f>AJ92*Valores!$C$75</f>
        <v>178.50882</v>
      </c>
      <c r="BB92" s="78">
        <f t="shared" si="22"/>
        <v>1606.57938</v>
      </c>
      <c r="BC92" s="20"/>
      <c r="BD92" s="20">
        <v>25</v>
      </c>
      <c r="BE92" s="9" t="s">
        <v>462</v>
      </c>
    </row>
    <row r="93" spans="1:57" s="9" customFormat="1" ht="11.25" customHeight="1">
      <c r="A93" s="20">
        <v>92</v>
      </c>
      <c r="B93" s="20"/>
      <c r="C93" s="9" t="s">
        <v>162</v>
      </c>
      <c r="E93" s="9">
        <f t="shared" si="20"/>
        <v>41</v>
      </c>
      <c r="F93" s="10" t="s">
        <v>512</v>
      </c>
      <c r="G93" s="123">
        <v>161</v>
      </c>
      <c r="H93" s="7">
        <f>INT((G93*Valores!$C$2*100)+0.5)/100</f>
        <v>965.89</v>
      </c>
      <c r="I93" s="113">
        <f>1480</f>
        <v>1480</v>
      </c>
      <c r="J93" s="77">
        <f>INT((I93*Valores!$C$2*100)+0.5)/100</f>
        <v>8878.97</v>
      </c>
      <c r="K93" s="146">
        <v>0</v>
      </c>
      <c r="L93" s="77">
        <f>INT((K93*Valores!$C$2*100)+0.5)/100</f>
        <v>0</v>
      </c>
      <c r="M93" s="120">
        <v>0</v>
      </c>
      <c r="N93" s="77">
        <f>INT((M93*Valores!$C$2*100)+0.5)/100</f>
        <v>0</v>
      </c>
      <c r="O93" s="77">
        <f t="shared" si="14"/>
        <v>0</v>
      </c>
      <c r="P93" s="77">
        <f t="shared" si="15"/>
        <v>5358.094999999999</v>
      </c>
      <c r="Q93" s="78">
        <f>Valores!$C$16</f>
        <v>3718.92</v>
      </c>
      <c r="R93" s="78">
        <f>Valores!$D$4</f>
        <v>2683.49</v>
      </c>
      <c r="S93" s="61">
        <f>Valores!$C$26</f>
        <v>2700.67</v>
      </c>
      <c r="T93" s="87">
        <f>Valores!$C$42</f>
        <v>871.33</v>
      </c>
      <c r="U93" s="77">
        <f>Valores!$C$23</f>
        <v>2584.33</v>
      </c>
      <c r="V93" s="77">
        <f>U93*(1+$J$2)</f>
        <v>3876.495</v>
      </c>
      <c r="W93" s="77">
        <v>0</v>
      </c>
      <c r="X93" s="77">
        <v>0</v>
      </c>
      <c r="Y93" s="116">
        <v>0</v>
      </c>
      <c r="Z93" s="77">
        <f>Y93*Valores!$C$2</f>
        <v>0</v>
      </c>
      <c r="AA93" s="77">
        <v>0</v>
      </c>
      <c r="AB93" s="89">
        <f>Valores!$C$29</f>
        <v>151.15</v>
      </c>
      <c r="AC93" s="77">
        <f t="shared" si="16"/>
        <v>0</v>
      </c>
      <c r="AD93" s="77">
        <f>Valores!$C$30</f>
        <v>151.15</v>
      </c>
      <c r="AE93" s="116">
        <v>19</v>
      </c>
      <c r="AF93" s="77">
        <f>INT(((AE93*Valores!$C$2)*100)+0.5)/100</f>
        <v>113.99</v>
      </c>
      <c r="AG93" s="77">
        <f>Valores!$C$58</f>
        <v>307.46</v>
      </c>
      <c r="AH93" s="77">
        <f>Valores!$C$60</f>
        <v>87.85</v>
      </c>
      <c r="AI93" s="77">
        <f>SUM(H93,J93,L93,N93,O93,P93,Q93,R93,S93,T93,V93,W93,X93,Z93,AA93,AB93,AC93,AD93,AF93,AG93,AH93)*Valores!$C$63</f>
        <v>0</v>
      </c>
      <c r="AJ93" s="15">
        <f t="shared" si="17"/>
        <v>29865.46</v>
      </c>
      <c r="AK93" s="78">
        <f>Valores!$C$35</f>
        <v>415.59</v>
      </c>
      <c r="AL93" s="79">
        <f>Valores!$C$8</f>
        <v>234.26</v>
      </c>
      <c r="AM93" s="89">
        <f>Valores!$C$51</f>
        <v>128.84</v>
      </c>
      <c r="AN93" s="79">
        <f>IF($H$4="SI",SUM(AL93+AM93),AL93)*Valores!$C$63</f>
        <v>0</v>
      </c>
      <c r="AO93" s="12">
        <f t="shared" si="21"/>
        <v>778.6899999999999</v>
      </c>
      <c r="AP93" s="152">
        <f>AJ93*-Valores!$C$65</f>
        <v>-3882.5098</v>
      </c>
      <c r="AQ93" s="152">
        <f>AJ93*-Valores!$C$66</f>
        <v>-149.3273</v>
      </c>
      <c r="AR93" s="78">
        <f>AJ93*-Valores!$C$67</f>
        <v>-1343.9457</v>
      </c>
      <c r="AS93" s="78">
        <f>AJ93*-Valores!$C$68</f>
        <v>-806.36742</v>
      </c>
      <c r="AT93" s="78">
        <f>AJ93*-Valores!$C$69</f>
        <v>-89.59638</v>
      </c>
      <c r="AU93" s="15">
        <f t="shared" si="18"/>
        <v>25268.367199999997</v>
      </c>
      <c r="AV93" s="15">
        <f t="shared" si="19"/>
        <v>25716.3491</v>
      </c>
      <c r="AW93" s="78">
        <f>AJ93*Valores!$C$70</f>
        <v>4778.4736</v>
      </c>
      <c r="AX93" s="78">
        <f>AJ93*Valores!$C$71</f>
        <v>1343.9457</v>
      </c>
      <c r="AY93" s="78">
        <f>AJ93*Valores!$C$73</f>
        <v>298.6546</v>
      </c>
      <c r="AZ93" s="78">
        <f>AJ93*Valores!$C$74</f>
        <v>1045.2911000000001</v>
      </c>
      <c r="BA93" s="78">
        <f>AJ93*Valores!$C$75</f>
        <v>179.19276</v>
      </c>
      <c r="BB93" s="78">
        <f t="shared" si="22"/>
        <v>1612.73484</v>
      </c>
      <c r="BC93" s="20"/>
      <c r="BD93" s="20">
        <v>25</v>
      </c>
      <c r="BE93" s="9" t="s">
        <v>462</v>
      </c>
    </row>
    <row r="94" spans="1:57" s="9" customFormat="1" ht="11.25" customHeight="1">
      <c r="A94" s="20">
        <v>93</v>
      </c>
      <c r="B94" s="20"/>
      <c r="C94" s="9" t="s">
        <v>164</v>
      </c>
      <c r="E94" s="9">
        <f t="shared" si="20"/>
        <v>26</v>
      </c>
      <c r="F94" s="10" t="s">
        <v>165</v>
      </c>
      <c r="G94" s="123">
        <v>179</v>
      </c>
      <c r="H94" s="7">
        <f>INT((G94*Valores!$C$2*100)+0.5)/100</f>
        <v>1073.88</v>
      </c>
      <c r="I94" s="113">
        <v>1712</v>
      </c>
      <c r="J94" s="77">
        <f>INT((I94*Valores!$C$2*100)+0.5)/100</f>
        <v>10270.81</v>
      </c>
      <c r="K94" s="146">
        <v>0</v>
      </c>
      <c r="L94" s="77">
        <f>INT((K94*Valores!$C$2*100)+0.5)/100</f>
        <v>0</v>
      </c>
      <c r="M94" s="120">
        <v>0</v>
      </c>
      <c r="N94" s="77">
        <f>INT((M94*Valores!$C$2*100)+0.5)/100</f>
        <v>0</v>
      </c>
      <c r="O94" s="77">
        <f t="shared" si="14"/>
        <v>0</v>
      </c>
      <c r="P94" s="77">
        <f t="shared" si="15"/>
        <v>6108.009999999999</v>
      </c>
      <c r="Q94" s="78">
        <f>Valores!$C$16</f>
        <v>3718.92</v>
      </c>
      <c r="R94" s="78">
        <f>Valores!$D$4</f>
        <v>2683.49</v>
      </c>
      <c r="S94" s="61">
        <f>Valores!$C$26</f>
        <v>2700.67</v>
      </c>
      <c r="T94" s="87">
        <f>Valores!$C$42</f>
        <v>871.33</v>
      </c>
      <c r="U94" s="77">
        <f>Valores!$C$23</f>
        <v>2584.33</v>
      </c>
      <c r="V94" s="77">
        <f t="shared" si="13"/>
        <v>3876.495</v>
      </c>
      <c r="W94" s="77">
        <v>0</v>
      </c>
      <c r="X94" s="77">
        <v>0</v>
      </c>
      <c r="Y94" s="116">
        <v>0</v>
      </c>
      <c r="Z94" s="77">
        <f>Y94*Valores!$C$2</f>
        <v>0</v>
      </c>
      <c r="AA94" s="77">
        <v>0</v>
      </c>
      <c r="AB94" s="89">
        <f>Valores!$C$29</f>
        <v>151.15</v>
      </c>
      <c r="AC94" s="77">
        <f t="shared" si="16"/>
        <v>0</v>
      </c>
      <c r="AD94" s="77">
        <f>Valores!$C$30</f>
        <v>151.15</v>
      </c>
      <c r="AE94" s="116">
        <v>0</v>
      </c>
      <c r="AF94" s="77">
        <f>INT(((AE94*Valores!$C$2)*100)+0.5)/100</f>
        <v>0</v>
      </c>
      <c r="AG94" s="77">
        <f>Valores!$C$58</f>
        <v>307.46</v>
      </c>
      <c r="AH94" s="77">
        <f>Valores!$C$60</f>
        <v>87.85</v>
      </c>
      <c r="AI94" s="77">
        <f>SUM(H94,J94,L94,N94,O94,P94,Q94,R94,S94,T94,V94,W94,X94,Z94,AA94,AB94,AC94,AD94,AF94,AG94,AH94)*Valores!$C$63</f>
        <v>0</v>
      </c>
      <c r="AJ94" s="15">
        <f t="shared" si="17"/>
        <v>32001.214999999993</v>
      </c>
      <c r="AK94" s="78">
        <f>Valores!$C$35</f>
        <v>415.59</v>
      </c>
      <c r="AL94" s="79">
        <f>Valores!$C$8</f>
        <v>234.26</v>
      </c>
      <c r="AM94" s="89">
        <f>Valores!$C$51</f>
        <v>128.84</v>
      </c>
      <c r="AN94" s="79">
        <f>IF($H$4="SI",SUM(AL94+AM94),AL94)*Valores!$C$63</f>
        <v>0</v>
      </c>
      <c r="AO94" s="12">
        <f t="shared" si="21"/>
        <v>778.6899999999999</v>
      </c>
      <c r="AP94" s="152">
        <f>AJ94*-Valores!$C$65</f>
        <v>-4160.157949999999</v>
      </c>
      <c r="AQ94" s="152">
        <f>AJ94*-Valores!$C$66</f>
        <v>-160.00607499999998</v>
      </c>
      <c r="AR94" s="78">
        <f>AJ94*-Valores!$C$67</f>
        <v>-1440.0546749999996</v>
      </c>
      <c r="AS94" s="78">
        <f>AJ94*-Valores!$C$68</f>
        <v>-864.0328049999999</v>
      </c>
      <c r="AT94" s="78">
        <f>AJ94*-Valores!$C$69</f>
        <v>-96.00364499999998</v>
      </c>
      <c r="AU94" s="15">
        <f t="shared" si="18"/>
        <v>27019.686299999994</v>
      </c>
      <c r="AV94" s="15">
        <f t="shared" si="19"/>
        <v>27499.70452499999</v>
      </c>
      <c r="AW94" s="78">
        <f>AJ94*Valores!$C$70</f>
        <v>5120.194399999999</v>
      </c>
      <c r="AX94" s="78">
        <f>AJ94*Valores!$C$71</f>
        <v>1440.0546749999996</v>
      </c>
      <c r="AY94" s="78">
        <f>AJ94*Valores!$C$73</f>
        <v>320.01214999999996</v>
      </c>
      <c r="AZ94" s="78">
        <f>AJ94*Valores!$C$74</f>
        <v>1120.0425249999998</v>
      </c>
      <c r="BA94" s="78">
        <f>AJ94*Valores!$C$75</f>
        <v>192.00728999999995</v>
      </c>
      <c r="BB94" s="78">
        <f t="shared" si="22"/>
        <v>1728.0656099999999</v>
      </c>
      <c r="BC94" s="20"/>
      <c r="BD94" s="55">
        <v>25</v>
      </c>
      <c r="BE94" s="9" t="s">
        <v>462</v>
      </c>
    </row>
    <row r="95" spans="1:57" s="9" customFormat="1" ht="11.25" customHeight="1">
      <c r="A95" s="20">
        <v>94</v>
      </c>
      <c r="B95" s="20"/>
      <c r="C95" s="9" t="s">
        <v>166</v>
      </c>
      <c r="E95" s="9">
        <f t="shared" si="20"/>
        <v>30</v>
      </c>
      <c r="F95" s="10" t="s">
        <v>167</v>
      </c>
      <c r="G95" s="123">
        <v>64</v>
      </c>
      <c r="H95" s="7">
        <f>INT((G95*Valores!$C$2*100)+0.5)/100</f>
        <v>383.96</v>
      </c>
      <c r="I95" s="113">
        <v>2086</v>
      </c>
      <c r="J95" s="77">
        <f>INT((I95*Valores!$C$2*100)+0.5)/100</f>
        <v>12514.55</v>
      </c>
      <c r="K95" s="146">
        <v>0</v>
      </c>
      <c r="L95" s="77">
        <f>INT((K95*Valores!$C$2*100)+0.5)/100</f>
        <v>0</v>
      </c>
      <c r="M95" s="120">
        <v>0</v>
      </c>
      <c r="N95" s="77">
        <f>INT((M95*Valores!$C$2*100)+0.5)/100</f>
        <v>0</v>
      </c>
      <c r="O95" s="77">
        <f t="shared" si="14"/>
        <v>0</v>
      </c>
      <c r="P95" s="77">
        <f t="shared" si="15"/>
        <v>6884.919999999999</v>
      </c>
      <c r="Q95" s="78">
        <f>Valores!$C$16</f>
        <v>3718.92</v>
      </c>
      <c r="R95" s="78">
        <f>Valores!$D$4</f>
        <v>2683.49</v>
      </c>
      <c r="S95" s="61">
        <f>Valores!$C$26</f>
        <v>2700.67</v>
      </c>
      <c r="T95" s="87">
        <f>Valores!$C$42</f>
        <v>871.33</v>
      </c>
      <c r="U95" s="77">
        <f>Valores!$C$23</f>
        <v>2584.33</v>
      </c>
      <c r="V95" s="77">
        <f t="shared" si="13"/>
        <v>3876.495</v>
      </c>
      <c r="W95" s="77">
        <v>0</v>
      </c>
      <c r="X95" s="77">
        <v>0</v>
      </c>
      <c r="Y95" s="116">
        <v>0</v>
      </c>
      <c r="Z95" s="77">
        <f>Y95*Valores!$C$2</f>
        <v>0</v>
      </c>
      <c r="AA95" s="77">
        <v>0</v>
      </c>
      <c r="AB95" s="89">
        <f>Valores!$C$29</f>
        <v>151.15</v>
      </c>
      <c r="AC95" s="77">
        <f t="shared" si="16"/>
        <v>0</v>
      </c>
      <c r="AD95" s="77">
        <f>Valores!$C$30</f>
        <v>151.15</v>
      </c>
      <c r="AE95" s="116">
        <v>0</v>
      </c>
      <c r="AF95" s="77">
        <f>INT(((AE95*Valores!$C$2)*100)+0.5)/100</f>
        <v>0</v>
      </c>
      <c r="AG95" s="77">
        <f>Valores!$C$58</f>
        <v>307.46</v>
      </c>
      <c r="AH95" s="77">
        <f>Valores!$C$60</f>
        <v>87.85</v>
      </c>
      <c r="AI95" s="77">
        <f>SUM(H95,J95,L95,N95,O95,P95,Q95,R95,S95,T95,V95,W95,X95,Z95,AA95,AB95,AC95,AD95,AF95,AG95,AH95)*Valores!$C$63</f>
        <v>0</v>
      </c>
      <c r="AJ95" s="15">
        <f t="shared" si="17"/>
        <v>34331.94499999999</v>
      </c>
      <c r="AK95" s="78">
        <f>Valores!$C$35</f>
        <v>415.59</v>
      </c>
      <c r="AL95" s="79">
        <f>Valores!$C$8</f>
        <v>234.26</v>
      </c>
      <c r="AM95" s="89">
        <f>Valores!$C$51</f>
        <v>128.84</v>
      </c>
      <c r="AN95" s="79">
        <f>IF($H$4="SI",SUM(AL95+AM95),AL95)*Valores!$C$63</f>
        <v>0</v>
      </c>
      <c r="AO95" s="12">
        <f t="shared" si="21"/>
        <v>778.6899999999999</v>
      </c>
      <c r="AP95" s="152">
        <f>AJ95*-Valores!$C$65</f>
        <v>-4463.1528499999995</v>
      </c>
      <c r="AQ95" s="152">
        <f>AJ95*-Valores!$C$66</f>
        <v>-171.65972499999995</v>
      </c>
      <c r="AR95" s="78">
        <f>AJ95*-Valores!$C$67</f>
        <v>-1544.9375249999996</v>
      </c>
      <c r="AS95" s="78">
        <f>AJ95*-Valores!$C$68</f>
        <v>-926.9625149999999</v>
      </c>
      <c r="AT95" s="78">
        <f>AJ95*-Valores!$C$69</f>
        <v>-102.99583499999999</v>
      </c>
      <c r="AU95" s="15">
        <f t="shared" si="18"/>
        <v>28930.884899999997</v>
      </c>
      <c r="AV95" s="15">
        <f t="shared" si="19"/>
        <v>29445.864074999998</v>
      </c>
      <c r="AW95" s="78">
        <f>AJ95*Valores!$C$70</f>
        <v>5493.1111999999985</v>
      </c>
      <c r="AX95" s="78">
        <f>AJ95*Valores!$C$71</f>
        <v>1544.9375249999996</v>
      </c>
      <c r="AY95" s="78">
        <f>AJ95*Valores!$C$73</f>
        <v>343.3194499999999</v>
      </c>
      <c r="AZ95" s="78">
        <f>AJ95*Valores!$C$74</f>
        <v>1201.6180749999999</v>
      </c>
      <c r="BA95" s="78">
        <f>AJ95*Valores!$C$75</f>
        <v>205.99166999999997</v>
      </c>
      <c r="BB95" s="78">
        <f t="shared" si="22"/>
        <v>1853.9250299999997</v>
      </c>
      <c r="BC95" s="20"/>
      <c r="BD95" s="20">
        <v>25</v>
      </c>
      <c r="BE95" s="9" t="s">
        <v>462</v>
      </c>
    </row>
    <row r="96" spans="1:57" s="9" customFormat="1" ht="11.25" customHeight="1">
      <c r="A96" s="55">
        <v>95</v>
      </c>
      <c r="B96" s="55" t="s">
        <v>458</v>
      </c>
      <c r="C96" s="52" t="s">
        <v>168</v>
      </c>
      <c r="D96" s="52"/>
      <c r="E96" s="52">
        <f t="shared" si="20"/>
        <v>31</v>
      </c>
      <c r="F96" s="53" t="s">
        <v>169</v>
      </c>
      <c r="G96" s="124">
        <v>89</v>
      </c>
      <c r="H96" s="129">
        <f>INT((G96*Valores!$C$2*100)+0.5)/100</f>
        <v>533.94</v>
      </c>
      <c r="I96" s="114">
        <v>2481</v>
      </c>
      <c r="J96" s="80">
        <f>INT((I96*Valores!$C$2*100)+0.5)/100</f>
        <v>14884.27</v>
      </c>
      <c r="K96" s="147">
        <v>0</v>
      </c>
      <c r="L96" s="80">
        <f>INT((K96*Valores!$C$2*100)+0.5)/100</f>
        <v>0</v>
      </c>
      <c r="M96" s="121">
        <v>0</v>
      </c>
      <c r="N96" s="80">
        <f>INT((M96*Valores!$C$2*100)+0.5)/100</f>
        <v>0</v>
      </c>
      <c r="O96" s="80">
        <f t="shared" si="14"/>
        <v>0</v>
      </c>
      <c r="P96" s="80">
        <f t="shared" si="15"/>
        <v>8144.77</v>
      </c>
      <c r="Q96" s="81">
        <f>Valores!$C$15</f>
        <v>3695.48</v>
      </c>
      <c r="R96" s="81">
        <f>Valores!$D$4</f>
        <v>2683.49</v>
      </c>
      <c r="S96" s="80">
        <v>0</v>
      </c>
      <c r="T96" s="82">
        <f>Valores!$C$42</f>
        <v>871.33</v>
      </c>
      <c r="U96" s="80">
        <f>Valores!$C$23</f>
        <v>2584.33</v>
      </c>
      <c r="V96" s="80">
        <f t="shared" si="13"/>
        <v>3876.495</v>
      </c>
      <c r="W96" s="80">
        <v>0</v>
      </c>
      <c r="X96" s="80">
        <v>0</v>
      </c>
      <c r="Y96" s="115">
        <v>0</v>
      </c>
      <c r="Z96" s="80">
        <f>Y96*Valores!$C$2</f>
        <v>0</v>
      </c>
      <c r="AA96" s="80">
        <v>0</v>
      </c>
      <c r="AB96" s="90">
        <f>Valores!$C$29</f>
        <v>151.15</v>
      </c>
      <c r="AC96" s="80">
        <f t="shared" si="16"/>
        <v>0</v>
      </c>
      <c r="AD96" s="80">
        <f>Valores!$C$30</f>
        <v>151.15</v>
      </c>
      <c r="AE96" s="115">
        <v>0</v>
      </c>
      <c r="AF96" s="80">
        <f>INT(((AE96*Valores!$C$2)*100)+0.5)/100</f>
        <v>0</v>
      </c>
      <c r="AG96" s="80">
        <f>Valores!$C$58</f>
        <v>307.46</v>
      </c>
      <c r="AH96" s="80">
        <f>Valores!$C$60</f>
        <v>87.85</v>
      </c>
      <c r="AI96" s="80">
        <f>SUM(H96,J96,L96,N96,O96,P96,Q96,R96,S96,T96,V96,W96,X96,Z96,AA96,AB96,AC96,AD96,AF96,AG96,AH96)*Valores!$C$63</f>
        <v>0</v>
      </c>
      <c r="AJ96" s="54">
        <f t="shared" si="17"/>
        <v>35387.38500000001</v>
      </c>
      <c r="AK96" s="81">
        <f>Valores!$C$35</f>
        <v>415.59</v>
      </c>
      <c r="AL96" s="82">
        <f>Valores!$C$8</f>
        <v>234.26</v>
      </c>
      <c r="AM96" s="90">
        <f>Valores!$C$51</f>
        <v>128.84</v>
      </c>
      <c r="AN96" s="82">
        <f>IF($H$4="SI",SUM(AL96+AM96),AL96)*Valores!$C$63</f>
        <v>0</v>
      </c>
      <c r="AO96" s="185">
        <f t="shared" si="21"/>
        <v>778.6899999999999</v>
      </c>
      <c r="AP96" s="153">
        <f>AJ96*-Valores!$C$65</f>
        <v>-4600.360050000001</v>
      </c>
      <c r="AQ96" s="153">
        <f>AJ96*-Valores!$C$66</f>
        <v>-176.93692500000006</v>
      </c>
      <c r="AR96" s="81">
        <f>AJ96*-Valores!$C$67</f>
        <v>-1592.4323250000004</v>
      </c>
      <c r="AS96" s="81">
        <f>AJ96*-Valores!$C$68</f>
        <v>-955.4593950000003</v>
      </c>
      <c r="AT96" s="81">
        <f>AJ96*-Valores!$C$69</f>
        <v>-106.16215500000003</v>
      </c>
      <c r="AU96" s="54">
        <f t="shared" si="18"/>
        <v>29796.345700000005</v>
      </c>
      <c r="AV96" s="54">
        <f t="shared" si="19"/>
        <v>30327.156475000007</v>
      </c>
      <c r="AW96" s="81">
        <f>AJ96*Valores!$C$70</f>
        <v>5661.981600000002</v>
      </c>
      <c r="AX96" s="81">
        <f>AJ96*Valores!$C$71</f>
        <v>1592.4323250000004</v>
      </c>
      <c r="AY96" s="81">
        <f>AJ96*Valores!$C$73</f>
        <v>353.8738500000001</v>
      </c>
      <c r="AZ96" s="81">
        <f>AJ96*Valores!$C$74</f>
        <v>1238.5584750000005</v>
      </c>
      <c r="BA96" s="81">
        <f>AJ96*Valores!$C$75</f>
        <v>212.32431000000005</v>
      </c>
      <c r="BB96" s="81">
        <f t="shared" si="22"/>
        <v>1910.9187900000006</v>
      </c>
      <c r="BC96" s="55"/>
      <c r="BD96" s="55">
        <v>25</v>
      </c>
      <c r="BE96" s="52" t="s">
        <v>461</v>
      </c>
    </row>
    <row r="97" spans="1:57" s="9" customFormat="1" ht="11.25" customHeight="1">
      <c r="A97" s="20">
        <v>96</v>
      </c>
      <c r="B97" s="20"/>
      <c r="C97" s="9" t="s">
        <v>170</v>
      </c>
      <c r="E97" s="9">
        <f t="shared" si="20"/>
        <v>31</v>
      </c>
      <c r="F97" s="10" t="s">
        <v>171</v>
      </c>
      <c r="G97" s="123">
        <v>89</v>
      </c>
      <c r="H97" s="7">
        <f>INT((G97*Valores!$C$2*100)+0.5)/100</f>
        <v>533.94</v>
      </c>
      <c r="I97" s="113">
        <v>2381</v>
      </c>
      <c r="J97" s="77">
        <f>INT((I97*Valores!$C$2*100)+0.5)/100</f>
        <v>14284.34</v>
      </c>
      <c r="K97" s="146">
        <v>0</v>
      </c>
      <c r="L97" s="77">
        <f>INT((K97*Valores!$C$2*100)+0.5)/100</f>
        <v>0</v>
      </c>
      <c r="M97" s="120">
        <v>0</v>
      </c>
      <c r="N97" s="77">
        <f>INT((M97*Valores!$C$2*100)+0.5)/100</f>
        <v>0</v>
      </c>
      <c r="O97" s="77">
        <f t="shared" si="14"/>
        <v>0</v>
      </c>
      <c r="P97" s="77">
        <f t="shared" si="15"/>
        <v>7844.805</v>
      </c>
      <c r="Q97" s="78">
        <f>Valores!$C$20</f>
        <v>3519.79</v>
      </c>
      <c r="R97" s="78">
        <f>Valores!$D$4</f>
        <v>2683.49</v>
      </c>
      <c r="S97" s="77">
        <f>Valores!$C$26</f>
        <v>2700.67</v>
      </c>
      <c r="T97" s="79">
        <f>Valores!$C$42</f>
        <v>871.33</v>
      </c>
      <c r="U97" s="77">
        <f>Valores!$C$23</f>
        <v>2584.33</v>
      </c>
      <c r="V97" s="77">
        <f t="shared" si="13"/>
        <v>3876.495</v>
      </c>
      <c r="W97" s="77">
        <v>0</v>
      </c>
      <c r="X97" s="77">
        <v>0</v>
      </c>
      <c r="Y97" s="116">
        <v>0</v>
      </c>
      <c r="Z97" s="77">
        <f>Y97*Valores!$C$2</f>
        <v>0</v>
      </c>
      <c r="AA97" s="77">
        <v>0</v>
      </c>
      <c r="AB97" s="89">
        <f>Valores!$C$29</f>
        <v>151.15</v>
      </c>
      <c r="AC97" s="77">
        <f t="shared" si="16"/>
        <v>0</v>
      </c>
      <c r="AD97" s="77">
        <f>Valores!$C$30</f>
        <v>151.15</v>
      </c>
      <c r="AE97" s="116">
        <v>0</v>
      </c>
      <c r="AF97" s="77">
        <f>INT(((AE97*Valores!$C$2)*100)+0.5)/100</f>
        <v>0</v>
      </c>
      <c r="AG97" s="77">
        <f>Valores!$C$58</f>
        <v>307.46</v>
      </c>
      <c r="AH97" s="77">
        <f>Valores!$C$60</f>
        <v>87.85</v>
      </c>
      <c r="AI97" s="77">
        <f>SUM(H97,J97,L97,N97,O97,P97,Q97,R97,S97,T97,V97,W97,X97,Z97,AA97,AB97,AC97,AD97,AF97,AG97,AH97)*Valores!$C$63</f>
        <v>0</v>
      </c>
      <c r="AJ97" s="15">
        <f t="shared" si="17"/>
        <v>37012.47</v>
      </c>
      <c r="AK97" s="78">
        <f>Valores!$C$35</f>
        <v>415.59</v>
      </c>
      <c r="AL97" s="79">
        <f>Valores!$C$8</f>
        <v>234.26</v>
      </c>
      <c r="AM97" s="89">
        <f>Valores!$C$51</f>
        <v>128.84</v>
      </c>
      <c r="AN97" s="79">
        <f>IF($H$4="SI",SUM(AL97+AM97),AL97)*Valores!$C$63</f>
        <v>0</v>
      </c>
      <c r="AO97" s="12">
        <f t="shared" si="21"/>
        <v>778.6899999999999</v>
      </c>
      <c r="AP97" s="152">
        <f>AJ97*-Valores!$C$65</f>
        <v>-4811.6211</v>
      </c>
      <c r="AQ97" s="152">
        <f>AJ97*-Valores!$C$66</f>
        <v>-185.06235</v>
      </c>
      <c r="AR97" s="78">
        <f>AJ97*-Valores!$C$67</f>
        <v>-1665.56115</v>
      </c>
      <c r="AS97" s="78">
        <f>AJ97*-Valores!$C$68</f>
        <v>-999.3366900000002</v>
      </c>
      <c r="AT97" s="78">
        <f>AJ97*-Valores!$C$69</f>
        <v>-111.03741000000001</v>
      </c>
      <c r="AU97" s="15">
        <f t="shared" si="18"/>
        <v>31128.9154</v>
      </c>
      <c r="AV97" s="15">
        <f t="shared" si="19"/>
        <v>31684.10245</v>
      </c>
      <c r="AW97" s="78">
        <f>AJ97*Valores!$C$70</f>
        <v>5921.9952</v>
      </c>
      <c r="AX97" s="78">
        <f>AJ97*Valores!$C$71</f>
        <v>1665.56115</v>
      </c>
      <c r="AY97" s="78">
        <f>AJ97*Valores!$C$73</f>
        <v>370.1247</v>
      </c>
      <c r="AZ97" s="78">
        <f>AJ97*Valores!$C$74</f>
        <v>1295.4364500000001</v>
      </c>
      <c r="BA97" s="78">
        <f>AJ97*Valores!$C$75</f>
        <v>222.07482000000002</v>
      </c>
      <c r="BB97" s="78">
        <f t="shared" si="22"/>
        <v>1998.6733800000002</v>
      </c>
      <c r="BC97" s="20"/>
      <c r="BD97" s="20">
        <v>25</v>
      </c>
      <c r="BE97" s="9" t="s">
        <v>462</v>
      </c>
    </row>
    <row r="98" spans="1:57" s="9" customFormat="1" ht="11.25" customHeight="1">
      <c r="A98" s="20">
        <v>97</v>
      </c>
      <c r="B98" s="20"/>
      <c r="C98" s="9" t="s">
        <v>172</v>
      </c>
      <c r="E98" s="9">
        <f t="shared" si="20"/>
        <v>31</v>
      </c>
      <c r="F98" s="10" t="s">
        <v>173</v>
      </c>
      <c r="G98" s="123">
        <v>89</v>
      </c>
      <c r="H98" s="7">
        <f>INT((G98*Valores!$C$2*100)+0.5)/100</f>
        <v>533.94</v>
      </c>
      <c r="I98" s="113">
        <v>1768</v>
      </c>
      <c r="J98" s="77">
        <f>INT((I98*Valores!$C$2*100)+0.5)/100</f>
        <v>10606.77</v>
      </c>
      <c r="K98" s="146">
        <v>0</v>
      </c>
      <c r="L98" s="77">
        <f>INT((K98*Valores!$C$2*100)+0.5)/100</f>
        <v>0</v>
      </c>
      <c r="M98" s="120">
        <v>0</v>
      </c>
      <c r="N98" s="77">
        <f>INT((M98*Valores!$C$2*100)+0.5)/100</f>
        <v>0</v>
      </c>
      <c r="O98" s="77">
        <f t="shared" si="14"/>
        <v>0</v>
      </c>
      <c r="P98" s="77">
        <f t="shared" si="15"/>
        <v>6006.02</v>
      </c>
      <c r="Q98" s="78">
        <f>Valores!$C$20</f>
        <v>3519.79</v>
      </c>
      <c r="R98" s="78">
        <f>Valores!$D$4</f>
        <v>2683.49</v>
      </c>
      <c r="S98" s="61">
        <f>Valores!$C$26</f>
        <v>2700.67</v>
      </c>
      <c r="T98" s="87">
        <f>Valores!$C$42</f>
        <v>871.33</v>
      </c>
      <c r="U98" s="77">
        <f>Valores!$C$23</f>
        <v>2584.33</v>
      </c>
      <c r="V98" s="77">
        <f t="shared" si="13"/>
        <v>3876.495</v>
      </c>
      <c r="W98" s="77">
        <v>0</v>
      </c>
      <c r="X98" s="77">
        <v>0</v>
      </c>
      <c r="Y98" s="116">
        <v>0</v>
      </c>
      <c r="Z98" s="77">
        <f>Y98*Valores!$C$2</f>
        <v>0</v>
      </c>
      <c r="AA98" s="77">
        <v>0</v>
      </c>
      <c r="AB98" s="89">
        <f>Valores!$C$29</f>
        <v>151.15</v>
      </c>
      <c r="AC98" s="77">
        <f t="shared" si="16"/>
        <v>0</v>
      </c>
      <c r="AD98" s="77">
        <f>Valores!$C$30</f>
        <v>151.15</v>
      </c>
      <c r="AE98" s="116">
        <v>0</v>
      </c>
      <c r="AF98" s="77">
        <f>INT(((AE98*Valores!$C$2)*100)+0.5)/100</f>
        <v>0</v>
      </c>
      <c r="AG98" s="77">
        <f>Valores!$C$58</f>
        <v>307.46</v>
      </c>
      <c r="AH98" s="77">
        <f>Valores!$C$60</f>
        <v>87.85</v>
      </c>
      <c r="AI98" s="77">
        <f>SUM(H98,J98,L98,N98,O98,P98,Q98,R98,S98,T98,V98,W98,X98,Z98,AA98,AB98,AC98,AD98,AF98,AG98,AH98)*Valores!$C$63</f>
        <v>0</v>
      </c>
      <c r="AJ98" s="15">
        <f t="shared" si="17"/>
        <v>31496.115</v>
      </c>
      <c r="AK98" s="78">
        <f>Valores!$C$35</f>
        <v>415.59</v>
      </c>
      <c r="AL98" s="79">
        <f>Valores!$C$8</f>
        <v>234.26</v>
      </c>
      <c r="AM98" s="89">
        <f>Valores!$C$51</f>
        <v>128.84</v>
      </c>
      <c r="AN98" s="79">
        <f>IF($H$4="SI",SUM(AL98+AM98),AL98)*Valores!$C$63</f>
        <v>0</v>
      </c>
      <c r="AO98" s="12">
        <f t="shared" si="21"/>
        <v>778.6899999999999</v>
      </c>
      <c r="AP98" s="152">
        <f>AJ98*-Valores!$C$65</f>
        <v>-4094.4949500000002</v>
      </c>
      <c r="AQ98" s="152">
        <f>AJ98*-Valores!$C$66</f>
        <v>-157.48057500000002</v>
      </c>
      <c r="AR98" s="78">
        <f>AJ98*-Valores!$C$67</f>
        <v>-1417.325175</v>
      </c>
      <c r="AS98" s="78">
        <f>AJ98*-Valores!$C$68</f>
        <v>-850.3951050000002</v>
      </c>
      <c r="AT98" s="78">
        <f>AJ98*-Valores!$C$69</f>
        <v>-94.48834500000001</v>
      </c>
      <c r="AU98" s="15">
        <f t="shared" si="18"/>
        <v>26605.5043</v>
      </c>
      <c r="AV98" s="15">
        <f t="shared" si="19"/>
        <v>27077.946024999997</v>
      </c>
      <c r="AW98" s="78">
        <f>AJ98*Valores!$C$70</f>
        <v>5039.3784000000005</v>
      </c>
      <c r="AX98" s="78">
        <f>AJ98*Valores!$C$71</f>
        <v>1417.325175</v>
      </c>
      <c r="AY98" s="78">
        <f>AJ98*Valores!$C$73</f>
        <v>314.96115000000003</v>
      </c>
      <c r="AZ98" s="78">
        <f>AJ98*Valores!$C$74</f>
        <v>1102.364025</v>
      </c>
      <c r="BA98" s="78">
        <f>AJ98*Valores!$C$75</f>
        <v>188.97669000000002</v>
      </c>
      <c r="BB98" s="78">
        <f t="shared" si="22"/>
        <v>1700.7902100000001</v>
      </c>
      <c r="BC98" s="20"/>
      <c r="BD98" s="20">
        <v>25</v>
      </c>
      <c r="BE98" s="9" t="s">
        <v>462</v>
      </c>
    </row>
    <row r="99" spans="1:57" s="9" customFormat="1" ht="11.25" customHeight="1">
      <c r="A99" s="20">
        <v>98</v>
      </c>
      <c r="B99" s="20"/>
      <c r="C99" s="9" t="s">
        <v>174</v>
      </c>
      <c r="E99" s="9">
        <f t="shared" si="20"/>
        <v>29</v>
      </c>
      <c r="F99" s="10" t="s">
        <v>175</v>
      </c>
      <c r="G99" s="123">
        <v>89</v>
      </c>
      <c r="H99" s="7">
        <f>INT((G99*Valores!$C$2*100)+0.5)/100</f>
        <v>533.94</v>
      </c>
      <c r="I99" s="113">
        <v>1768</v>
      </c>
      <c r="J99" s="77">
        <f>INT((I99*Valores!$C$2*100)+0.5)/100</f>
        <v>10606.77</v>
      </c>
      <c r="K99" s="146">
        <v>0</v>
      </c>
      <c r="L99" s="77">
        <f>INT((K99*Valores!$C$2*100)+0.5)/100</f>
        <v>0</v>
      </c>
      <c r="M99" s="120">
        <v>0</v>
      </c>
      <c r="N99" s="77">
        <f>INT((M99*Valores!$C$2*100)+0.5)/100</f>
        <v>0</v>
      </c>
      <c r="O99" s="77">
        <f t="shared" si="14"/>
        <v>0</v>
      </c>
      <c r="P99" s="77">
        <f t="shared" si="15"/>
        <v>6006.02</v>
      </c>
      <c r="Q99" s="78">
        <f>Valores!$C$15</f>
        <v>3695.48</v>
      </c>
      <c r="R99" s="78">
        <f>Valores!$D$4</f>
        <v>2683.49</v>
      </c>
      <c r="S99" s="61">
        <f>Valores!$C$26</f>
        <v>2700.67</v>
      </c>
      <c r="T99" s="87">
        <f>Valores!$C$42</f>
        <v>871.33</v>
      </c>
      <c r="U99" s="77">
        <f>Valores!$C$23</f>
        <v>2584.33</v>
      </c>
      <c r="V99" s="77">
        <f t="shared" si="13"/>
        <v>3876.495</v>
      </c>
      <c r="W99" s="77">
        <v>0</v>
      </c>
      <c r="X99" s="77">
        <v>0</v>
      </c>
      <c r="Y99" s="116">
        <v>0</v>
      </c>
      <c r="Z99" s="77">
        <f>Y99*Valores!$C$2</f>
        <v>0</v>
      </c>
      <c r="AA99" s="77">
        <v>0</v>
      </c>
      <c r="AB99" s="89">
        <f>Valores!$C$29</f>
        <v>151.15</v>
      </c>
      <c r="AC99" s="77">
        <f t="shared" si="16"/>
        <v>0</v>
      </c>
      <c r="AD99" s="77">
        <f>Valores!$C$30</f>
        <v>151.15</v>
      </c>
      <c r="AE99" s="116">
        <v>0</v>
      </c>
      <c r="AF99" s="77">
        <f>INT(((AE99*Valores!$C$2)*100)+0.5)/100</f>
        <v>0</v>
      </c>
      <c r="AG99" s="77">
        <f>Valores!$C$58</f>
        <v>307.46</v>
      </c>
      <c r="AH99" s="77">
        <f>Valores!$C$60</f>
        <v>87.85</v>
      </c>
      <c r="AI99" s="77">
        <f>SUM(H99,J99,L99,N99,O99,P99,Q99,R99,S99,T99,V99,W99,X99,Z99,AA99,AB99,AC99,AD99,AF99,AG99,AH99)*Valores!$C$63</f>
        <v>0</v>
      </c>
      <c r="AJ99" s="15">
        <f t="shared" si="17"/>
        <v>31671.805000000004</v>
      </c>
      <c r="AK99" s="78">
        <f>Valores!$C$35</f>
        <v>415.59</v>
      </c>
      <c r="AL99" s="79">
        <f>Valores!$C$8</f>
        <v>234.26</v>
      </c>
      <c r="AM99" s="89">
        <f>Valores!$C$51</f>
        <v>128.84</v>
      </c>
      <c r="AN99" s="79">
        <f>IF($H$4="SI",SUM(AL99+AM99),AL99)*Valores!$C$63</f>
        <v>0</v>
      </c>
      <c r="AO99" s="12">
        <f t="shared" si="21"/>
        <v>778.6899999999999</v>
      </c>
      <c r="AP99" s="152">
        <f>AJ99*-Valores!$C$65</f>
        <v>-4117.334650000001</v>
      </c>
      <c r="AQ99" s="152">
        <f>AJ99*-Valores!$C$66</f>
        <v>-158.35902500000003</v>
      </c>
      <c r="AR99" s="78">
        <f>AJ99*-Valores!$C$67</f>
        <v>-1425.2312250000002</v>
      </c>
      <c r="AS99" s="78">
        <f>AJ99*-Valores!$C$68</f>
        <v>-855.1387350000002</v>
      </c>
      <c r="AT99" s="78">
        <f>AJ99*-Valores!$C$69</f>
        <v>-95.01541500000002</v>
      </c>
      <c r="AU99" s="15">
        <f t="shared" si="18"/>
        <v>26749.5701</v>
      </c>
      <c r="AV99" s="15">
        <f t="shared" si="19"/>
        <v>27224.647175</v>
      </c>
      <c r="AW99" s="78">
        <f>AJ99*Valores!$C$70</f>
        <v>5067.488800000001</v>
      </c>
      <c r="AX99" s="78">
        <f>AJ99*Valores!$C$71</f>
        <v>1425.2312250000002</v>
      </c>
      <c r="AY99" s="78">
        <f>AJ99*Valores!$C$73</f>
        <v>316.71805000000006</v>
      </c>
      <c r="AZ99" s="78">
        <f>AJ99*Valores!$C$74</f>
        <v>1108.5131750000003</v>
      </c>
      <c r="BA99" s="78">
        <f>AJ99*Valores!$C$75</f>
        <v>190.03083000000004</v>
      </c>
      <c r="BB99" s="78">
        <f t="shared" si="22"/>
        <v>1710.2774700000002</v>
      </c>
      <c r="BC99" s="20"/>
      <c r="BD99" s="55"/>
      <c r="BE99" s="9" t="s">
        <v>462</v>
      </c>
    </row>
    <row r="100" spans="1:57" s="9" customFormat="1" ht="11.25" customHeight="1">
      <c r="A100" s="20">
        <v>99</v>
      </c>
      <c r="B100" s="20"/>
      <c r="C100" s="9" t="s">
        <v>176</v>
      </c>
      <c r="E100" s="9">
        <f t="shared" si="20"/>
        <v>31</v>
      </c>
      <c r="F100" s="10" t="s">
        <v>177</v>
      </c>
      <c r="G100" s="123">
        <v>89</v>
      </c>
      <c r="H100" s="7">
        <f>INT((G100*Valores!$C$2*100)+0.5)/100</f>
        <v>533.94</v>
      </c>
      <c r="I100" s="113">
        <v>2211</v>
      </c>
      <c r="J100" s="77">
        <f>INT((I100*Valores!$C$2*100)+0.5)/100</f>
        <v>13264.46</v>
      </c>
      <c r="K100" s="146">
        <v>0</v>
      </c>
      <c r="L100" s="77">
        <f>INT((K100*Valores!$C$2*100)+0.5)/100</f>
        <v>0</v>
      </c>
      <c r="M100" s="120">
        <v>0</v>
      </c>
      <c r="N100" s="77">
        <f>INT((M100*Valores!$C$2*100)+0.5)/100</f>
        <v>0</v>
      </c>
      <c r="O100" s="77">
        <f t="shared" si="14"/>
        <v>0</v>
      </c>
      <c r="P100" s="77">
        <f t="shared" si="15"/>
        <v>7334.865</v>
      </c>
      <c r="Q100" s="78">
        <f>Valores!$C$15</f>
        <v>3695.48</v>
      </c>
      <c r="R100" s="78">
        <f>Valores!$D$4</f>
        <v>2683.49</v>
      </c>
      <c r="S100" s="61">
        <f>Valores!$C$26</f>
        <v>2700.67</v>
      </c>
      <c r="T100" s="87">
        <f>Valores!$C$42</f>
        <v>871.33</v>
      </c>
      <c r="U100" s="77">
        <f>Valores!$C$23</f>
        <v>2584.33</v>
      </c>
      <c r="V100" s="77">
        <f t="shared" si="13"/>
        <v>3876.495</v>
      </c>
      <c r="W100" s="77">
        <v>0</v>
      </c>
      <c r="X100" s="77">
        <v>0</v>
      </c>
      <c r="Y100" s="116">
        <v>0</v>
      </c>
      <c r="Z100" s="77">
        <f>Y100*Valores!$C$2</f>
        <v>0</v>
      </c>
      <c r="AA100" s="77">
        <v>0</v>
      </c>
      <c r="AB100" s="89">
        <f>Valores!$C$29</f>
        <v>151.15</v>
      </c>
      <c r="AC100" s="77">
        <f t="shared" si="16"/>
        <v>0</v>
      </c>
      <c r="AD100" s="77">
        <f>Valores!$C$30</f>
        <v>151.15</v>
      </c>
      <c r="AE100" s="116">
        <v>0</v>
      </c>
      <c r="AF100" s="77">
        <f>INT(((AE100*Valores!$C$2)*100)+0.5)/100</f>
        <v>0</v>
      </c>
      <c r="AG100" s="77">
        <f>Valores!$C$58</f>
        <v>307.46</v>
      </c>
      <c r="AH100" s="77">
        <f>Valores!$C$60</f>
        <v>87.85</v>
      </c>
      <c r="AI100" s="77">
        <f>SUM(H100,J100,L100,N100,O100,P100,Q100,R100,S100,T100,V100,W100,X100,Z100,AA100,AB100,AC100,AD100,AF100,AG100,AH100)*Valores!$C$63</f>
        <v>0</v>
      </c>
      <c r="AJ100" s="15">
        <f t="shared" si="17"/>
        <v>35658.340000000004</v>
      </c>
      <c r="AK100" s="78">
        <f>Valores!$C$35</f>
        <v>415.59</v>
      </c>
      <c r="AL100" s="79">
        <f>Valores!$C$8</f>
        <v>234.26</v>
      </c>
      <c r="AM100" s="89">
        <f>Valores!$C$51</f>
        <v>128.84</v>
      </c>
      <c r="AN100" s="79">
        <f>IF($H$4="SI",SUM(AL100+AM100),AL100)*Valores!$C$63</f>
        <v>0</v>
      </c>
      <c r="AO100" s="12">
        <f t="shared" si="21"/>
        <v>778.6899999999999</v>
      </c>
      <c r="AP100" s="152">
        <f>AJ100*-Valores!$C$65</f>
        <v>-4635.5842</v>
      </c>
      <c r="AQ100" s="152">
        <f>AJ100*-Valores!$C$66</f>
        <v>-178.29170000000002</v>
      </c>
      <c r="AR100" s="78">
        <f>AJ100*-Valores!$C$67</f>
        <v>-1604.6253000000002</v>
      </c>
      <c r="AS100" s="78">
        <f>AJ100*-Valores!$C$68</f>
        <v>-962.7751800000002</v>
      </c>
      <c r="AT100" s="78">
        <f>AJ100*-Valores!$C$69</f>
        <v>-106.97502000000001</v>
      </c>
      <c r="AU100" s="15">
        <f t="shared" si="18"/>
        <v>30018.528800000004</v>
      </c>
      <c r="AV100" s="15">
        <f t="shared" si="19"/>
        <v>30553.403900000005</v>
      </c>
      <c r="AW100" s="78">
        <f>AJ100*Valores!$C$70</f>
        <v>5705.334400000001</v>
      </c>
      <c r="AX100" s="78">
        <f>AJ100*Valores!$C$71</f>
        <v>1604.6253000000002</v>
      </c>
      <c r="AY100" s="78">
        <f>AJ100*Valores!$C$73</f>
        <v>356.58340000000004</v>
      </c>
      <c r="AZ100" s="78">
        <f>AJ100*Valores!$C$74</f>
        <v>1248.0419000000002</v>
      </c>
      <c r="BA100" s="78">
        <f>AJ100*Valores!$C$75</f>
        <v>213.95004000000003</v>
      </c>
      <c r="BB100" s="78">
        <f t="shared" si="22"/>
        <v>1925.5503600000002</v>
      </c>
      <c r="BC100" s="20"/>
      <c r="BD100" s="20"/>
      <c r="BE100" s="9" t="s">
        <v>462</v>
      </c>
    </row>
    <row r="101" spans="1:57" s="9" customFormat="1" ht="11.25" customHeight="1">
      <c r="A101" s="55">
        <v>100</v>
      </c>
      <c r="B101" s="55" t="s">
        <v>458</v>
      </c>
      <c r="C101" s="52" t="s">
        <v>178</v>
      </c>
      <c r="D101" s="52"/>
      <c r="E101" s="52">
        <f t="shared" si="20"/>
        <v>31</v>
      </c>
      <c r="F101" s="53" t="s">
        <v>179</v>
      </c>
      <c r="G101" s="124">
        <v>89</v>
      </c>
      <c r="H101" s="129">
        <f>INT((G101*Valores!$C$2*100)+0.5)/100</f>
        <v>533.94</v>
      </c>
      <c r="I101" s="114">
        <v>1956</v>
      </c>
      <c r="J101" s="80">
        <f>INT((I101*Valores!$C$2*100)+0.5)/100</f>
        <v>11734.64</v>
      </c>
      <c r="K101" s="147">
        <v>0</v>
      </c>
      <c r="L101" s="80">
        <f>INT((K101*Valores!$C$2*100)+0.5)/100</f>
        <v>0</v>
      </c>
      <c r="M101" s="121">
        <v>0</v>
      </c>
      <c r="N101" s="80">
        <f>INT((M101*Valores!$C$2*100)+0.5)/100</f>
        <v>0</v>
      </c>
      <c r="O101" s="80">
        <f t="shared" si="14"/>
        <v>0</v>
      </c>
      <c r="P101" s="80">
        <f t="shared" si="15"/>
        <v>6569.955</v>
      </c>
      <c r="Q101" s="81">
        <f>Valores!$C$20</f>
        <v>3519.79</v>
      </c>
      <c r="R101" s="81">
        <f>Valores!$D$4</f>
        <v>2683.49</v>
      </c>
      <c r="S101" s="80">
        <v>0</v>
      </c>
      <c r="T101" s="82">
        <f>Valores!$C$42</f>
        <v>871.33</v>
      </c>
      <c r="U101" s="80">
        <f>Valores!$C$23</f>
        <v>2584.33</v>
      </c>
      <c r="V101" s="80">
        <f t="shared" si="13"/>
        <v>3876.495</v>
      </c>
      <c r="W101" s="80">
        <v>0</v>
      </c>
      <c r="X101" s="80">
        <v>0</v>
      </c>
      <c r="Y101" s="115">
        <v>0</v>
      </c>
      <c r="Z101" s="80">
        <f>Y101*Valores!$C$2</f>
        <v>0</v>
      </c>
      <c r="AA101" s="80">
        <v>0</v>
      </c>
      <c r="AB101" s="90">
        <f>Valores!$C$29</f>
        <v>151.15</v>
      </c>
      <c r="AC101" s="80">
        <f t="shared" si="16"/>
        <v>0</v>
      </c>
      <c r="AD101" s="80">
        <f>Valores!$C$30</f>
        <v>151.15</v>
      </c>
      <c r="AE101" s="115">
        <v>0</v>
      </c>
      <c r="AF101" s="80">
        <f>INT(((AE101*Valores!$C$2)*100)+0.5)/100</f>
        <v>0</v>
      </c>
      <c r="AG101" s="80">
        <f>Valores!$C$58</f>
        <v>307.46</v>
      </c>
      <c r="AH101" s="80">
        <f>Valores!$C$60</f>
        <v>87.85</v>
      </c>
      <c r="AI101" s="80">
        <f>SUM(H101,J101,L101,N101,O101,P101,Q101,R101,S101,T101,V101,W101,X101,Z101,AA101,AB101,AC101,AD101,AF101,AG101,AH101)*Valores!$C$63</f>
        <v>0</v>
      </c>
      <c r="AJ101" s="54">
        <f t="shared" si="17"/>
        <v>30487.250000000004</v>
      </c>
      <c r="AK101" s="81">
        <f>Valores!$C$35</f>
        <v>415.59</v>
      </c>
      <c r="AL101" s="82">
        <f>Valores!$C$8</f>
        <v>234.26</v>
      </c>
      <c r="AM101" s="90">
        <f>Valores!$C$51</f>
        <v>128.84</v>
      </c>
      <c r="AN101" s="82">
        <f>IF($H$4="SI",SUM(AL101+AM101),AL101)*Valores!$C$63</f>
        <v>0</v>
      </c>
      <c r="AO101" s="185">
        <f t="shared" si="21"/>
        <v>778.6899999999999</v>
      </c>
      <c r="AP101" s="153">
        <f>AJ101*-Valores!$C$65</f>
        <v>-3963.3425000000007</v>
      </c>
      <c r="AQ101" s="153">
        <f>AJ101*-Valores!$C$66</f>
        <v>-152.43625000000003</v>
      </c>
      <c r="AR101" s="81">
        <f>AJ101*-Valores!$C$67</f>
        <v>-1371.9262500000002</v>
      </c>
      <c r="AS101" s="81">
        <f>AJ101*-Valores!$C$68</f>
        <v>-823.1557500000002</v>
      </c>
      <c r="AT101" s="81">
        <f>AJ101*-Valores!$C$69</f>
        <v>-91.46175000000001</v>
      </c>
      <c r="AU101" s="54">
        <f t="shared" si="18"/>
        <v>25778.235</v>
      </c>
      <c r="AV101" s="54">
        <f t="shared" si="19"/>
        <v>26235.54375</v>
      </c>
      <c r="AW101" s="81">
        <f>AJ101*Valores!$C$70</f>
        <v>4877.960000000001</v>
      </c>
      <c r="AX101" s="81">
        <f>AJ101*Valores!$C$71</f>
        <v>1371.9262500000002</v>
      </c>
      <c r="AY101" s="81">
        <f>AJ101*Valores!$C$73</f>
        <v>304.87250000000006</v>
      </c>
      <c r="AZ101" s="81">
        <f>AJ101*Valores!$C$74</f>
        <v>1067.0537500000003</v>
      </c>
      <c r="BA101" s="81">
        <f>AJ101*Valores!$C$75</f>
        <v>182.92350000000002</v>
      </c>
      <c r="BB101" s="81">
        <f t="shared" si="22"/>
        <v>1646.3115000000003</v>
      </c>
      <c r="BC101" s="55"/>
      <c r="BD101" s="55"/>
      <c r="BE101" s="52" t="s">
        <v>461</v>
      </c>
    </row>
    <row r="102" spans="1:57" s="9" customFormat="1" ht="11.25" customHeight="1">
      <c r="A102" s="20">
        <v>101</v>
      </c>
      <c r="B102" s="20"/>
      <c r="C102" s="9" t="s">
        <v>180</v>
      </c>
      <c r="E102" s="9">
        <f t="shared" si="20"/>
        <v>31</v>
      </c>
      <c r="F102" s="10" t="s">
        <v>181</v>
      </c>
      <c r="G102" s="123">
        <v>89</v>
      </c>
      <c r="H102" s="7">
        <f>INT((G102*Valores!$C$2*100)+0.5)/100</f>
        <v>533.94</v>
      </c>
      <c r="I102" s="113">
        <v>1267</v>
      </c>
      <c r="J102" s="77">
        <f>INT((I102*Valores!$C$2*100)+0.5)/100</f>
        <v>7601.12</v>
      </c>
      <c r="K102" s="146">
        <v>0</v>
      </c>
      <c r="L102" s="77">
        <f>INT((K102*Valores!$C$2*100)+0.5)/100</f>
        <v>0</v>
      </c>
      <c r="M102" s="120">
        <v>0</v>
      </c>
      <c r="N102" s="77">
        <f>INT((M102*Valores!$C$2*100)+0.5)/100</f>
        <v>0</v>
      </c>
      <c r="O102" s="77">
        <f t="shared" si="14"/>
        <v>0</v>
      </c>
      <c r="P102" s="77">
        <f t="shared" si="15"/>
        <v>4503.195</v>
      </c>
      <c r="Q102" s="78">
        <f>Valores!$C$20</f>
        <v>3519.79</v>
      </c>
      <c r="R102" s="78">
        <f>Valores!$D$4</f>
        <v>2683.49</v>
      </c>
      <c r="S102" s="77">
        <v>0</v>
      </c>
      <c r="T102" s="79">
        <f>Valores!$C$42</f>
        <v>871.33</v>
      </c>
      <c r="U102" s="77">
        <f>Valores!$C$23</f>
        <v>2584.33</v>
      </c>
      <c r="V102" s="77">
        <f t="shared" si="13"/>
        <v>3876.495</v>
      </c>
      <c r="W102" s="77">
        <v>0</v>
      </c>
      <c r="X102" s="77">
        <v>0</v>
      </c>
      <c r="Y102" s="116">
        <v>0</v>
      </c>
      <c r="Z102" s="77">
        <f>Y102*Valores!$C$2</f>
        <v>0</v>
      </c>
      <c r="AA102" s="77">
        <v>0</v>
      </c>
      <c r="AB102" s="89">
        <f>Valores!$C$29</f>
        <v>151.15</v>
      </c>
      <c r="AC102" s="77">
        <f t="shared" si="16"/>
        <v>0</v>
      </c>
      <c r="AD102" s="77">
        <f>Valores!$C$30</f>
        <v>151.15</v>
      </c>
      <c r="AE102" s="116">
        <v>0</v>
      </c>
      <c r="AF102" s="77">
        <f>INT(((AE102*Valores!$C$2)*100)+0.5)/100</f>
        <v>0</v>
      </c>
      <c r="AG102" s="77">
        <f>Valores!$C$58</f>
        <v>307.46</v>
      </c>
      <c r="AH102" s="77">
        <f>Valores!$C$60</f>
        <v>87.85</v>
      </c>
      <c r="AI102" s="77">
        <f>SUM(H102,J102,L102,N102,O102,P102,Q102,R102,S102,T102,V102,W102,X102,Z102,AA102,AB102,AC102,AD102,AF102,AG102,AH102)*Valores!$C$63</f>
        <v>0</v>
      </c>
      <c r="AJ102" s="15">
        <f t="shared" si="17"/>
        <v>24286.969999999998</v>
      </c>
      <c r="AK102" s="78">
        <f>Valores!$C$35</f>
        <v>415.59</v>
      </c>
      <c r="AL102" s="79">
        <f>Valores!$C$8</f>
        <v>234.26</v>
      </c>
      <c r="AM102" s="89">
        <f>Valores!$C$51</f>
        <v>128.84</v>
      </c>
      <c r="AN102" s="79">
        <f>IF($H$4="SI",SUM(AL102+AM102),AL102)*Valores!$C$63</f>
        <v>0</v>
      </c>
      <c r="AO102" s="12">
        <f t="shared" si="21"/>
        <v>778.6899999999999</v>
      </c>
      <c r="AP102" s="152">
        <f>AJ102*-Valores!$C$65</f>
        <v>-3157.3061</v>
      </c>
      <c r="AQ102" s="152">
        <f>AJ102*-Valores!$C$66</f>
        <v>-121.43484999999998</v>
      </c>
      <c r="AR102" s="78">
        <f>AJ102*-Valores!$C$67</f>
        <v>-1092.91365</v>
      </c>
      <c r="AS102" s="78">
        <f>AJ102*-Valores!$C$68</f>
        <v>-655.74819</v>
      </c>
      <c r="AT102" s="78">
        <f>AJ102*-Valores!$C$69</f>
        <v>-72.86090999999999</v>
      </c>
      <c r="AU102" s="15">
        <f t="shared" si="18"/>
        <v>20694.005399999995</v>
      </c>
      <c r="AV102" s="15">
        <f t="shared" si="19"/>
        <v>21058.30995</v>
      </c>
      <c r="AW102" s="78">
        <f>AJ102*Valores!$C$70</f>
        <v>3885.9151999999995</v>
      </c>
      <c r="AX102" s="78">
        <f>AJ102*Valores!$C$71</f>
        <v>1092.91365</v>
      </c>
      <c r="AY102" s="78">
        <f>AJ102*Valores!$C$73</f>
        <v>242.86969999999997</v>
      </c>
      <c r="AZ102" s="78">
        <f>AJ102*Valores!$C$74</f>
        <v>850.04395</v>
      </c>
      <c r="BA102" s="78">
        <f>AJ102*Valores!$C$75</f>
        <v>145.72181999999998</v>
      </c>
      <c r="BB102" s="78">
        <f t="shared" si="22"/>
        <v>1311.49638</v>
      </c>
      <c r="BC102" s="20"/>
      <c r="BD102" s="20"/>
      <c r="BE102" s="9" t="s">
        <v>461</v>
      </c>
    </row>
    <row r="103" spans="1:57" s="9" customFormat="1" ht="11.25" customHeight="1">
      <c r="A103" s="20">
        <v>102</v>
      </c>
      <c r="B103" s="20"/>
      <c r="C103" s="9" t="s">
        <v>182</v>
      </c>
      <c r="E103" s="9">
        <f t="shared" si="20"/>
        <v>31</v>
      </c>
      <c r="F103" s="10" t="s">
        <v>183</v>
      </c>
      <c r="G103" s="123">
        <v>67</v>
      </c>
      <c r="H103" s="7">
        <f>INT((G103*Valores!$C$2*100)+0.5)/100</f>
        <v>401.95</v>
      </c>
      <c r="I103" s="113">
        <v>2108</v>
      </c>
      <c r="J103" s="77">
        <f>INT((I103*Valores!$C$2*100)+0.5)/100</f>
        <v>12646.53</v>
      </c>
      <c r="K103" s="146">
        <v>0</v>
      </c>
      <c r="L103" s="77">
        <f>INT((K103*Valores!$C$2*100)+0.5)/100</f>
        <v>0</v>
      </c>
      <c r="M103" s="120">
        <v>0</v>
      </c>
      <c r="N103" s="77">
        <f>INT((M103*Valores!$C$2*100)+0.5)/100</f>
        <v>0</v>
      </c>
      <c r="O103" s="77">
        <f t="shared" si="14"/>
        <v>0</v>
      </c>
      <c r="P103" s="77">
        <f t="shared" si="15"/>
        <v>6850.985000000001</v>
      </c>
      <c r="Q103" s="78">
        <f>Valores!$C$20</f>
        <v>3519.79</v>
      </c>
      <c r="R103" s="78">
        <f>Valores!$D$4</f>
        <v>2683.49</v>
      </c>
      <c r="S103" s="77">
        <v>0</v>
      </c>
      <c r="T103" s="79">
        <f>Valores!$C$40</f>
        <v>653.49</v>
      </c>
      <c r="U103" s="61">
        <f>Valores!$C$24</f>
        <v>2549.17</v>
      </c>
      <c r="V103" s="77">
        <f t="shared" si="13"/>
        <v>3823.755</v>
      </c>
      <c r="W103" s="77">
        <v>0</v>
      </c>
      <c r="X103" s="77">
        <v>0</v>
      </c>
      <c r="Y103" s="116">
        <v>0</v>
      </c>
      <c r="Z103" s="77">
        <f>Y103*Valores!$C$2</f>
        <v>0</v>
      </c>
      <c r="AA103" s="77">
        <v>0</v>
      </c>
      <c r="AB103" s="89">
        <f>Valores!$C$29</f>
        <v>151.15</v>
      </c>
      <c r="AC103" s="77">
        <f t="shared" si="16"/>
        <v>0</v>
      </c>
      <c r="AD103" s="77">
        <f>Valores!$C$30</f>
        <v>151.15</v>
      </c>
      <c r="AE103" s="116">
        <v>0</v>
      </c>
      <c r="AF103" s="77">
        <f>INT(((AE103*Valores!$C$2)*100)+0.5)/100</f>
        <v>0</v>
      </c>
      <c r="AG103" s="77">
        <f>Valores!$C$58</f>
        <v>307.46</v>
      </c>
      <c r="AH103" s="77">
        <f>Valores!$C$60</f>
        <v>87.85</v>
      </c>
      <c r="AI103" s="77">
        <f>SUM(H103,J103,L103,N103,O103,P103,Q103,R103,S103,T103,V103,W103,X103,Z103,AA103,AB103,AC103,AD103,AF103,AG103,AH103)*Valores!$C$63</f>
        <v>0</v>
      </c>
      <c r="AJ103" s="15">
        <f t="shared" si="17"/>
        <v>31277.600000000006</v>
      </c>
      <c r="AK103" s="78">
        <f>Valores!$C$35</f>
        <v>415.59</v>
      </c>
      <c r="AL103" s="79">
        <f>Valores!$C$6</f>
        <v>175.69</v>
      </c>
      <c r="AM103" s="89">
        <f>Valores!$C$51</f>
        <v>128.84</v>
      </c>
      <c r="AN103" s="79">
        <f>IF($H$4="SI",SUM(AL103+AM103),AL103)*Valores!$C$63</f>
        <v>0</v>
      </c>
      <c r="AO103" s="12">
        <f t="shared" si="21"/>
        <v>720.12</v>
      </c>
      <c r="AP103" s="152">
        <f>AJ103*-Valores!$C$65</f>
        <v>-4066.088000000001</v>
      </c>
      <c r="AQ103" s="152">
        <f>AJ103*-Valores!$C$66</f>
        <v>-156.38800000000003</v>
      </c>
      <c r="AR103" s="78">
        <f>AJ103*-Valores!$C$67</f>
        <v>-1407.4920000000002</v>
      </c>
      <c r="AS103" s="78">
        <f>AJ103*-Valores!$C$68</f>
        <v>-844.4952000000003</v>
      </c>
      <c r="AT103" s="78">
        <f>AJ103*-Valores!$C$69</f>
        <v>-93.83280000000002</v>
      </c>
      <c r="AU103" s="15">
        <f t="shared" si="18"/>
        <v>26367.752000000004</v>
      </c>
      <c r="AV103" s="15">
        <f t="shared" si="19"/>
        <v>26836.916000000005</v>
      </c>
      <c r="AW103" s="78">
        <f>AJ103*Valores!$C$70</f>
        <v>5004.416000000001</v>
      </c>
      <c r="AX103" s="78">
        <f>AJ103*Valores!$C$71</f>
        <v>1407.4920000000002</v>
      </c>
      <c r="AY103" s="78">
        <f>AJ103*Valores!$C$73</f>
        <v>312.77600000000007</v>
      </c>
      <c r="AZ103" s="78">
        <f>AJ103*Valores!$C$74</f>
        <v>1094.7160000000003</v>
      </c>
      <c r="BA103" s="78">
        <f>AJ103*Valores!$C$75</f>
        <v>187.66560000000004</v>
      </c>
      <c r="BB103" s="78">
        <f t="shared" si="22"/>
        <v>1688.9904000000004</v>
      </c>
      <c r="BC103" s="20"/>
      <c r="BD103" s="20">
        <v>30</v>
      </c>
      <c r="BE103" s="9" t="s">
        <v>462</v>
      </c>
    </row>
    <row r="104" spans="1:57" s="9" customFormat="1" ht="11.25" customHeight="1">
      <c r="A104" s="20">
        <v>103</v>
      </c>
      <c r="B104" s="20"/>
      <c r="C104" s="9" t="s">
        <v>184</v>
      </c>
      <c r="E104" s="9">
        <f t="shared" si="20"/>
        <v>30</v>
      </c>
      <c r="F104" s="10" t="s">
        <v>185</v>
      </c>
      <c r="G104" s="123">
        <v>45</v>
      </c>
      <c r="H104" s="7">
        <f>INT((G104*Valores!$C$2*100)+0.5)/100</f>
        <v>269.97</v>
      </c>
      <c r="I104" s="113">
        <v>1502</v>
      </c>
      <c r="J104" s="77">
        <f>INT((I104*Valores!$C$2*100)+0.5)/100</f>
        <v>9010.95</v>
      </c>
      <c r="K104" s="146">
        <v>0</v>
      </c>
      <c r="L104" s="77">
        <f>INT((K104*Valores!$C$2*100)+0.5)/100</f>
        <v>0</v>
      </c>
      <c r="M104" s="120">
        <v>0</v>
      </c>
      <c r="N104" s="77">
        <f>INT((M104*Valores!$C$2*100)+0.5)/100</f>
        <v>0</v>
      </c>
      <c r="O104" s="77">
        <f t="shared" si="14"/>
        <v>0</v>
      </c>
      <c r="P104" s="77">
        <f t="shared" si="15"/>
        <v>4967.205</v>
      </c>
      <c r="Q104" s="78">
        <f>Valores!$C$20</f>
        <v>3519.79</v>
      </c>
      <c r="R104" s="78">
        <f>Valores!$D$4</f>
        <v>2683.49</v>
      </c>
      <c r="S104" s="77">
        <v>0</v>
      </c>
      <c r="T104" s="79">
        <f>Valores!$C$40</f>
        <v>653.49</v>
      </c>
      <c r="U104" s="61">
        <f>Valores!$C$24</f>
        <v>2549.17</v>
      </c>
      <c r="V104" s="77">
        <f t="shared" si="13"/>
        <v>3823.755</v>
      </c>
      <c r="W104" s="77">
        <v>0</v>
      </c>
      <c r="X104" s="77">
        <v>0</v>
      </c>
      <c r="Y104" s="116">
        <v>0</v>
      </c>
      <c r="Z104" s="77">
        <f>Y104*Valores!$C$2</f>
        <v>0</v>
      </c>
      <c r="AA104" s="77">
        <v>0</v>
      </c>
      <c r="AB104" s="89">
        <f>Valores!$C$29</f>
        <v>151.15</v>
      </c>
      <c r="AC104" s="77">
        <f t="shared" si="16"/>
        <v>0</v>
      </c>
      <c r="AD104" s="77">
        <f>Valores!$C$30</f>
        <v>151.15</v>
      </c>
      <c r="AE104" s="116">
        <v>0</v>
      </c>
      <c r="AF104" s="77">
        <f>INT(((AE104*Valores!$C$2)*100)+0.5)/100</f>
        <v>0</v>
      </c>
      <c r="AG104" s="77">
        <f>Valores!$C$58</f>
        <v>307.46</v>
      </c>
      <c r="AH104" s="77">
        <f>Valores!$C$60</f>
        <v>87.85</v>
      </c>
      <c r="AI104" s="77">
        <f>SUM(H104,J104,L104,N104,O104,P104,Q104,R104,S104,T104,V104,W104,X104,Z104,AA104,AB104,AC104,AD104,AF104,AG104,AH104)*Valores!$C$63</f>
        <v>0</v>
      </c>
      <c r="AJ104" s="15">
        <f t="shared" si="17"/>
        <v>25626.260000000002</v>
      </c>
      <c r="AK104" s="78">
        <f>Valores!$C$35</f>
        <v>415.59</v>
      </c>
      <c r="AL104" s="79">
        <f>Valores!$C$6</f>
        <v>175.69</v>
      </c>
      <c r="AM104" s="89">
        <f>Valores!$C$51</f>
        <v>128.84</v>
      </c>
      <c r="AN104" s="79">
        <f>IF($H$4="SI",SUM(AL104+AM104),AL104)*Valores!$C$63</f>
        <v>0</v>
      </c>
      <c r="AO104" s="12">
        <f t="shared" si="21"/>
        <v>720.12</v>
      </c>
      <c r="AP104" s="152">
        <f>AJ104*-Valores!$C$65</f>
        <v>-3331.4138000000003</v>
      </c>
      <c r="AQ104" s="152">
        <f>AJ104*-Valores!$C$66</f>
        <v>-128.1313</v>
      </c>
      <c r="AR104" s="78">
        <f>AJ104*-Valores!$C$67</f>
        <v>-1153.1817</v>
      </c>
      <c r="AS104" s="78">
        <f>AJ104*-Valores!$C$68</f>
        <v>-691.9090200000002</v>
      </c>
      <c r="AT104" s="78">
        <f>AJ104*-Valores!$C$69</f>
        <v>-76.87878</v>
      </c>
      <c r="AU104" s="15">
        <f t="shared" si="18"/>
        <v>21733.6532</v>
      </c>
      <c r="AV104" s="15">
        <f t="shared" si="19"/>
        <v>22118.047100000003</v>
      </c>
      <c r="AW104" s="78">
        <f>AJ104*Valores!$C$70</f>
        <v>4100.2016</v>
      </c>
      <c r="AX104" s="78">
        <f>AJ104*Valores!$C$71</f>
        <v>1153.1817</v>
      </c>
      <c r="AY104" s="78">
        <f>AJ104*Valores!$C$73</f>
        <v>256.2626</v>
      </c>
      <c r="AZ104" s="78">
        <f>AJ104*Valores!$C$74</f>
        <v>896.9191000000002</v>
      </c>
      <c r="BA104" s="78">
        <f>AJ104*Valores!$C$75</f>
        <v>153.75756</v>
      </c>
      <c r="BB104" s="78">
        <f t="shared" si="22"/>
        <v>1383.8180400000003</v>
      </c>
      <c r="BC104" s="20"/>
      <c r="BD104" s="55"/>
      <c r="BE104" s="9" t="s">
        <v>462</v>
      </c>
    </row>
    <row r="105" spans="1:57" s="9" customFormat="1" ht="11.25" customHeight="1">
      <c r="A105" s="20">
        <v>104</v>
      </c>
      <c r="B105" s="20"/>
      <c r="C105" s="9" t="s">
        <v>186</v>
      </c>
      <c r="E105" s="9">
        <f t="shared" si="20"/>
        <v>32</v>
      </c>
      <c r="F105" s="10" t="s">
        <v>187</v>
      </c>
      <c r="G105" s="123">
        <v>61</v>
      </c>
      <c r="H105" s="7">
        <f>INT((G105*Valores!$C$2*100)+0.5)/100</f>
        <v>365.96</v>
      </c>
      <c r="I105" s="113">
        <v>2114</v>
      </c>
      <c r="J105" s="77">
        <f>INT((I105*Valores!$C$2*100)+0.5)/100</f>
        <v>12682.53</v>
      </c>
      <c r="K105" s="146">
        <v>0</v>
      </c>
      <c r="L105" s="77">
        <f>INT((K105*Valores!$C$2*100)+0.5)/100</f>
        <v>0</v>
      </c>
      <c r="M105" s="120">
        <v>0</v>
      </c>
      <c r="N105" s="77">
        <f>INT((M105*Valores!$C$2*100)+0.5)/100</f>
        <v>0</v>
      </c>
      <c r="O105" s="77">
        <f t="shared" si="14"/>
        <v>0</v>
      </c>
      <c r="P105" s="77">
        <f t="shared" si="15"/>
        <v>6850.99</v>
      </c>
      <c r="Q105" s="78">
        <f>Valores!$C$20</f>
        <v>3519.79</v>
      </c>
      <c r="R105" s="78">
        <f>Valores!$D$4</f>
        <v>2683.49</v>
      </c>
      <c r="S105" s="77">
        <v>0</v>
      </c>
      <c r="T105" s="79">
        <f>Valores!$C$40</f>
        <v>653.49</v>
      </c>
      <c r="U105" s="61">
        <f>Valores!$C$24</f>
        <v>2549.17</v>
      </c>
      <c r="V105" s="77">
        <f t="shared" si="13"/>
        <v>3823.755</v>
      </c>
      <c r="W105" s="77">
        <v>0</v>
      </c>
      <c r="X105" s="77">
        <v>0</v>
      </c>
      <c r="Y105" s="116">
        <v>0</v>
      </c>
      <c r="Z105" s="77">
        <f>Y105*Valores!$C$2</f>
        <v>0</v>
      </c>
      <c r="AA105" s="77">
        <v>0</v>
      </c>
      <c r="AB105" s="89">
        <f>Valores!$C$29</f>
        <v>151.15</v>
      </c>
      <c r="AC105" s="77">
        <f t="shared" si="16"/>
        <v>0</v>
      </c>
      <c r="AD105" s="77">
        <f>Valores!$C$30</f>
        <v>151.15</v>
      </c>
      <c r="AE105" s="116">
        <v>0</v>
      </c>
      <c r="AF105" s="77">
        <f>INT(((AE105*Valores!$C$2)*100)+0.5)/100</f>
        <v>0</v>
      </c>
      <c r="AG105" s="77">
        <f>Valores!$C$58</f>
        <v>307.46</v>
      </c>
      <c r="AH105" s="77">
        <f>Valores!$C$60</f>
        <v>87.85</v>
      </c>
      <c r="AI105" s="77">
        <f>SUM(H105,J105,L105,N105,O105,P105,Q105,R105,S105,T105,V105,W105,X105,Z105,AA105,AB105,AC105,AD105,AF105,AG105,AH105)*Valores!$C$63</f>
        <v>0</v>
      </c>
      <c r="AJ105" s="15">
        <f t="shared" si="17"/>
        <v>31277.615000000005</v>
      </c>
      <c r="AK105" s="78">
        <f>Valores!$C$35</f>
        <v>415.59</v>
      </c>
      <c r="AL105" s="79">
        <f>Valores!$C$6</f>
        <v>175.69</v>
      </c>
      <c r="AM105" s="89">
        <f>Valores!$C$51</f>
        <v>128.84</v>
      </c>
      <c r="AN105" s="79">
        <f>IF($H$4="SI",SUM(AL105+AM105),AL105)*Valores!$C$63</f>
        <v>0</v>
      </c>
      <c r="AO105" s="12">
        <f t="shared" si="21"/>
        <v>720.12</v>
      </c>
      <c r="AP105" s="152">
        <f>AJ105*-Valores!$C$65</f>
        <v>-4066.089950000001</v>
      </c>
      <c r="AQ105" s="152">
        <f>AJ105*-Valores!$C$66</f>
        <v>-156.38807500000004</v>
      </c>
      <c r="AR105" s="78">
        <f>AJ105*-Valores!$C$67</f>
        <v>-1407.4926750000002</v>
      </c>
      <c r="AS105" s="78">
        <f>AJ105*-Valores!$C$68</f>
        <v>-844.4956050000003</v>
      </c>
      <c r="AT105" s="78">
        <f>AJ105*-Valores!$C$69</f>
        <v>-93.83284500000002</v>
      </c>
      <c r="AU105" s="15">
        <f t="shared" si="18"/>
        <v>26367.764300000003</v>
      </c>
      <c r="AV105" s="15">
        <f t="shared" si="19"/>
        <v>26836.928525000003</v>
      </c>
      <c r="AW105" s="78">
        <f>AJ105*Valores!$C$70</f>
        <v>5004.418400000001</v>
      </c>
      <c r="AX105" s="78">
        <f>AJ105*Valores!$C$71</f>
        <v>1407.4926750000002</v>
      </c>
      <c r="AY105" s="78">
        <f>AJ105*Valores!$C$73</f>
        <v>312.7761500000001</v>
      </c>
      <c r="AZ105" s="78">
        <f>AJ105*Valores!$C$74</f>
        <v>1094.7165250000003</v>
      </c>
      <c r="BA105" s="78">
        <f>AJ105*Valores!$C$75</f>
        <v>187.66569000000004</v>
      </c>
      <c r="BB105" s="78">
        <f t="shared" si="22"/>
        <v>1688.9912100000004</v>
      </c>
      <c r="BC105" s="20"/>
      <c r="BD105" s="20">
        <v>30</v>
      </c>
      <c r="BE105" s="9" t="s">
        <v>462</v>
      </c>
    </row>
    <row r="106" spans="1:57" s="9" customFormat="1" ht="11.25" customHeight="1">
      <c r="A106" s="55">
        <v>105</v>
      </c>
      <c r="B106" s="55" t="s">
        <v>458</v>
      </c>
      <c r="C106" s="52" t="s">
        <v>188</v>
      </c>
      <c r="D106" s="52"/>
      <c r="E106" s="52">
        <f t="shared" si="20"/>
        <v>32</v>
      </c>
      <c r="F106" s="53" t="s">
        <v>189</v>
      </c>
      <c r="G106" s="124">
        <v>59</v>
      </c>
      <c r="H106" s="129">
        <f>INT((G106*Valores!$C$2*100)+0.5)/100</f>
        <v>353.96</v>
      </c>
      <c r="I106" s="114">
        <v>2013</v>
      </c>
      <c r="J106" s="80">
        <f>INT((I106*Valores!$C$2*100)+0.5)/100</f>
        <v>12076.6</v>
      </c>
      <c r="K106" s="147">
        <v>0</v>
      </c>
      <c r="L106" s="80">
        <f>INT((K106*Valores!$C$2*100)+0.5)/100</f>
        <v>0</v>
      </c>
      <c r="M106" s="121">
        <v>0</v>
      </c>
      <c r="N106" s="80">
        <f>INT((M106*Valores!$C$2*100)+0.5)/100</f>
        <v>0</v>
      </c>
      <c r="O106" s="80">
        <f t="shared" si="14"/>
        <v>0</v>
      </c>
      <c r="P106" s="80">
        <f t="shared" si="15"/>
        <v>6542.025</v>
      </c>
      <c r="Q106" s="81">
        <f>Valores!$C$20</f>
        <v>3519.79</v>
      </c>
      <c r="R106" s="81">
        <f>Valores!$D$4</f>
        <v>2683.49</v>
      </c>
      <c r="S106" s="80">
        <v>0</v>
      </c>
      <c r="T106" s="82">
        <f>Valores!$C$40</f>
        <v>653.49</v>
      </c>
      <c r="U106" s="85">
        <f>Valores!$C$24</f>
        <v>2549.17</v>
      </c>
      <c r="V106" s="80">
        <f t="shared" si="13"/>
        <v>3823.755</v>
      </c>
      <c r="W106" s="80">
        <v>0</v>
      </c>
      <c r="X106" s="80">
        <v>0</v>
      </c>
      <c r="Y106" s="115">
        <v>0</v>
      </c>
      <c r="Z106" s="80">
        <f>Y106*Valores!$C$2</f>
        <v>0</v>
      </c>
      <c r="AA106" s="80">
        <v>0</v>
      </c>
      <c r="AB106" s="90">
        <f>Valores!$C$29</f>
        <v>151.15</v>
      </c>
      <c r="AC106" s="80">
        <f t="shared" si="16"/>
        <v>0</v>
      </c>
      <c r="AD106" s="80">
        <f>Valores!$C$30</f>
        <v>151.15</v>
      </c>
      <c r="AE106" s="115">
        <v>0</v>
      </c>
      <c r="AF106" s="80">
        <f>INT(((AE106*Valores!$C$2)*100)+0.5)/100</f>
        <v>0</v>
      </c>
      <c r="AG106" s="80">
        <f>Valores!$C$58</f>
        <v>307.46</v>
      </c>
      <c r="AH106" s="80">
        <f>Valores!$C$60</f>
        <v>87.85</v>
      </c>
      <c r="AI106" s="80">
        <f>SUM(H106,J106,L106,N106,O106,P106,Q106,R106,S106,T106,V106,W106,X106,Z106,AA106,AB106,AC106,AD106,AF106,AG106,AH106)*Valores!$C$63</f>
        <v>0</v>
      </c>
      <c r="AJ106" s="54">
        <f t="shared" si="17"/>
        <v>30350.72</v>
      </c>
      <c r="AK106" s="81">
        <f>Valores!$C$35</f>
        <v>415.59</v>
      </c>
      <c r="AL106" s="82">
        <f>Valores!$C$6</f>
        <v>175.69</v>
      </c>
      <c r="AM106" s="89">
        <f>Valores!$C$51</f>
        <v>128.84</v>
      </c>
      <c r="AN106" s="82">
        <f>IF($H$4="SI",SUM(AL106+AM106),AL106)*Valores!$C$63</f>
        <v>0</v>
      </c>
      <c r="AO106" s="185">
        <f t="shared" si="21"/>
        <v>720.12</v>
      </c>
      <c r="AP106" s="153">
        <f>AJ106*-Valores!$C$65</f>
        <v>-3945.5936</v>
      </c>
      <c r="AQ106" s="153">
        <f>AJ106*-Valores!$C$66</f>
        <v>-151.7536</v>
      </c>
      <c r="AR106" s="81">
        <f>AJ106*-Valores!$C$67</f>
        <v>-1365.7824</v>
      </c>
      <c r="AS106" s="81">
        <f>AJ106*-Valores!$C$68</f>
        <v>-819.4694400000001</v>
      </c>
      <c r="AT106" s="81">
        <f>AJ106*-Valores!$C$69</f>
        <v>-91.05216</v>
      </c>
      <c r="AU106" s="54">
        <f t="shared" si="18"/>
        <v>25607.7104</v>
      </c>
      <c r="AV106" s="54">
        <f t="shared" si="19"/>
        <v>26062.9712</v>
      </c>
      <c r="AW106" s="81">
        <f>AJ106*Valores!$C$70</f>
        <v>4856.1152</v>
      </c>
      <c r="AX106" s="81">
        <f>AJ106*Valores!$C$71</f>
        <v>1365.7824</v>
      </c>
      <c r="AY106" s="81">
        <f>AJ106*Valores!$C$73</f>
        <v>303.5072</v>
      </c>
      <c r="AZ106" s="81">
        <f>AJ106*Valores!$C$74</f>
        <v>1062.2752</v>
      </c>
      <c r="BA106" s="81">
        <f>AJ106*Valores!$C$75</f>
        <v>182.10432</v>
      </c>
      <c r="BB106" s="81">
        <f t="shared" si="22"/>
        <v>1638.9388800000002</v>
      </c>
      <c r="BC106" s="55"/>
      <c r="BD106" s="55">
        <v>30</v>
      </c>
      <c r="BE106" s="52" t="s">
        <v>462</v>
      </c>
    </row>
    <row r="107" spans="1:57" s="9" customFormat="1" ht="11.25" customHeight="1">
      <c r="A107" s="20">
        <v>106</v>
      </c>
      <c r="B107" s="20"/>
      <c r="C107" s="9" t="s">
        <v>190</v>
      </c>
      <c r="E107" s="9">
        <f t="shared" si="20"/>
        <v>32</v>
      </c>
      <c r="F107" s="10" t="s">
        <v>191</v>
      </c>
      <c r="G107" s="123">
        <v>56</v>
      </c>
      <c r="H107" s="7">
        <f>INT((G107*Valores!$C$2*100)+0.5)/100</f>
        <v>335.96</v>
      </c>
      <c r="I107" s="113">
        <v>1720</v>
      </c>
      <c r="J107" s="77">
        <f>INT((I107*Valores!$C$2*100)+0.5)/100</f>
        <v>10318.8</v>
      </c>
      <c r="K107" s="146">
        <v>0</v>
      </c>
      <c r="L107" s="77">
        <f>INT((K107*Valores!$C$2*100)+0.5)/100</f>
        <v>0</v>
      </c>
      <c r="M107" s="120">
        <v>0</v>
      </c>
      <c r="N107" s="77">
        <f>INT((M107*Valores!$C$2*100)+0.5)/100</f>
        <v>0</v>
      </c>
      <c r="O107" s="77">
        <f t="shared" si="14"/>
        <v>0</v>
      </c>
      <c r="P107" s="77">
        <f t="shared" si="15"/>
        <v>5654.124999999999</v>
      </c>
      <c r="Q107" s="78">
        <f>Valores!$C$20</f>
        <v>3519.79</v>
      </c>
      <c r="R107" s="78">
        <f>Valores!$D$4</f>
        <v>2683.49</v>
      </c>
      <c r="S107" s="77">
        <v>0</v>
      </c>
      <c r="T107" s="79">
        <f>Valores!$C$40</f>
        <v>653.49</v>
      </c>
      <c r="U107" s="61">
        <f>Valores!$C$24</f>
        <v>2549.17</v>
      </c>
      <c r="V107" s="77">
        <f t="shared" si="13"/>
        <v>3823.755</v>
      </c>
      <c r="W107" s="77">
        <v>0</v>
      </c>
      <c r="X107" s="77">
        <v>0</v>
      </c>
      <c r="Y107" s="116">
        <v>0</v>
      </c>
      <c r="Z107" s="77">
        <f>Y107*Valores!$C$2</f>
        <v>0</v>
      </c>
      <c r="AA107" s="77">
        <v>0</v>
      </c>
      <c r="AB107" s="89">
        <f>Valores!$C$29</f>
        <v>151.15</v>
      </c>
      <c r="AC107" s="77">
        <f t="shared" si="16"/>
        <v>0</v>
      </c>
      <c r="AD107" s="77">
        <f>Valores!$C$30</f>
        <v>151.15</v>
      </c>
      <c r="AE107" s="116">
        <v>0</v>
      </c>
      <c r="AF107" s="77">
        <f>INT(((AE107*Valores!$C$2)*100)+0.5)/100</f>
        <v>0</v>
      </c>
      <c r="AG107" s="77">
        <f>Valores!$C$58</f>
        <v>307.46</v>
      </c>
      <c r="AH107" s="77">
        <f>Valores!$C$60</f>
        <v>87.85</v>
      </c>
      <c r="AI107" s="77">
        <f>SUM(H107,J107,L107,N107,O107,P107,Q107,R107,S107,T107,V107,W107,X107,Z107,AA107,AB107,AC107,AD107,AF107,AG107,AH107)*Valores!$C$63</f>
        <v>0</v>
      </c>
      <c r="AJ107" s="15">
        <f t="shared" si="17"/>
        <v>27687.020000000004</v>
      </c>
      <c r="AK107" s="78">
        <f>Valores!$C$35</f>
        <v>415.59</v>
      </c>
      <c r="AL107" s="79">
        <f>Valores!$C$6</f>
        <v>175.69</v>
      </c>
      <c r="AM107" s="89">
        <f>Valores!$C$51</f>
        <v>128.84</v>
      </c>
      <c r="AN107" s="79">
        <f>IF($H$4="SI",SUM(AL107+AM107),AL107)*Valores!$C$63</f>
        <v>0</v>
      </c>
      <c r="AO107" s="12">
        <f t="shared" si="21"/>
        <v>720.12</v>
      </c>
      <c r="AP107" s="152">
        <f>AJ107*-Valores!$C$65</f>
        <v>-3599.3126000000007</v>
      </c>
      <c r="AQ107" s="152">
        <f>AJ107*-Valores!$C$66</f>
        <v>-138.43510000000003</v>
      </c>
      <c r="AR107" s="78">
        <f>AJ107*-Valores!$C$67</f>
        <v>-1245.9159000000002</v>
      </c>
      <c r="AS107" s="78">
        <f>AJ107*-Valores!$C$68</f>
        <v>-747.5495400000002</v>
      </c>
      <c r="AT107" s="78">
        <f>AJ107*-Valores!$C$69</f>
        <v>-83.06106000000001</v>
      </c>
      <c r="AU107" s="15">
        <f t="shared" si="18"/>
        <v>23423.476400000003</v>
      </c>
      <c r="AV107" s="15">
        <f t="shared" si="19"/>
        <v>23838.781700000003</v>
      </c>
      <c r="AW107" s="78">
        <f>AJ107*Valores!$C$70</f>
        <v>4429.923200000001</v>
      </c>
      <c r="AX107" s="78">
        <f>AJ107*Valores!$C$71</f>
        <v>1245.9159000000002</v>
      </c>
      <c r="AY107" s="78">
        <f>AJ107*Valores!$C$73</f>
        <v>276.87020000000007</v>
      </c>
      <c r="AZ107" s="78">
        <f>AJ107*Valores!$C$74</f>
        <v>969.0457000000002</v>
      </c>
      <c r="BA107" s="78">
        <f>AJ107*Valores!$C$75</f>
        <v>166.12212000000002</v>
      </c>
      <c r="BB107" s="78">
        <f t="shared" si="22"/>
        <v>1495.0990800000002</v>
      </c>
      <c r="BC107" s="20"/>
      <c r="BD107" s="20">
        <v>30</v>
      </c>
      <c r="BE107" s="9" t="s">
        <v>462</v>
      </c>
    </row>
    <row r="108" spans="1:57" s="9" customFormat="1" ht="11.25" customHeight="1">
      <c r="A108" s="20">
        <v>107</v>
      </c>
      <c r="B108" s="20"/>
      <c r="C108" s="9" t="s">
        <v>192</v>
      </c>
      <c r="E108" s="9">
        <f t="shared" si="20"/>
        <v>30</v>
      </c>
      <c r="F108" s="10" t="s">
        <v>193</v>
      </c>
      <c r="G108" s="123">
        <v>45</v>
      </c>
      <c r="H108" s="7">
        <f>INT((G108*Valores!$C$2*100)+0.5)/100</f>
        <v>269.97</v>
      </c>
      <c r="I108" s="113">
        <v>1502</v>
      </c>
      <c r="J108" s="77">
        <f>INT((I108*Valores!$C$2*100)+0.5)/100</f>
        <v>9010.95</v>
      </c>
      <c r="K108" s="146">
        <v>0</v>
      </c>
      <c r="L108" s="77">
        <f>INT((K108*Valores!$C$2*100)+0.5)/100</f>
        <v>0</v>
      </c>
      <c r="M108" s="120">
        <v>0</v>
      </c>
      <c r="N108" s="77">
        <f>INT((M108*Valores!$C$2*100)+0.5)/100</f>
        <v>0</v>
      </c>
      <c r="O108" s="77">
        <f t="shared" si="14"/>
        <v>0</v>
      </c>
      <c r="P108" s="77">
        <f t="shared" si="15"/>
        <v>4967.205</v>
      </c>
      <c r="Q108" s="78">
        <f>Valores!$C$20</f>
        <v>3519.79</v>
      </c>
      <c r="R108" s="78">
        <f>Valores!$D$4</f>
        <v>2683.49</v>
      </c>
      <c r="S108" s="77">
        <v>0</v>
      </c>
      <c r="T108" s="79">
        <f>Valores!$C$40</f>
        <v>653.49</v>
      </c>
      <c r="U108" s="61">
        <f>Valores!$C$24</f>
        <v>2549.17</v>
      </c>
      <c r="V108" s="77">
        <f t="shared" si="13"/>
        <v>3823.755</v>
      </c>
      <c r="W108" s="77">
        <v>0</v>
      </c>
      <c r="X108" s="77">
        <v>0</v>
      </c>
      <c r="Y108" s="116">
        <v>0</v>
      </c>
      <c r="Z108" s="77">
        <f>Y108*Valores!$C$2</f>
        <v>0</v>
      </c>
      <c r="AA108" s="77">
        <v>0</v>
      </c>
      <c r="AB108" s="89">
        <f>Valores!$C$29</f>
        <v>151.15</v>
      </c>
      <c r="AC108" s="77">
        <f t="shared" si="16"/>
        <v>0</v>
      </c>
      <c r="AD108" s="77">
        <f>Valores!$C$30</f>
        <v>151.15</v>
      </c>
      <c r="AE108" s="116">
        <v>0</v>
      </c>
      <c r="AF108" s="77">
        <f>INT(((AE108*Valores!$C$2)*100)+0.5)/100</f>
        <v>0</v>
      </c>
      <c r="AG108" s="77">
        <f>Valores!$C$58</f>
        <v>307.46</v>
      </c>
      <c r="AH108" s="77">
        <f>Valores!$C$60</f>
        <v>87.85</v>
      </c>
      <c r="AI108" s="77">
        <f>SUM(H108,J108,L108,N108,O108,P108,Q108,R108,S108,T108,V108,W108,X108,Z108,AA108,AB108,AC108,AD108,AF108,AG108,AH108)*Valores!$C$63</f>
        <v>0</v>
      </c>
      <c r="AJ108" s="15">
        <f t="shared" si="17"/>
        <v>25626.260000000002</v>
      </c>
      <c r="AK108" s="78">
        <f>Valores!$C$35</f>
        <v>415.59</v>
      </c>
      <c r="AL108" s="79">
        <f>Valores!$C$6</f>
        <v>175.69</v>
      </c>
      <c r="AM108" s="89">
        <f>Valores!$C$51</f>
        <v>128.84</v>
      </c>
      <c r="AN108" s="79">
        <f>IF($H$4="SI",SUM(AL108+AM108),AL108)*Valores!$C$63</f>
        <v>0</v>
      </c>
      <c r="AO108" s="12">
        <f t="shared" si="21"/>
        <v>720.12</v>
      </c>
      <c r="AP108" s="152">
        <f>AJ108*-Valores!$C$65</f>
        <v>-3331.4138000000003</v>
      </c>
      <c r="AQ108" s="152">
        <f>AJ108*-Valores!$C$66</f>
        <v>-128.1313</v>
      </c>
      <c r="AR108" s="78">
        <f>AJ108*-Valores!$C$67</f>
        <v>-1153.1817</v>
      </c>
      <c r="AS108" s="78">
        <f>AJ108*-Valores!$C$68</f>
        <v>-691.9090200000002</v>
      </c>
      <c r="AT108" s="78">
        <f>AJ108*-Valores!$C$69</f>
        <v>-76.87878</v>
      </c>
      <c r="AU108" s="15">
        <f t="shared" si="18"/>
        <v>21733.6532</v>
      </c>
      <c r="AV108" s="15">
        <f t="shared" si="19"/>
        <v>22118.047100000003</v>
      </c>
      <c r="AW108" s="78">
        <f>AJ108*Valores!$C$70</f>
        <v>4100.2016</v>
      </c>
      <c r="AX108" s="78">
        <f>AJ108*Valores!$C$71</f>
        <v>1153.1817</v>
      </c>
      <c r="AY108" s="78">
        <f>AJ108*Valores!$C$73</f>
        <v>256.2626</v>
      </c>
      <c r="AZ108" s="78">
        <f>AJ108*Valores!$C$74</f>
        <v>896.9191000000002</v>
      </c>
      <c r="BA108" s="78">
        <f>AJ108*Valores!$C$75</f>
        <v>153.75756</v>
      </c>
      <c r="BB108" s="78">
        <f t="shared" si="22"/>
        <v>1383.8180400000003</v>
      </c>
      <c r="BC108" s="20"/>
      <c r="BD108" s="20">
        <v>30</v>
      </c>
      <c r="BE108" s="9" t="s">
        <v>462</v>
      </c>
    </row>
    <row r="109" spans="1:57" s="9" customFormat="1" ht="11.25" customHeight="1">
      <c r="A109" s="20">
        <v>108</v>
      </c>
      <c r="B109" s="20"/>
      <c r="C109" s="9" t="s">
        <v>194</v>
      </c>
      <c r="E109" s="9">
        <f t="shared" si="20"/>
        <v>30</v>
      </c>
      <c r="F109" s="10" t="s">
        <v>195</v>
      </c>
      <c r="G109" s="123">
        <v>45</v>
      </c>
      <c r="H109" s="7">
        <f>INT((G109*Valores!$C$2*100)+0.5)/100</f>
        <v>269.97</v>
      </c>
      <c r="I109" s="113">
        <v>1139</v>
      </c>
      <c r="J109" s="77">
        <f>INT((I109*Valores!$C$2*100)+0.5)/100</f>
        <v>6833.21</v>
      </c>
      <c r="K109" s="146">
        <v>0</v>
      </c>
      <c r="L109" s="77">
        <f>INT((K109*Valores!$C$2*100)+0.5)/100</f>
        <v>0</v>
      </c>
      <c r="M109" s="120">
        <v>0</v>
      </c>
      <c r="N109" s="77">
        <f>INT((M109*Valores!$C$2*100)+0.5)/100</f>
        <v>0</v>
      </c>
      <c r="O109" s="77">
        <f t="shared" si="14"/>
        <v>0</v>
      </c>
      <c r="P109" s="77">
        <f t="shared" si="15"/>
        <v>3878.335</v>
      </c>
      <c r="Q109" s="78">
        <f>Valores!$C$20</f>
        <v>3519.79</v>
      </c>
      <c r="R109" s="78">
        <f>Valores!$D$4</f>
        <v>2683.49</v>
      </c>
      <c r="S109" s="77">
        <v>0</v>
      </c>
      <c r="T109" s="79">
        <f>Valores!$C$40</f>
        <v>653.49</v>
      </c>
      <c r="U109" s="61">
        <f>Valores!$C$24</f>
        <v>2549.17</v>
      </c>
      <c r="V109" s="77">
        <f t="shared" si="13"/>
        <v>3823.755</v>
      </c>
      <c r="W109" s="77">
        <v>0</v>
      </c>
      <c r="X109" s="77">
        <v>0</v>
      </c>
      <c r="Y109" s="116">
        <v>0</v>
      </c>
      <c r="Z109" s="77">
        <f>Y109*Valores!$C$2</f>
        <v>0</v>
      </c>
      <c r="AA109" s="77">
        <v>0</v>
      </c>
      <c r="AB109" s="89">
        <f>Valores!$C$29</f>
        <v>151.15</v>
      </c>
      <c r="AC109" s="77">
        <f t="shared" si="16"/>
        <v>0</v>
      </c>
      <c r="AD109" s="77">
        <f>Valores!$C$30</f>
        <v>151.15</v>
      </c>
      <c r="AE109" s="116">
        <v>0</v>
      </c>
      <c r="AF109" s="77">
        <f>INT(((AE109*Valores!$C$2)*100)+0.5)/100</f>
        <v>0</v>
      </c>
      <c r="AG109" s="77">
        <f>Valores!$C$58</f>
        <v>307.46</v>
      </c>
      <c r="AH109" s="77">
        <f>Valores!$C$60</f>
        <v>87.85</v>
      </c>
      <c r="AI109" s="77">
        <f>SUM(H109,J109,L109,N109,O109,P109,Q109,R109,S109,T109,V109,W109,X109,Z109,AA109,AB109,AC109,AD109,AF109,AG109,AH109)*Valores!$C$63</f>
        <v>0</v>
      </c>
      <c r="AJ109" s="15">
        <f t="shared" si="17"/>
        <v>22359.65</v>
      </c>
      <c r="AK109" s="78">
        <f>Valores!$C$35</f>
        <v>415.59</v>
      </c>
      <c r="AL109" s="79">
        <f>Valores!$C$6</f>
        <v>175.69</v>
      </c>
      <c r="AM109" s="89">
        <f>Valores!$C$51</f>
        <v>128.84</v>
      </c>
      <c r="AN109" s="79">
        <f>IF($H$4="SI",SUM(AL109+AM109),AL109)*Valores!$C$63</f>
        <v>0</v>
      </c>
      <c r="AO109" s="12">
        <f t="shared" si="21"/>
        <v>720.12</v>
      </c>
      <c r="AP109" s="152">
        <f>AJ109*-Valores!$C$65</f>
        <v>-2906.7545000000005</v>
      </c>
      <c r="AQ109" s="152">
        <f>AJ109*-Valores!$C$66</f>
        <v>-111.79825000000001</v>
      </c>
      <c r="AR109" s="78">
        <f>AJ109*-Valores!$C$67</f>
        <v>-1006.18425</v>
      </c>
      <c r="AS109" s="78">
        <f>AJ109*-Valores!$C$68</f>
        <v>-603.7105500000001</v>
      </c>
      <c r="AT109" s="78">
        <f>AJ109*-Valores!$C$69</f>
        <v>-67.07895</v>
      </c>
      <c r="AU109" s="15">
        <f t="shared" si="18"/>
        <v>19055.033000000003</v>
      </c>
      <c r="AV109" s="15">
        <f t="shared" si="19"/>
        <v>19390.427750000003</v>
      </c>
      <c r="AW109" s="78">
        <f>AJ109*Valores!$C$70</f>
        <v>3577.5440000000003</v>
      </c>
      <c r="AX109" s="78">
        <f>AJ109*Valores!$C$71</f>
        <v>1006.18425</v>
      </c>
      <c r="AY109" s="78">
        <f>AJ109*Valores!$C$73</f>
        <v>223.59650000000002</v>
      </c>
      <c r="AZ109" s="78">
        <f>AJ109*Valores!$C$74</f>
        <v>782.5877500000001</v>
      </c>
      <c r="BA109" s="78">
        <f>AJ109*Valores!$C$75</f>
        <v>134.1579</v>
      </c>
      <c r="BB109" s="78">
        <f t="shared" si="22"/>
        <v>1207.4211000000003</v>
      </c>
      <c r="BC109" s="20"/>
      <c r="BD109" s="55">
        <v>30</v>
      </c>
      <c r="BE109" s="9" t="s">
        <v>462</v>
      </c>
    </row>
    <row r="110" spans="1:57" s="9" customFormat="1" ht="11.25" customHeight="1">
      <c r="A110" s="20">
        <v>109</v>
      </c>
      <c r="B110" s="20"/>
      <c r="C110" s="9" t="s">
        <v>196</v>
      </c>
      <c r="E110" s="9">
        <f t="shared" si="20"/>
        <v>30</v>
      </c>
      <c r="F110" s="10" t="s">
        <v>197</v>
      </c>
      <c r="G110" s="123">
        <v>46</v>
      </c>
      <c r="H110" s="7">
        <f>INT((G110*Valores!$C$2*100)+0.5)/100</f>
        <v>275.97</v>
      </c>
      <c r="I110" s="113">
        <v>1102</v>
      </c>
      <c r="J110" s="77">
        <f>INT((I110*Valores!$C$2*100)+0.5)/100</f>
        <v>6611.23</v>
      </c>
      <c r="K110" s="146">
        <v>0</v>
      </c>
      <c r="L110" s="77">
        <f>INT((K110*Valores!$C$2*100)+0.5)/100</f>
        <v>0</v>
      </c>
      <c r="M110" s="120">
        <v>0</v>
      </c>
      <c r="N110" s="77">
        <f>INT((M110*Valores!$C$2*100)+0.5)/100</f>
        <v>0</v>
      </c>
      <c r="O110" s="77">
        <f t="shared" si="14"/>
        <v>0</v>
      </c>
      <c r="P110" s="77">
        <f t="shared" si="15"/>
        <v>3770.345</v>
      </c>
      <c r="Q110" s="78">
        <f>Valores!$C$20</f>
        <v>3519.79</v>
      </c>
      <c r="R110" s="78">
        <f>Valores!$D$4</f>
        <v>2683.49</v>
      </c>
      <c r="S110" s="77">
        <v>0</v>
      </c>
      <c r="T110" s="79">
        <f>Valores!$C$40</f>
        <v>653.49</v>
      </c>
      <c r="U110" s="61">
        <f>Valores!$C$24</f>
        <v>2549.17</v>
      </c>
      <c r="V110" s="77">
        <f t="shared" si="13"/>
        <v>3823.755</v>
      </c>
      <c r="W110" s="77">
        <v>0</v>
      </c>
      <c r="X110" s="77">
        <v>0</v>
      </c>
      <c r="Y110" s="116">
        <v>0</v>
      </c>
      <c r="Z110" s="77">
        <f>Y110*Valores!$C$2</f>
        <v>0</v>
      </c>
      <c r="AA110" s="77">
        <v>0</v>
      </c>
      <c r="AB110" s="89">
        <f>Valores!$C$29</f>
        <v>151.15</v>
      </c>
      <c r="AC110" s="77">
        <f t="shared" si="16"/>
        <v>0</v>
      </c>
      <c r="AD110" s="77">
        <f>Valores!$C$30</f>
        <v>151.15</v>
      </c>
      <c r="AE110" s="116">
        <v>0</v>
      </c>
      <c r="AF110" s="77">
        <f>INT(((AE110*Valores!$C$2)*100)+0.5)/100</f>
        <v>0</v>
      </c>
      <c r="AG110" s="77">
        <f>Valores!$C$58</f>
        <v>307.46</v>
      </c>
      <c r="AH110" s="77">
        <f>Valores!$C$60</f>
        <v>87.85</v>
      </c>
      <c r="AI110" s="77">
        <f>SUM(H110,J110,L110,N110,O110,P110,Q110,R110,S110,T110,V110,W110,X110,Z110,AA110,AB110,AC110,AD110,AF110,AG110,AH110)*Valores!$C$63</f>
        <v>0</v>
      </c>
      <c r="AJ110" s="15">
        <f t="shared" si="17"/>
        <v>22035.68</v>
      </c>
      <c r="AK110" s="78">
        <f>Valores!$C$35</f>
        <v>415.59</v>
      </c>
      <c r="AL110" s="79">
        <f>Valores!$C$6</f>
        <v>175.69</v>
      </c>
      <c r="AM110" s="89">
        <f>Valores!$C$51</f>
        <v>128.84</v>
      </c>
      <c r="AN110" s="79">
        <f>IF($H$4="SI",SUM(AL110+AM110),AL110)*Valores!$C$63</f>
        <v>0</v>
      </c>
      <c r="AO110" s="12">
        <f t="shared" si="21"/>
        <v>720.12</v>
      </c>
      <c r="AP110" s="152">
        <f>AJ110*-Valores!$C$65</f>
        <v>-2864.6384000000003</v>
      </c>
      <c r="AQ110" s="152">
        <f>AJ110*-Valores!$C$66</f>
        <v>-110.17840000000001</v>
      </c>
      <c r="AR110" s="78">
        <f>AJ110*-Valores!$C$67</f>
        <v>-991.6056</v>
      </c>
      <c r="AS110" s="78">
        <f>AJ110*-Valores!$C$68</f>
        <v>-594.9633600000001</v>
      </c>
      <c r="AT110" s="78">
        <f>AJ110*-Valores!$C$69</f>
        <v>-66.10704</v>
      </c>
      <c r="AU110" s="15">
        <f t="shared" si="18"/>
        <v>18789.3776</v>
      </c>
      <c r="AV110" s="15">
        <f t="shared" si="19"/>
        <v>19119.9128</v>
      </c>
      <c r="AW110" s="78">
        <f>AJ110*Valores!$C$70</f>
        <v>3525.7088000000003</v>
      </c>
      <c r="AX110" s="78">
        <f>AJ110*Valores!$C$71</f>
        <v>991.6056</v>
      </c>
      <c r="AY110" s="78">
        <f>AJ110*Valores!$C$73</f>
        <v>220.35680000000002</v>
      </c>
      <c r="AZ110" s="78">
        <f>AJ110*Valores!$C$74</f>
        <v>771.2488000000001</v>
      </c>
      <c r="BA110" s="78">
        <f>AJ110*Valores!$C$75</f>
        <v>132.21408</v>
      </c>
      <c r="BB110" s="78">
        <f t="shared" si="22"/>
        <v>1189.9267200000002</v>
      </c>
      <c r="BC110" s="20"/>
      <c r="BD110" s="20">
        <v>30</v>
      </c>
      <c r="BE110" s="9" t="s">
        <v>462</v>
      </c>
    </row>
    <row r="111" spans="1:57" s="9" customFormat="1" ht="11.25" customHeight="1">
      <c r="A111" s="55">
        <v>110</v>
      </c>
      <c r="B111" s="55" t="s">
        <v>458</v>
      </c>
      <c r="C111" s="52" t="s">
        <v>198</v>
      </c>
      <c r="D111" s="52"/>
      <c r="E111" s="52">
        <f t="shared" si="20"/>
        <v>32</v>
      </c>
      <c r="F111" s="53" t="s">
        <v>199</v>
      </c>
      <c r="G111" s="124">
        <v>66</v>
      </c>
      <c r="H111" s="129">
        <f>INT((G111*Valores!$C$2*100)+0.5)/100</f>
        <v>395.95</v>
      </c>
      <c r="I111" s="114">
        <v>1911</v>
      </c>
      <c r="J111" s="80">
        <f>INT((I111*Valores!$C$2*100)+0.5)/100</f>
        <v>11464.67</v>
      </c>
      <c r="K111" s="147">
        <v>0</v>
      </c>
      <c r="L111" s="80">
        <f>INT((K111*Valores!$C$2*100)+0.5)/100</f>
        <v>0</v>
      </c>
      <c r="M111" s="121">
        <v>0</v>
      </c>
      <c r="N111" s="80">
        <f>INT((M111*Valores!$C$2*100)+0.5)/100</f>
        <v>0</v>
      </c>
      <c r="O111" s="80">
        <f t="shared" si="14"/>
        <v>0</v>
      </c>
      <c r="P111" s="80">
        <f t="shared" si="15"/>
        <v>6257.055</v>
      </c>
      <c r="Q111" s="81">
        <f>Valores!$C$20</f>
        <v>3519.79</v>
      </c>
      <c r="R111" s="81">
        <f>Valores!$D$4</f>
        <v>2683.49</v>
      </c>
      <c r="S111" s="85">
        <f>Valores!$C$26</f>
        <v>2700.67</v>
      </c>
      <c r="T111" s="88">
        <f>Valores!$C$40</f>
        <v>653.49</v>
      </c>
      <c r="U111" s="85">
        <f>Valores!$C$24</f>
        <v>2549.17</v>
      </c>
      <c r="V111" s="80">
        <f t="shared" si="13"/>
        <v>3823.755</v>
      </c>
      <c r="W111" s="80">
        <v>0</v>
      </c>
      <c r="X111" s="80">
        <v>0</v>
      </c>
      <c r="Y111" s="115">
        <v>0</v>
      </c>
      <c r="Z111" s="80">
        <f>Y111*Valores!$C$2</f>
        <v>0</v>
      </c>
      <c r="AA111" s="80">
        <v>0</v>
      </c>
      <c r="AB111" s="90">
        <f>Valores!$C$29</f>
        <v>151.15</v>
      </c>
      <c r="AC111" s="80">
        <f t="shared" si="16"/>
        <v>0</v>
      </c>
      <c r="AD111" s="80">
        <f>Valores!$C$30</f>
        <v>151.15</v>
      </c>
      <c r="AE111" s="115">
        <v>94</v>
      </c>
      <c r="AF111" s="80">
        <f>INT(((AE111*Valores!$C$2)*100)+0.5)/100</f>
        <v>563.93</v>
      </c>
      <c r="AG111" s="80">
        <f>Valores!$C$58</f>
        <v>307.46</v>
      </c>
      <c r="AH111" s="80">
        <f>Valores!$C$60</f>
        <v>87.85</v>
      </c>
      <c r="AI111" s="80">
        <f>SUM(H111,J111,L111,N111,O111,P111,Q111,R111,S111,T111,V111,W111,X111,Z111,AA111,AB111,AC111,AD111,AF111,AG111,AH111)*Valores!$C$63</f>
        <v>0</v>
      </c>
      <c r="AJ111" s="54">
        <f t="shared" si="17"/>
        <v>32760.410000000003</v>
      </c>
      <c r="AK111" s="81">
        <f>Valores!$C$35</f>
        <v>415.59</v>
      </c>
      <c r="AL111" s="82">
        <f>Valores!$C$6</f>
        <v>175.69</v>
      </c>
      <c r="AM111" s="89">
        <f>Valores!$C$51</f>
        <v>128.84</v>
      </c>
      <c r="AN111" s="82">
        <f>IF($H$4="SI",SUM(AL111+AM111),AL111)*Valores!$C$63</f>
        <v>0</v>
      </c>
      <c r="AO111" s="185">
        <f t="shared" si="21"/>
        <v>720.12</v>
      </c>
      <c r="AP111" s="153">
        <f>AJ111*-Valores!$C$65</f>
        <v>-4258.853300000001</v>
      </c>
      <c r="AQ111" s="153">
        <f>AJ111*-Valores!$C$66</f>
        <v>-163.80205</v>
      </c>
      <c r="AR111" s="81">
        <f>AJ111*-Valores!$C$67</f>
        <v>-1474.21845</v>
      </c>
      <c r="AS111" s="81">
        <f>AJ111*-Valores!$C$68</f>
        <v>-884.5310700000002</v>
      </c>
      <c r="AT111" s="81">
        <f>AJ111*-Valores!$C$69</f>
        <v>-98.28123000000001</v>
      </c>
      <c r="AU111" s="54">
        <f t="shared" si="18"/>
        <v>27583.656200000005</v>
      </c>
      <c r="AV111" s="54">
        <f t="shared" si="19"/>
        <v>28075.062350000007</v>
      </c>
      <c r="AW111" s="81">
        <f>AJ111*Valores!$C$70</f>
        <v>5241.6656</v>
      </c>
      <c r="AX111" s="81">
        <f>AJ111*Valores!$C$71</f>
        <v>1474.21845</v>
      </c>
      <c r="AY111" s="81">
        <f>AJ111*Valores!$C$73</f>
        <v>327.6041</v>
      </c>
      <c r="AZ111" s="81">
        <f>AJ111*Valores!$C$74</f>
        <v>1146.6143500000003</v>
      </c>
      <c r="BA111" s="81">
        <f>AJ111*Valores!$C$75</f>
        <v>196.56246000000002</v>
      </c>
      <c r="BB111" s="81">
        <f t="shared" si="22"/>
        <v>1769.0621400000005</v>
      </c>
      <c r="BC111" s="55"/>
      <c r="BD111" s="55">
        <v>25</v>
      </c>
      <c r="BE111" s="52" t="s">
        <v>462</v>
      </c>
    </row>
    <row r="112" spans="1:57" s="9" customFormat="1" ht="11.25" customHeight="1">
      <c r="A112" s="20">
        <v>111</v>
      </c>
      <c r="B112" s="20"/>
      <c r="C112" s="9" t="s">
        <v>200</v>
      </c>
      <c r="E112" s="9">
        <f t="shared" si="20"/>
        <v>30</v>
      </c>
      <c r="F112" s="10" t="s">
        <v>201</v>
      </c>
      <c r="G112" s="123">
        <v>61</v>
      </c>
      <c r="H112" s="7">
        <f>INT((G112*Valores!$C$2*100)+0.5)/100</f>
        <v>365.96</v>
      </c>
      <c r="I112" s="113">
        <v>1545</v>
      </c>
      <c r="J112" s="77">
        <f>INT((I112*Valores!$C$2*100)+0.5)/100</f>
        <v>9268.92</v>
      </c>
      <c r="K112" s="146">
        <v>0</v>
      </c>
      <c r="L112" s="77">
        <f>INT((K112*Valores!$C$2*100)+0.5)/100</f>
        <v>0</v>
      </c>
      <c r="M112" s="120">
        <v>0</v>
      </c>
      <c r="N112" s="77">
        <f>INT((M112*Valores!$C$2*100)+0.5)/100</f>
        <v>0</v>
      </c>
      <c r="O112" s="77">
        <f t="shared" si="14"/>
        <v>0</v>
      </c>
      <c r="P112" s="77">
        <f t="shared" si="15"/>
        <v>5144.1849999999995</v>
      </c>
      <c r="Q112" s="78">
        <f>Valores!$C$20</f>
        <v>3519.79</v>
      </c>
      <c r="R112" s="78">
        <f>Valores!$D$4</f>
        <v>2683.49</v>
      </c>
      <c r="S112" s="77">
        <f>Valores!$C$26</f>
        <v>2700.67</v>
      </c>
      <c r="T112" s="79">
        <f>Valores!$C$40</f>
        <v>653.49</v>
      </c>
      <c r="U112" s="61">
        <f>Valores!$C$24</f>
        <v>2549.17</v>
      </c>
      <c r="V112" s="77">
        <f t="shared" si="13"/>
        <v>3823.755</v>
      </c>
      <c r="W112" s="77">
        <v>0</v>
      </c>
      <c r="X112" s="77">
        <v>0</v>
      </c>
      <c r="Y112" s="116">
        <v>0</v>
      </c>
      <c r="Z112" s="77">
        <f>Y112*Valores!$C$2</f>
        <v>0</v>
      </c>
      <c r="AA112" s="77">
        <v>0</v>
      </c>
      <c r="AB112" s="89">
        <f>Valores!$C$29</f>
        <v>151.15</v>
      </c>
      <c r="AC112" s="77">
        <f t="shared" si="16"/>
        <v>0</v>
      </c>
      <c r="AD112" s="77">
        <f>Valores!$C$30</f>
        <v>151.15</v>
      </c>
      <c r="AE112" s="116">
        <v>94</v>
      </c>
      <c r="AF112" s="77">
        <f>INT(((AE112*Valores!$C$2)*100)+0.5)/100</f>
        <v>563.93</v>
      </c>
      <c r="AG112" s="77">
        <f>Valores!$C$58</f>
        <v>307.46</v>
      </c>
      <c r="AH112" s="77">
        <f>Valores!$C$60</f>
        <v>87.85</v>
      </c>
      <c r="AI112" s="77">
        <f>SUM(H112,J112,L112,N112,O112,P112,Q112,R112,S112,T112,V112,W112,X112,Z112,AA112,AB112,AC112,AD112,AF112,AG112,AH112)*Valores!$C$63</f>
        <v>0</v>
      </c>
      <c r="AJ112" s="15">
        <f t="shared" si="17"/>
        <v>29421.800000000003</v>
      </c>
      <c r="AK112" s="78">
        <f>Valores!$C$35</f>
        <v>415.59</v>
      </c>
      <c r="AL112" s="79">
        <f>Valores!$C$6</f>
        <v>175.69</v>
      </c>
      <c r="AM112" s="89">
        <f>Valores!$C$51</f>
        <v>128.84</v>
      </c>
      <c r="AN112" s="79">
        <f>IF($H$4="SI",SUM(AL112+AM112),AL112)*Valores!$C$63</f>
        <v>0</v>
      </c>
      <c r="AO112" s="12">
        <f t="shared" si="21"/>
        <v>720.12</v>
      </c>
      <c r="AP112" s="152">
        <f>AJ112*-Valores!$C$65</f>
        <v>-3824.8340000000003</v>
      </c>
      <c r="AQ112" s="152">
        <f>AJ112*-Valores!$C$66</f>
        <v>-147.109</v>
      </c>
      <c r="AR112" s="78">
        <f>AJ112*-Valores!$C$67</f>
        <v>-1323.981</v>
      </c>
      <c r="AS112" s="78">
        <f>AJ112*-Valores!$C$68</f>
        <v>-794.3886000000002</v>
      </c>
      <c r="AT112" s="78">
        <f>AJ112*-Valores!$C$69</f>
        <v>-88.26540000000001</v>
      </c>
      <c r="AU112" s="15">
        <f t="shared" si="18"/>
        <v>24845.996000000003</v>
      </c>
      <c r="AV112" s="15">
        <f t="shared" si="19"/>
        <v>25287.323000000004</v>
      </c>
      <c r="AW112" s="78">
        <f>AJ112*Valores!$C$70</f>
        <v>4707.488</v>
      </c>
      <c r="AX112" s="78">
        <f>AJ112*Valores!$C$71</f>
        <v>1323.981</v>
      </c>
      <c r="AY112" s="78">
        <f>AJ112*Valores!$C$73</f>
        <v>294.218</v>
      </c>
      <c r="AZ112" s="78">
        <f>AJ112*Valores!$C$74</f>
        <v>1029.7630000000001</v>
      </c>
      <c r="BA112" s="78">
        <f>AJ112*Valores!$C$75</f>
        <v>176.53080000000003</v>
      </c>
      <c r="BB112" s="78">
        <f t="shared" si="22"/>
        <v>1588.7772000000002</v>
      </c>
      <c r="BC112" s="20"/>
      <c r="BD112" s="20">
        <v>25</v>
      </c>
      <c r="BE112" s="9" t="s">
        <v>461</v>
      </c>
    </row>
    <row r="113" spans="1:57" s="9" customFormat="1" ht="11.25" customHeight="1">
      <c r="A113" s="20">
        <v>112</v>
      </c>
      <c r="B113" s="20"/>
      <c r="C113" s="9" t="s">
        <v>202</v>
      </c>
      <c r="E113" s="9">
        <f t="shared" si="20"/>
        <v>30</v>
      </c>
      <c r="F113" s="10" t="s">
        <v>203</v>
      </c>
      <c r="G113" s="123">
        <f>75+143</f>
        <v>218</v>
      </c>
      <c r="H113" s="7">
        <f>INT((G113*Valores!$C$2*100)+0.5)/100</f>
        <v>1307.85</v>
      </c>
      <c r="I113" s="113">
        <v>2100</v>
      </c>
      <c r="J113" s="77">
        <f>INT((I113*Valores!$C$2*100)+0.5)/100</f>
        <v>12598.54</v>
      </c>
      <c r="K113" s="146">
        <v>0</v>
      </c>
      <c r="L113" s="77">
        <f>INT((K113*Valores!$C$2*100)+0.5)/100</f>
        <v>0</v>
      </c>
      <c r="M113" s="120">
        <v>0</v>
      </c>
      <c r="N113" s="77">
        <f>INT((M113*Valores!$C$2*100)+0.5)/100</f>
        <v>0</v>
      </c>
      <c r="O113" s="77">
        <f t="shared" si="14"/>
        <v>0</v>
      </c>
      <c r="P113" s="77">
        <f t="shared" si="15"/>
        <v>7279.9400000000005</v>
      </c>
      <c r="Q113" s="78">
        <f>Valores!$C$20</f>
        <v>3519.79</v>
      </c>
      <c r="R113" s="78">
        <f>Valores!$D$4</f>
        <v>2683.49</v>
      </c>
      <c r="S113" s="61">
        <f>Valores!$C$26</f>
        <v>2700.67</v>
      </c>
      <c r="T113" s="87">
        <f>Valores!$C$40</f>
        <v>653.49</v>
      </c>
      <c r="U113" s="61">
        <f>Valores!$C$24</f>
        <v>2549.17</v>
      </c>
      <c r="V113" s="77">
        <f aca="true" t="shared" si="23" ref="V113:V176">U113*(1+$J$2)</f>
        <v>3823.755</v>
      </c>
      <c r="W113" s="77">
        <v>0</v>
      </c>
      <c r="X113" s="77">
        <v>0</v>
      </c>
      <c r="Y113" s="116">
        <v>0</v>
      </c>
      <c r="Z113" s="77">
        <f>Y113*Valores!$C$2</f>
        <v>0</v>
      </c>
      <c r="AA113" s="77">
        <v>0</v>
      </c>
      <c r="AB113" s="89">
        <f>Valores!$C$29</f>
        <v>151.15</v>
      </c>
      <c r="AC113" s="77">
        <f t="shared" si="16"/>
        <v>0</v>
      </c>
      <c r="AD113" s="77">
        <f>Valores!$C$30</f>
        <v>151.15</v>
      </c>
      <c r="AE113" s="116">
        <v>0</v>
      </c>
      <c r="AF113" s="77">
        <f>INT(((AE113*Valores!$C$2)*100)+0.5)/100</f>
        <v>0</v>
      </c>
      <c r="AG113" s="77">
        <f>Valores!$C$58</f>
        <v>307.46</v>
      </c>
      <c r="AH113" s="77">
        <f>Valores!$C$60</f>
        <v>87.85</v>
      </c>
      <c r="AI113" s="77">
        <f>SUM(H113,J113,L113,N113,O113,P113,Q113,R113,S113,T113,V113,W113,X113,Z113,AA113,AB113,AC113,AD113,AF113,AG113,AH113)*Valores!$C$63</f>
        <v>0</v>
      </c>
      <c r="AJ113" s="15">
        <f t="shared" si="17"/>
        <v>35265.134999999995</v>
      </c>
      <c r="AK113" s="78">
        <f>Valores!$C$35</f>
        <v>415.59</v>
      </c>
      <c r="AL113" s="79">
        <f>Valores!$C$6</f>
        <v>175.69</v>
      </c>
      <c r="AM113" s="89">
        <f>Valores!$C$51</f>
        <v>128.84</v>
      </c>
      <c r="AN113" s="79">
        <f>IF($H$4="SI",SUM(AL113+AM113),AL113)*Valores!$C$63</f>
        <v>0</v>
      </c>
      <c r="AO113" s="12">
        <f t="shared" si="21"/>
        <v>720.12</v>
      </c>
      <c r="AP113" s="152">
        <f>AJ113*-Valores!$C$65</f>
        <v>-4584.467549999999</v>
      </c>
      <c r="AQ113" s="152">
        <f>AJ113*-Valores!$C$66</f>
        <v>-176.325675</v>
      </c>
      <c r="AR113" s="78">
        <f>AJ113*-Valores!$C$67</f>
        <v>-1586.9310749999997</v>
      </c>
      <c r="AS113" s="78">
        <f>AJ113*-Valores!$C$68</f>
        <v>-952.158645</v>
      </c>
      <c r="AT113" s="78">
        <f>AJ113*-Valores!$C$69</f>
        <v>-105.79540499999999</v>
      </c>
      <c r="AU113" s="15">
        <f t="shared" si="18"/>
        <v>29637.530699999996</v>
      </c>
      <c r="AV113" s="15">
        <f t="shared" si="19"/>
        <v>30166.507724999992</v>
      </c>
      <c r="AW113" s="78">
        <f>AJ113*Valores!$C$70</f>
        <v>5642.4216</v>
      </c>
      <c r="AX113" s="78">
        <f>AJ113*Valores!$C$71</f>
        <v>1586.9310749999997</v>
      </c>
      <c r="AY113" s="78">
        <f>AJ113*Valores!$C$73</f>
        <v>352.65135</v>
      </c>
      <c r="AZ113" s="78">
        <f>AJ113*Valores!$C$74</f>
        <v>1234.2797249999999</v>
      </c>
      <c r="BA113" s="78">
        <f>AJ113*Valores!$C$75</f>
        <v>211.59080999999998</v>
      </c>
      <c r="BB113" s="78">
        <f t="shared" si="22"/>
        <v>1904.31729</v>
      </c>
      <c r="BC113" s="20"/>
      <c r="BD113" s="20">
        <v>30</v>
      </c>
      <c r="BE113" s="9" t="s">
        <v>462</v>
      </c>
    </row>
    <row r="114" spans="1:57" s="9" customFormat="1" ht="11.25" customHeight="1">
      <c r="A114" s="20">
        <v>113</v>
      </c>
      <c r="B114" s="20"/>
      <c r="C114" s="9" t="s">
        <v>204</v>
      </c>
      <c r="E114" s="9">
        <f t="shared" si="20"/>
        <v>30</v>
      </c>
      <c r="F114" s="10" t="s">
        <v>205</v>
      </c>
      <c r="G114" s="123">
        <f>77+143</f>
        <v>220</v>
      </c>
      <c r="H114" s="7">
        <f>INT((G114*Valores!$C$2*100)+0.5)/100</f>
        <v>1319.85</v>
      </c>
      <c r="I114" s="113">
        <v>1995</v>
      </c>
      <c r="J114" s="77">
        <f>INT((I114*Valores!$C$2*100)+0.5)/100</f>
        <v>11968.61</v>
      </c>
      <c r="K114" s="146">
        <v>0</v>
      </c>
      <c r="L114" s="77">
        <f>INT((K114*Valores!$C$2*100)+0.5)/100</f>
        <v>0</v>
      </c>
      <c r="M114" s="120">
        <v>0</v>
      </c>
      <c r="N114" s="77">
        <f>INT((M114*Valores!$C$2*100)+0.5)/100</f>
        <v>0</v>
      </c>
      <c r="O114" s="77">
        <f t="shared" si="14"/>
        <v>0</v>
      </c>
      <c r="P114" s="77">
        <f t="shared" si="15"/>
        <v>6970.975</v>
      </c>
      <c r="Q114" s="78">
        <f>Valores!$C$20</f>
        <v>3519.79</v>
      </c>
      <c r="R114" s="78">
        <f>Valores!$D$4</f>
        <v>2683.49</v>
      </c>
      <c r="S114" s="61">
        <f>Valores!$C$26</f>
        <v>2700.67</v>
      </c>
      <c r="T114" s="87">
        <f>Valores!$C$40</f>
        <v>653.49</v>
      </c>
      <c r="U114" s="61">
        <f>Valores!$C$24</f>
        <v>2549.17</v>
      </c>
      <c r="V114" s="77">
        <f t="shared" si="23"/>
        <v>3823.755</v>
      </c>
      <c r="W114" s="77">
        <v>0</v>
      </c>
      <c r="X114" s="77">
        <v>0</v>
      </c>
      <c r="Y114" s="116">
        <v>0</v>
      </c>
      <c r="Z114" s="77">
        <f>Y114*Valores!$C$2</f>
        <v>0</v>
      </c>
      <c r="AA114" s="77">
        <v>0</v>
      </c>
      <c r="AB114" s="89">
        <f>Valores!$C$29</f>
        <v>151.15</v>
      </c>
      <c r="AC114" s="77">
        <f t="shared" si="16"/>
        <v>0</v>
      </c>
      <c r="AD114" s="77">
        <f>Valores!$C$30</f>
        <v>151.15</v>
      </c>
      <c r="AE114" s="116">
        <v>0</v>
      </c>
      <c r="AF114" s="77">
        <f>INT(((AE114*Valores!$C$2)*100)+0.5)/100</f>
        <v>0</v>
      </c>
      <c r="AG114" s="77">
        <f>Valores!$C$58</f>
        <v>307.46</v>
      </c>
      <c r="AH114" s="77">
        <f>Valores!$C$60</f>
        <v>87.85</v>
      </c>
      <c r="AI114" s="77">
        <f>SUM(H114,J114,L114,N114,O114,P114,Q114,R114,S114,T114,V114,W114,X114,Z114,AA114,AB114,AC114,AD114,AF114,AG114,AH114)*Valores!$C$63</f>
        <v>0</v>
      </c>
      <c r="AJ114" s="15">
        <f t="shared" si="17"/>
        <v>34338.24</v>
      </c>
      <c r="AK114" s="78">
        <f>Valores!$C$35</f>
        <v>415.59</v>
      </c>
      <c r="AL114" s="79">
        <f>Valores!$C$6</f>
        <v>175.69</v>
      </c>
      <c r="AM114" s="89">
        <f>Valores!$C$51</f>
        <v>128.84</v>
      </c>
      <c r="AN114" s="79">
        <f>IF($H$4="SI",SUM(AL114+AM114),AL114)*Valores!$C$63</f>
        <v>0</v>
      </c>
      <c r="AO114" s="12">
        <f t="shared" si="21"/>
        <v>720.12</v>
      </c>
      <c r="AP114" s="152">
        <f>AJ114*-Valores!$C$65</f>
        <v>-4463.9712</v>
      </c>
      <c r="AQ114" s="152">
        <f>AJ114*-Valores!$C$66</f>
        <v>-171.69119999999998</v>
      </c>
      <c r="AR114" s="78">
        <f>AJ114*-Valores!$C$67</f>
        <v>-1545.2207999999998</v>
      </c>
      <c r="AS114" s="78">
        <f>AJ114*-Valores!$C$68</f>
        <v>-927.1324800000001</v>
      </c>
      <c r="AT114" s="78">
        <f>AJ114*-Valores!$C$69</f>
        <v>-103.01472</v>
      </c>
      <c r="AU114" s="15">
        <f t="shared" si="18"/>
        <v>28877.476799999997</v>
      </c>
      <c r="AV114" s="15">
        <f t="shared" si="19"/>
        <v>29392.5504</v>
      </c>
      <c r="AW114" s="78">
        <f>AJ114*Valores!$C$70</f>
        <v>5494.118399999999</v>
      </c>
      <c r="AX114" s="78">
        <f>AJ114*Valores!$C$71</f>
        <v>1545.2207999999998</v>
      </c>
      <c r="AY114" s="78">
        <f>AJ114*Valores!$C$73</f>
        <v>343.38239999999996</v>
      </c>
      <c r="AZ114" s="78">
        <f>AJ114*Valores!$C$74</f>
        <v>1201.8384</v>
      </c>
      <c r="BA114" s="78">
        <f>AJ114*Valores!$C$75</f>
        <v>206.02944</v>
      </c>
      <c r="BB114" s="78">
        <f t="shared" si="22"/>
        <v>1854.2649600000002</v>
      </c>
      <c r="BC114" s="20"/>
      <c r="BD114" s="55">
        <v>30</v>
      </c>
      <c r="BE114" s="9" t="s">
        <v>462</v>
      </c>
    </row>
    <row r="115" spans="1:57" s="9" customFormat="1" ht="11.25" customHeight="1">
      <c r="A115" s="20">
        <v>114</v>
      </c>
      <c r="B115" s="20"/>
      <c r="C115" s="9" t="s">
        <v>206</v>
      </c>
      <c r="E115" s="9">
        <f t="shared" si="20"/>
        <v>30</v>
      </c>
      <c r="F115" s="10" t="s">
        <v>207</v>
      </c>
      <c r="G115" s="123">
        <f>72+115</f>
        <v>187</v>
      </c>
      <c r="H115" s="7">
        <f>INT((G115*Valores!$C$2*100)+0.5)/100</f>
        <v>1121.87</v>
      </c>
      <c r="I115" s="113">
        <v>1704</v>
      </c>
      <c r="J115" s="77">
        <f>INT((I115*Valores!$C$2*100)+0.5)/100</f>
        <v>10222.81</v>
      </c>
      <c r="K115" s="146">
        <v>0</v>
      </c>
      <c r="L115" s="77">
        <f>INT((K115*Valores!$C$2*100)+0.5)/100</f>
        <v>0</v>
      </c>
      <c r="M115" s="120">
        <v>0</v>
      </c>
      <c r="N115" s="77">
        <f>INT((M115*Valores!$C$2*100)+0.5)/100</f>
        <v>0</v>
      </c>
      <c r="O115" s="77">
        <f t="shared" si="14"/>
        <v>0</v>
      </c>
      <c r="P115" s="77">
        <f t="shared" si="15"/>
        <v>5999.085</v>
      </c>
      <c r="Q115" s="78">
        <f>Valores!$C$20</f>
        <v>3519.79</v>
      </c>
      <c r="R115" s="78">
        <f>Valores!$D$4</f>
        <v>2683.49</v>
      </c>
      <c r="S115" s="61">
        <f>Valores!$C$26</f>
        <v>2700.67</v>
      </c>
      <c r="T115" s="87">
        <f>Valores!$C$40</f>
        <v>653.49</v>
      </c>
      <c r="U115" s="61">
        <f>Valores!$C$24</f>
        <v>2549.17</v>
      </c>
      <c r="V115" s="77">
        <f t="shared" si="23"/>
        <v>3823.755</v>
      </c>
      <c r="W115" s="77">
        <v>0</v>
      </c>
      <c r="X115" s="77">
        <v>0</v>
      </c>
      <c r="Y115" s="116">
        <v>0</v>
      </c>
      <c r="Z115" s="77">
        <f>Y115*Valores!$C$2</f>
        <v>0</v>
      </c>
      <c r="AA115" s="77">
        <v>0</v>
      </c>
      <c r="AB115" s="89">
        <f>Valores!$C$29</f>
        <v>151.15</v>
      </c>
      <c r="AC115" s="77">
        <f t="shared" si="16"/>
        <v>0</v>
      </c>
      <c r="AD115" s="77">
        <f>Valores!$C$30</f>
        <v>151.15</v>
      </c>
      <c r="AE115" s="116">
        <v>0</v>
      </c>
      <c r="AF115" s="77">
        <f>INT(((AE115*Valores!$C$2)*100)+0.5)/100</f>
        <v>0</v>
      </c>
      <c r="AG115" s="77">
        <f>Valores!$C$58</f>
        <v>307.46</v>
      </c>
      <c r="AH115" s="77">
        <f>Valores!$C$60</f>
        <v>87.85</v>
      </c>
      <c r="AI115" s="77">
        <f>SUM(H115,J115,L115,N115,O115,P115,Q115,R115,S115,T115,V115,W115,X115,Z115,AA115,AB115,AC115,AD115,AF115,AG115,AH115)*Valores!$C$63</f>
        <v>0</v>
      </c>
      <c r="AJ115" s="15">
        <f t="shared" si="17"/>
        <v>31422.57</v>
      </c>
      <c r="AK115" s="78">
        <f>Valores!$C$35</f>
        <v>415.59</v>
      </c>
      <c r="AL115" s="79">
        <f>Valores!$C$6</f>
        <v>175.69</v>
      </c>
      <c r="AM115" s="89">
        <f>Valores!$C$51</f>
        <v>128.84</v>
      </c>
      <c r="AN115" s="79">
        <f>IF($H$4="SI",SUM(AL115+AM115),AL115)*Valores!$C$63</f>
        <v>0</v>
      </c>
      <c r="AO115" s="12">
        <f t="shared" si="21"/>
        <v>720.12</v>
      </c>
      <c r="AP115" s="152">
        <f>AJ115*-Valores!$C$65</f>
        <v>-4084.9341</v>
      </c>
      <c r="AQ115" s="152">
        <f>AJ115*-Valores!$C$66</f>
        <v>-157.11285</v>
      </c>
      <c r="AR115" s="78">
        <f>AJ115*-Valores!$C$67</f>
        <v>-1414.0156499999998</v>
      </c>
      <c r="AS115" s="78">
        <f>AJ115*-Valores!$C$68</f>
        <v>-848.4093900000001</v>
      </c>
      <c r="AT115" s="78">
        <f>AJ115*-Valores!$C$69</f>
        <v>-94.26771000000001</v>
      </c>
      <c r="AU115" s="15">
        <f t="shared" si="18"/>
        <v>26486.627399999998</v>
      </c>
      <c r="AV115" s="15">
        <f t="shared" si="19"/>
        <v>26957.965949999998</v>
      </c>
      <c r="AW115" s="78">
        <f>AJ115*Valores!$C$70</f>
        <v>5027.6112</v>
      </c>
      <c r="AX115" s="78">
        <f>AJ115*Valores!$C$71</f>
        <v>1414.0156499999998</v>
      </c>
      <c r="AY115" s="78">
        <f>AJ115*Valores!$C$73</f>
        <v>314.2257</v>
      </c>
      <c r="AZ115" s="78">
        <f>AJ115*Valores!$C$74</f>
        <v>1099.78995</v>
      </c>
      <c r="BA115" s="78">
        <f>AJ115*Valores!$C$75</f>
        <v>188.53542000000002</v>
      </c>
      <c r="BB115" s="78">
        <f t="shared" si="22"/>
        <v>1696.81878</v>
      </c>
      <c r="BC115" s="20"/>
      <c r="BD115" s="20">
        <v>30</v>
      </c>
      <c r="BE115" s="9" t="s">
        <v>462</v>
      </c>
    </row>
    <row r="116" spans="1:57" s="9" customFormat="1" ht="11.25" customHeight="1">
      <c r="A116" s="55">
        <v>115</v>
      </c>
      <c r="B116" s="55" t="s">
        <v>458</v>
      </c>
      <c r="C116" s="52" t="s">
        <v>208</v>
      </c>
      <c r="D116" s="52"/>
      <c r="E116" s="52">
        <f t="shared" si="20"/>
        <v>30</v>
      </c>
      <c r="F116" s="53" t="s">
        <v>209</v>
      </c>
      <c r="G116" s="124">
        <f>67+94</f>
        <v>161</v>
      </c>
      <c r="H116" s="129">
        <f>INT((G116*Valores!$C$2*100)+0.5)/100</f>
        <v>965.89</v>
      </c>
      <c r="I116" s="114">
        <v>1480</v>
      </c>
      <c r="J116" s="80">
        <f>INT((I116*Valores!$C$2*100)+0.5)/100</f>
        <v>8878.97</v>
      </c>
      <c r="K116" s="147">
        <v>0</v>
      </c>
      <c r="L116" s="80">
        <f>INT((K116*Valores!$C$2*100)+0.5)/100</f>
        <v>0</v>
      </c>
      <c r="M116" s="121">
        <v>0</v>
      </c>
      <c r="N116" s="80">
        <f>INT((M116*Valores!$C$2*100)+0.5)/100</f>
        <v>0</v>
      </c>
      <c r="O116" s="80">
        <f t="shared" si="14"/>
        <v>0</v>
      </c>
      <c r="P116" s="80">
        <f t="shared" si="15"/>
        <v>5249.174999999999</v>
      </c>
      <c r="Q116" s="81">
        <f>Valores!$C$20</f>
        <v>3519.79</v>
      </c>
      <c r="R116" s="81">
        <f>Valores!$D$4</f>
        <v>2683.49</v>
      </c>
      <c r="S116" s="85">
        <f>Valores!$C$26</f>
        <v>2700.67</v>
      </c>
      <c r="T116" s="88">
        <f>Valores!$C$40</f>
        <v>653.49</v>
      </c>
      <c r="U116" s="85">
        <f>Valores!$C$24</f>
        <v>2549.17</v>
      </c>
      <c r="V116" s="80">
        <f t="shared" si="23"/>
        <v>3823.755</v>
      </c>
      <c r="W116" s="80">
        <v>0</v>
      </c>
      <c r="X116" s="80">
        <v>0</v>
      </c>
      <c r="Y116" s="115">
        <v>0</v>
      </c>
      <c r="Z116" s="80">
        <f>Y116*Valores!$C$2</f>
        <v>0</v>
      </c>
      <c r="AA116" s="80">
        <v>0</v>
      </c>
      <c r="AB116" s="90">
        <f>Valores!$C$29</f>
        <v>151.15</v>
      </c>
      <c r="AC116" s="80">
        <f t="shared" si="16"/>
        <v>0</v>
      </c>
      <c r="AD116" s="80">
        <f>Valores!$C$30</f>
        <v>151.15</v>
      </c>
      <c r="AE116" s="115">
        <v>0</v>
      </c>
      <c r="AF116" s="80">
        <f>INT(((AE116*Valores!$C$2)*100)+0.5)/100</f>
        <v>0</v>
      </c>
      <c r="AG116" s="80">
        <f>Valores!$C$58</f>
        <v>307.46</v>
      </c>
      <c r="AH116" s="80">
        <f>Valores!$C$60</f>
        <v>87.85</v>
      </c>
      <c r="AI116" s="80">
        <f>SUM(H116,J116,L116,N116,O116,P116,Q116,R116,S116,T116,V116,W116,X116,Z116,AA116,AB116,AC116,AD116,AF116,AG116,AH116)*Valores!$C$63</f>
        <v>0</v>
      </c>
      <c r="AJ116" s="54">
        <f t="shared" si="17"/>
        <v>29172.839999999997</v>
      </c>
      <c r="AK116" s="81">
        <f>Valores!$C$35</f>
        <v>415.59</v>
      </c>
      <c r="AL116" s="82">
        <f>Valores!$C$6</f>
        <v>175.69</v>
      </c>
      <c r="AM116" s="90">
        <f>Valores!$C$51</f>
        <v>128.84</v>
      </c>
      <c r="AN116" s="82">
        <f>IF($H$4="SI",SUM(AL116+AM116),AL116)*Valores!$C$63</f>
        <v>0</v>
      </c>
      <c r="AO116" s="185">
        <f t="shared" si="21"/>
        <v>720.12</v>
      </c>
      <c r="AP116" s="153">
        <f>AJ116*-Valores!$C$65</f>
        <v>-3792.4691999999995</v>
      </c>
      <c r="AQ116" s="153">
        <f>AJ116*-Valores!$C$66</f>
        <v>-145.86419999999998</v>
      </c>
      <c r="AR116" s="81">
        <f>AJ116*-Valores!$C$67</f>
        <v>-1312.7777999999998</v>
      </c>
      <c r="AS116" s="81">
        <f>AJ116*-Valores!$C$68</f>
        <v>-787.66668</v>
      </c>
      <c r="AT116" s="81">
        <f>AJ116*-Valores!$C$69</f>
        <v>-87.51852</v>
      </c>
      <c r="AU116" s="54">
        <f t="shared" si="18"/>
        <v>24641.848799999996</v>
      </c>
      <c r="AV116" s="54">
        <f t="shared" si="19"/>
        <v>25079.441399999996</v>
      </c>
      <c r="AW116" s="81">
        <f>AJ116*Valores!$C$70</f>
        <v>4667.654399999999</v>
      </c>
      <c r="AX116" s="81">
        <f>AJ116*Valores!$C$71</f>
        <v>1312.7777999999998</v>
      </c>
      <c r="AY116" s="81">
        <f>AJ116*Valores!$C$73</f>
        <v>291.72839999999997</v>
      </c>
      <c r="AZ116" s="81">
        <f>AJ116*Valores!$C$74</f>
        <v>1021.0494</v>
      </c>
      <c r="BA116" s="81">
        <f>AJ116*Valores!$C$75</f>
        <v>175.03704</v>
      </c>
      <c r="BB116" s="81">
        <f t="shared" si="22"/>
        <v>1575.3333599999999</v>
      </c>
      <c r="BC116" s="55"/>
      <c r="BD116" s="55">
        <v>30</v>
      </c>
      <c r="BE116" s="52" t="s">
        <v>462</v>
      </c>
    </row>
    <row r="117" spans="1:57" s="9" customFormat="1" ht="11.25" customHeight="1">
      <c r="A117" s="20">
        <v>116</v>
      </c>
      <c r="B117" s="20"/>
      <c r="C117" s="9" t="s">
        <v>210</v>
      </c>
      <c r="E117" s="9">
        <f t="shared" si="20"/>
        <v>30</v>
      </c>
      <c r="F117" s="10" t="s">
        <v>211</v>
      </c>
      <c r="G117" s="123">
        <f>1184+94</f>
        <v>1278</v>
      </c>
      <c r="H117" s="7">
        <f>INT((G117*Valores!$C$2*100)+0.5)/100</f>
        <v>7667.11</v>
      </c>
      <c r="I117" s="134">
        <v>0</v>
      </c>
      <c r="J117" s="77">
        <f>INT((I117*Valores!$C$2*100)+0.5)/100</f>
        <v>0</v>
      </c>
      <c r="K117" s="146">
        <v>0</v>
      </c>
      <c r="L117" s="77">
        <f>INT((K117*Valores!$C$2*100)+0.5)/100</f>
        <v>0</v>
      </c>
      <c r="M117" s="120">
        <v>0</v>
      </c>
      <c r="N117" s="77">
        <f>INT((M117*Valores!$C$2*100)+0.5)/100</f>
        <v>0</v>
      </c>
      <c r="O117" s="77">
        <f t="shared" si="14"/>
        <v>0</v>
      </c>
      <c r="P117" s="77">
        <f t="shared" si="15"/>
        <v>4160.3</v>
      </c>
      <c r="Q117" s="78">
        <f>Valores!$C$20</f>
        <v>3519.79</v>
      </c>
      <c r="R117" s="78">
        <f>Valores!$D$4</f>
        <v>2683.49</v>
      </c>
      <c r="S117" s="77">
        <f>Valores!$C$26</f>
        <v>2700.67</v>
      </c>
      <c r="T117" s="79">
        <f>Valores!$C$40</f>
        <v>653.49</v>
      </c>
      <c r="U117" s="61">
        <f>Valores!$C$24</f>
        <v>2549.17</v>
      </c>
      <c r="V117" s="77">
        <f t="shared" si="23"/>
        <v>3823.755</v>
      </c>
      <c r="W117" s="77">
        <v>0</v>
      </c>
      <c r="X117" s="77">
        <v>0</v>
      </c>
      <c r="Y117" s="116">
        <v>0</v>
      </c>
      <c r="Z117" s="77">
        <f>Y117*Valores!$C$2</f>
        <v>0</v>
      </c>
      <c r="AA117" s="77">
        <v>0</v>
      </c>
      <c r="AB117" s="89">
        <f>Valores!$C$29</f>
        <v>151.15</v>
      </c>
      <c r="AC117" s="77">
        <f t="shared" si="16"/>
        <v>0</v>
      </c>
      <c r="AD117" s="77">
        <f>Valores!$C$30</f>
        <v>151.15</v>
      </c>
      <c r="AE117" s="116">
        <v>0</v>
      </c>
      <c r="AF117" s="77">
        <f>INT(((AE117*Valores!$C$2)*100)+0.5)/100</f>
        <v>0</v>
      </c>
      <c r="AG117" s="77">
        <f>Valores!$C$58</f>
        <v>307.46</v>
      </c>
      <c r="AH117" s="77">
        <f>Valores!$C$60</f>
        <v>87.85</v>
      </c>
      <c r="AI117" s="77">
        <f>SUM(H117,J117,L117,N117,O117,P117,Q117,R117,S117,T117,V117,W117,X117,Z117,AA117,AB117,AC117,AD117,AF117,AG117,AH117)*Valores!$C$63</f>
        <v>0</v>
      </c>
      <c r="AJ117" s="15">
        <f t="shared" si="17"/>
        <v>25906.215000000004</v>
      </c>
      <c r="AK117" s="78">
        <f>Valores!$C$35</f>
        <v>415.59</v>
      </c>
      <c r="AL117" s="79">
        <f>Valores!$C$6</f>
        <v>175.69</v>
      </c>
      <c r="AM117" s="89">
        <f>Valores!$C$51</f>
        <v>128.84</v>
      </c>
      <c r="AN117" s="79">
        <f>IF($H$4="SI",SUM(AL117+AM117),AL117)*Valores!$C$63</f>
        <v>0</v>
      </c>
      <c r="AO117" s="12">
        <f t="shared" si="21"/>
        <v>720.12</v>
      </c>
      <c r="AP117" s="152">
        <f>AJ117*-Valores!$C$65</f>
        <v>-3367.807950000001</v>
      </c>
      <c r="AQ117" s="152">
        <f>AJ117*-Valores!$C$66</f>
        <v>-129.53107500000002</v>
      </c>
      <c r="AR117" s="78">
        <f>AJ117*-Valores!$C$67</f>
        <v>-1165.7796750000002</v>
      </c>
      <c r="AS117" s="78">
        <f>AJ117*-Valores!$C$68</f>
        <v>-699.4678050000002</v>
      </c>
      <c r="AT117" s="78">
        <f>AJ117*-Valores!$C$69</f>
        <v>-77.71864500000001</v>
      </c>
      <c r="AU117" s="15">
        <f t="shared" si="18"/>
        <v>21963.2163</v>
      </c>
      <c r="AV117" s="15">
        <f t="shared" si="19"/>
        <v>22351.809525</v>
      </c>
      <c r="AW117" s="78">
        <f>AJ117*Valores!$C$70</f>
        <v>4144.9944000000005</v>
      </c>
      <c r="AX117" s="78">
        <f>AJ117*Valores!$C$71</f>
        <v>1165.7796750000002</v>
      </c>
      <c r="AY117" s="78">
        <f>AJ117*Valores!$C$73</f>
        <v>259.06215000000003</v>
      </c>
      <c r="AZ117" s="78">
        <f>AJ117*Valores!$C$74</f>
        <v>906.7175250000003</v>
      </c>
      <c r="BA117" s="78">
        <f>AJ117*Valores!$C$75</f>
        <v>155.43729000000002</v>
      </c>
      <c r="BB117" s="78">
        <f t="shared" si="22"/>
        <v>1398.9356100000002</v>
      </c>
      <c r="BC117" s="20"/>
      <c r="BD117" s="20">
        <v>30</v>
      </c>
      <c r="BE117" s="9" t="s">
        <v>462</v>
      </c>
    </row>
    <row r="118" spans="1:57" s="9" customFormat="1" ht="11.25" customHeight="1">
      <c r="A118" s="20">
        <v>117</v>
      </c>
      <c r="B118" s="20"/>
      <c r="C118" s="9" t="s">
        <v>212</v>
      </c>
      <c r="E118" s="9">
        <f t="shared" si="20"/>
        <v>17</v>
      </c>
      <c r="F118" s="10" t="s">
        <v>213</v>
      </c>
      <c r="G118" s="123">
        <v>77</v>
      </c>
      <c r="H118" s="7">
        <f>INT((G118*Valores!$C$2*100)+0.5)/100</f>
        <v>461.95</v>
      </c>
      <c r="I118" s="134">
        <v>2073</v>
      </c>
      <c r="J118" s="77">
        <f>INT((I118*Valores!$C$2*100)+0.5)/100</f>
        <v>12436.56</v>
      </c>
      <c r="K118" s="146">
        <v>0</v>
      </c>
      <c r="L118" s="77">
        <f>INT((K118*Valores!$C$2*100)+0.5)/100</f>
        <v>0</v>
      </c>
      <c r="M118" s="120">
        <v>0</v>
      </c>
      <c r="N118" s="77">
        <f>INT((M118*Valores!$C$2*100)+0.5)/100</f>
        <v>0</v>
      </c>
      <c r="O118" s="77">
        <f t="shared" si="14"/>
        <v>0</v>
      </c>
      <c r="P118" s="77">
        <f t="shared" si="15"/>
        <v>6884.92</v>
      </c>
      <c r="Q118" s="78">
        <f>Valores!$C$15</f>
        <v>3695.48</v>
      </c>
      <c r="R118" s="78">
        <f>Valores!$D$4</f>
        <v>2683.49</v>
      </c>
      <c r="S118" s="61">
        <f>Valores!$C$26</f>
        <v>2700.67</v>
      </c>
      <c r="T118" s="87">
        <f>Valores!$C$42</f>
        <v>871.33</v>
      </c>
      <c r="U118" s="77">
        <f>Valores!$C$23</f>
        <v>2584.33</v>
      </c>
      <c r="V118" s="77">
        <f t="shared" si="23"/>
        <v>3876.495</v>
      </c>
      <c r="W118" s="77">
        <v>0</v>
      </c>
      <c r="X118" s="77">
        <v>0</v>
      </c>
      <c r="Y118" s="116">
        <v>0</v>
      </c>
      <c r="Z118" s="77">
        <f>Y118*Valores!$C$2</f>
        <v>0</v>
      </c>
      <c r="AA118" s="77">
        <v>0</v>
      </c>
      <c r="AB118" s="89">
        <f>Valores!$C$29</f>
        <v>151.15</v>
      </c>
      <c r="AC118" s="77">
        <f t="shared" si="16"/>
        <v>0</v>
      </c>
      <c r="AD118" s="77">
        <f>Valores!$C$30</f>
        <v>151.15</v>
      </c>
      <c r="AE118" s="116">
        <v>0</v>
      </c>
      <c r="AF118" s="77">
        <f>INT(((AE118*Valores!$C$2)*100)+0.5)/100</f>
        <v>0</v>
      </c>
      <c r="AG118" s="77">
        <f>Valores!$C$58</f>
        <v>307.46</v>
      </c>
      <c r="AH118" s="77">
        <f>Valores!$C$60</f>
        <v>87.85</v>
      </c>
      <c r="AI118" s="77">
        <f>SUM(H118,J118,L118,N118,O118,P118,Q118,R118,S118,T118,V118,W118,X118,Z118,AA118,AB118,AC118,AD118,AF118,AG118,AH118)*Valores!$C$63</f>
        <v>0</v>
      </c>
      <c r="AJ118" s="15">
        <f t="shared" si="17"/>
        <v>34308.505</v>
      </c>
      <c r="AK118" s="78">
        <f>Valores!$C$35</f>
        <v>415.59</v>
      </c>
      <c r="AL118" s="79">
        <f>Valores!$C$8</f>
        <v>234.26</v>
      </c>
      <c r="AM118" s="89">
        <f>Valores!$C$51</f>
        <v>128.84</v>
      </c>
      <c r="AN118" s="79">
        <f>IF($H$4="SI",SUM(AL118+AM118),AL118)*Valores!$C$63</f>
        <v>0</v>
      </c>
      <c r="AO118" s="12">
        <f t="shared" si="21"/>
        <v>778.6899999999999</v>
      </c>
      <c r="AP118" s="152">
        <f>AJ118*-Valores!$C$65</f>
        <v>-4460.1056499999995</v>
      </c>
      <c r="AQ118" s="152">
        <f>AJ118*-Valores!$C$66</f>
        <v>-171.54252499999998</v>
      </c>
      <c r="AR118" s="78">
        <f>AJ118*-Valores!$C$67</f>
        <v>-1543.882725</v>
      </c>
      <c r="AS118" s="78">
        <f>AJ118*-Valores!$C$68</f>
        <v>-926.329635</v>
      </c>
      <c r="AT118" s="78">
        <f>AJ118*-Valores!$C$69</f>
        <v>-102.92551499999999</v>
      </c>
      <c r="AU118" s="15">
        <f t="shared" si="18"/>
        <v>28911.6641</v>
      </c>
      <c r="AV118" s="15">
        <f t="shared" si="19"/>
        <v>29426.291675000004</v>
      </c>
      <c r="AW118" s="78">
        <f>AJ118*Valores!$C$70</f>
        <v>5489.3607999999995</v>
      </c>
      <c r="AX118" s="78">
        <f>AJ118*Valores!$C$71</f>
        <v>1543.882725</v>
      </c>
      <c r="AY118" s="78">
        <f>AJ118*Valores!$C$73</f>
        <v>343.08504999999997</v>
      </c>
      <c r="AZ118" s="78">
        <f>AJ118*Valores!$C$74</f>
        <v>1200.797675</v>
      </c>
      <c r="BA118" s="78">
        <f>AJ118*Valores!$C$75</f>
        <v>205.85102999999998</v>
      </c>
      <c r="BB118" s="78">
        <f t="shared" si="22"/>
        <v>1852.6592699999999</v>
      </c>
      <c r="BC118" s="20"/>
      <c r="BD118" s="20">
        <v>30</v>
      </c>
      <c r="BE118" s="9" t="s">
        <v>462</v>
      </c>
    </row>
    <row r="119" spans="1:57" s="9" customFormat="1" ht="11.25" customHeight="1">
      <c r="A119" s="20">
        <v>118</v>
      </c>
      <c r="B119" s="20"/>
      <c r="C119" s="9" t="s">
        <v>214</v>
      </c>
      <c r="E119" s="9">
        <f t="shared" si="20"/>
        <v>29</v>
      </c>
      <c r="F119" s="10" t="s">
        <v>215</v>
      </c>
      <c r="G119" s="123">
        <v>77</v>
      </c>
      <c r="H119" s="7">
        <f>INT((G119*Valores!$C$2*100)+0.5)/100</f>
        <v>461.95</v>
      </c>
      <c r="I119" s="134">
        <v>2043</v>
      </c>
      <c r="J119" s="77">
        <f>INT((I119*Valores!$C$2*100)+0.5)/100</f>
        <v>12256.58</v>
      </c>
      <c r="K119" s="146">
        <v>0</v>
      </c>
      <c r="L119" s="77">
        <f>INT((K119*Valores!$C$2*100)+0.5)/100</f>
        <v>0</v>
      </c>
      <c r="M119" s="120">
        <v>0</v>
      </c>
      <c r="N119" s="77">
        <f>INT((M119*Valores!$C$2*100)+0.5)/100</f>
        <v>0</v>
      </c>
      <c r="O119" s="77">
        <f t="shared" si="14"/>
        <v>0</v>
      </c>
      <c r="P119" s="77">
        <f t="shared" si="15"/>
        <v>6794.93</v>
      </c>
      <c r="Q119" s="78">
        <f>Valores!$C$16</f>
        <v>3718.92</v>
      </c>
      <c r="R119" s="78">
        <f>Valores!$D$4</f>
        <v>2683.49</v>
      </c>
      <c r="S119" s="61">
        <f>Valores!$C$26</f>
        <v>2700.67</v>
      </c>
      <c r="T119" s="87">
        <f>Valores!$C$42</f>
        <v>871.33</v>
      </c>
      <c r="U119" s="77">
        <f>Valores!$C$23</f>
        <v>2584.33</v>
      </c>
      <c r="V119" s="77">
        <f t="shared" si="23"/>
        <v>3876.495</v>
      </c>
      <c r="W119" s="77">
        <v>0</v>
      </c>
      <c r="X119" s="77">
        <v>0</v>
      </c>
      <c r="Y119" s="116">
        <v>0</v>
      </c>
      <c r="Z119" s="77">
        <f>Y119*Valores!$C$2</f>
        <v>0</v>
      </c>
      <c r="AA119" s="77">
        <v>0</v>
      </c>
      <c r="AB119" s="89">
        <f>Valores!$C$29</f>
        <v>151.15</v>
      </c>
      <c r="AC119" s="77">
        <f t="shared" si="16"/>
        <v>0</v>
      </c>
      <c r="AD119" s="77">
        <f>Valores!$C$30</f>
        <v>151.15</v>
      </c>
      <c r="AE119" s="116">
        <v>0</v>
      </c>
      <c r="AF119" s="77">
        <f>INT(((AE119*Valores!$C$2)*100)+0.5)/100</f>
        <v>0</v>
      </c>
      <c r="AG119" s="77">
        <f>Valores!$C$58</f>
        <v>307.46</v>
      </c>
      <c r="AH119" s="77">
        <f>Valores!$C$60</f>
        <v>87.85</v>
      </c>
      <c r="AI119" s="77">
        <f>SUM(H119,J119,L119,N119,O119,P119,Q119,R119,S119,T119,V119,W119,X119,Z119,AA119,AB119,AC119,AD119,AF119,AG119,AH119)*Valores!$C$63</f>
        <v>0</v>
      </c>
      <c r="AJ119" s="15">
        <f t="shared" si="17"/>
        <v>34061.97499999999</v>
      </c>
      <c r="AK119" s="78">
        <f>Valores!$C$35</f>
        <v>415.59</v>
      </c>
      <c r="AL119" s="79">
        <f>Valores!$C$8</f>
        <v>234.26</v>
      </c>
      <c r="AM119" s="89">
        <f>Valores!$C$51</f>
        <v>128.84</v>
      </c>
      <c r="AN119" s="79">
        <f>IF($H$4="SI",SUM(AL119+AM119),AL119)*Valores!$C$63</f>
        <v>0</v>
      </c>
      <c r="AO119" s="12">
        <f t="shared" si="21"/>
        <v>778.6899999999999</v>
      </c>
      <c r="AP119" s="152">
        <f>AJ119*-Valores!$C$65</f>
        <v>-4428.056749999999</v>
      </c>
      <c r="AQ119" s="152">
        <f>AJ119*-Valores!$C$66</f>
        <v>-170.30987499999995</v>
      </c>
      <c r="AR119" s="78">
        <f>AJ119*-Valores!$C$67</f>
        <v>-1532.7888749999995</v>
      </c>
      <c r="AS119" s="78">
        <f>AJ119*-Valores!$C$68</f>
        <v>-919.6733249999999</v>
      </c>
      <c r="AT119" s="78">
        <f>AJ119*-Valores!$C$69</f>
        <v>-102.18592499999997</v>
      </c>
      <c r="AU119" s="15">
        <f t="shared" si="18"/>
        <v>28709.509499999996</v>
      </c>
      <c r="AV119" s="15">
        <f t="shared" si="19"/>
        <v>29220.43912499999</v>
      </c>
      <c r="AW119" s="78">
        <f>AJ119*Valores!$C$70</f>
        <v>5449.915999999998</v>
      </c>
      <c r="AX119" s="78">
        <f>AJ119*Valores!$C$71</f>
        <v>1532.7888749999995</v>
      </c>
      <c r="AY119" s="78">
        <f>AJ119*Valores!$C$73</f>
        <v>340.6197499999999</v>
      </c>
      <c r="AZ119" s="78">
        <f>AJ119*Valores!$C$74</f>
        <v>1192.169125</v>
      </c>
      <c r="BA119" s="78">
        <f>AJ119*Valores!$C$75</f>
        <v>204.37184999999994</v>
      </c>
      <c r="BB119" s="78">
        <f t="shared" si="22"/>
        <v>1839.3466499999997</v>
      </c>
      <c r="BC119" s="20"/>
      <c r="BD119" s="55">
        <v>30</v>
      </c>
      <c r="BE119" s="9" t="s">
        <v>462</v>
      </c>
    </row>
    <row r="120" spans="1:57" s="9" customFormat="1" ht="11.25" customHeight="1">
      <c r="A120" s="20">
        <v>119</v>
      </c>
      <c r="B120" s="20"/>
      <c r="C120" s="9" t="s">
        <v>216</v>
      </c>
      <c r="E120" s="9">
        <f t="shared" si="20"/>
        <v>29</v>
      </c>
      <c r="F120" s="10" t="s">
        <v>217</v>
      </c>
      <c r="G120" s="123">
        <v>76</v>
      </c>
      <c r="H120" s="7">
        <f>INT((G120*Valores!$C$2*100)+0.5)/100</f>
        <v>455.95</v>
      </c>
      <c r="I120" s="134">
        <v>1954</v>
      </c>
      <c r="J120" s="77">
        <f>INT((I120*Valores!$C$2*100)+0.5)/100</f>
        <v>11722.64</v>
      </c>
      <c r="K120" s="146">
        <v>0</v>
      </c>
      <c r="L120" s="77">
        <f>INT((K120*Valores!$C$2*100)+0.5)/100</f>
        <v>0</v>
      </c>
      <c r="M120" s="120">
        <v>0</v>
      </c>
      <c r="N120" s="77">
        <f>INT((M120*Valores!$C$2*100)+0.5)/100</f>
        <v>0</v>
      </c>
      <c r="O120" s="77">
        <f t="shared" si="14"/>
        <v>0</v>
      </c>
      <c r="P120" s="77">
        <f t="shared" si="15"/>
        <v>6524.96</v>
      </c>
      <c r="Q120" s="78">
        <f>Valores!$C$16</f>
        <v>3718.92</v>
      </c>
      <c r="R120" s="78">
        <f>Valores!$D$4</f>
        <v>2683.49</v>
      </c>
      <c r="S120" s="61">
        <f>Valores!$C$26</f>
        <v>2700.67</v>
      </c>
      <c r="T120" s="87">
        <f>Valores!$C$42</f>
        <v>871.33</v>
      </c>
      <c r="U120" s="77">
        <f>Valores!$C$23</f>
        <v>2584.33</v>
      </c>
      <c r="V120" s="77">
        <f t="shared" si="23"/>
        <v>3876.495</v>
      </c>
      <c r="W120" s="77">
        <v>0</v>
      </c>
      <c r="X120" s="77">
        <v>0</v>
      </c>
      <c r="Y120" s="116">
        <v>0</v>
      </c>
      <c r="Z120" s="77">
        <f>Y120*Valores!$C$2</f>
        <v>0</v>
      </c>
      <c r="AA120" s="77">
        <v>0</v>
      </c>
      <c r="AB120" s="89">
        <f>Valores!$C$29</f>
        <v>151.15</v>
      </c>
      <c r="AC120" s="77">
        <f t="shared" si="16"/>
        <v>0</v>
      </c>
      <c r="AD120" s="77">
        <f>Valores!$C$30</f>
        <v>151.15</v>
      </c>
      <c r="AE120" s="116">
        <v>0</v>
      </c>
      <c r="AF120" s="77">
        <f>INT(((AE120*Valores!$C$2)*100)+0.5)/100</f>
        <v>0</v>
      </c>
      <c r="AG120" s="77">
        <f>Valores!$C$58</f>
        <v>307.46</v>
      </c>
      <c r="AH120" s="77">
        <f>Valores!$C$60</f>
        <v>87.85</v>
      </c>
      <c r="AI120" s="77">
        <f>SUM(H120,J120,L120,N120,O120,P120,Q120,R120,S120,T120,V120,W120,X120,Z120,AA120,AB120,AC120,AD120,AF120,AG120,AH120)*Valores!$C$63</f>
        <v>0</v>
      </c>
      <c r="AJ120" s="15">
        <f t="shared" si="17"/>
        <v>33252.064999999995</v>
      </c>
      <c r="AK120" s="78">
        <f>Valores!$C$35</f>
        <v>415.59</v>
      </c>
      <c r="AL120" s="79">
        <f>Valores!$C$8</f>
        <v>234.26</v>
      </c>
      <c r="AM120" s="89">
        <f>Valores!$C$51</f>
        <v>128.84</v>
      </c>
      <c r="AN120" s="79">
        <f>IF($H$4="SI",SUM(AL120+AM120),AL120)*Valores!$C$63</f>
        <v>0</v>
      </c>
      <c r="AO120" s="12">
        <f t="shared" si="21"/>
        <v>778.6899999999999</v>
      </c>
      <c r="AP120" s="152">
        <f>AJ120*-Valores!$C$65</f>
        <v>-4322.76845</v>
      </c>
      <c r="AQ120" s="152">
        <f>AJ120*-Valores!$C$66</f>
        <v>-166.26032499999997</v>
      </c>
      <c r="AR120" s="78">
        <f>AJ120*-Valores!$C$67</f>
        <v>-1496.3429249999997</v>
      </c>
      <c r="AS120" s="78">
        <f>AJ120*-Valores!$C$68</f>
        <v>-897.805755</v>
      </c>
      <c r="AT120" s="78">
        <f>AJ120*-Valores!$C$69</f>
        <v>-99.75619499999999</v>
      </c>
      <c r="AU120" s="15">
        <f t="shared" si="18"/>
        <v>28045.383299999994</v>
      </c>
      <c r="AV120" s="15">
        <f t="shared" si="19"/>
        <v>28544.164274999992</v>
      </c>
      <c r="AW120" s="78">
        <f>AJ120*Valores!$C$70</f>
        <v>5320.330399999999</v>
      </c>
      <c r="AX120" s="78">
        <f>AJ120*Valores!$C$71</f>
        <v>1496.3429249999997</v>
      </c>
      <c r="AY120" s="78">
        <f>AJ120*Valores!$C$73</f>
        <v>332.52064999999993</v>
      </c>
      <c r="AZ120" s="78">
        <f>AJ120*Valores!$C$74</f>
        <v>1163.822275</v>
      </c>
      <c r="BA120" s="78">
        <f>AJ120*Valores!$C$75</f>
        <v>199.51238999999998</v>
      </c>
      <c r="BB120" s="78">
        <f t="shared" si="22"/>
        <v>1795.6115099999997</v>
      </c>
      <c r="BC120" s="20"/>
      <c r="BD120" s="20">
        <v>30</v>
      </c>
      <c r="BE120" s="9" t="s">
        <v>462</v>
      </c>
    </row>
    <row r="121" spans="1:57" s="9" customFormat="1" ht="11.25" customHeight="1">
      <c r="A121" s="55">
        <v>120</v>
      </c>
      <c r="B121" s="55" t="s">
        <v>458</v>
      </c>
      <c r="C121" s="52" t="s">
        <v>218</v>
      </c>
      <c r="D121" s="52"/>
      <c r="E121" s="52">
        <f t="shared" si="20"/>
        <v>29</v>
      </c>
      <c r="F121" s="53" t="s">
        <v>219</v>
      </c>
      <c r="G121" s="124">
        <v>274</v>
      </c>
      <c r="H121" s="129">
        <f>INT((G121*Valores!$C$2*100)+0.5)/100</f>
        <v>1643.81</v>
      </c>
      <c r="I121" s="133">
        <v>1163</v>
      </c>
      <c r="J121" s="80">
        <f>INT((I121*Valores!$C$2*100)+0.5)/100</f>
        <v>6977.19</v>
      </c>
      <c r="K121" s="147">
        <v>0</v>
      </c>
      <c r="L121" s="80">
        <f>INT((K121*Valores!$C$2*100)+0.5)/100</f>
        <v>0</v>
      </c>
      <c r="M121" s="121">
        <v>0</v>
      </c>
      <c r="N121" s="80">
        <f>INT((M121*Valores!$C$2*100)+0.5)/100</f>
        <v>0</v>
      </c>
      <c r="O121" s="80">
        <f t="shared" si="14"/>
        <v>0</v>
      </c>
      <c r="P121" s="80">
        <f t="shared" si="15"/>
        <v>4746.165</v>
      </c>
      <c r="Q121" s="81">
        <f>Valores!$C$16</f>
        <v>3718.92</v>
      </c>
      <c r="R121" s="81">
        <f>Valores!$D$4</f>
        <v>2683.49</v>
      </c>
      <c r="S121" s="85">
        <f>Valores!$C$26</f>
        <v>2700.67</v>
      </c>
      <c r="T121" s="88">
        <f>Valores!$C$42</f>
        <v>871.33</v>
      </c>
      <c r="U121" s="80">
        <f>Valores!$C$23</f>
        <v>2584.33</v>
      </c>
      <c r="V121" s="80">
        <f t="shared" si="23"/>
        <v>3876.495</v>
      </c>
      <c r="W121" s="80">
        <v>0</v>
      </c>
      <c r="X121" s="80">
        <v>0</v>
      </c>
      <c r="Y121" s="115">
        <v>0</v>
      </c>
      <c r="Z121" s="80">
        <f>Y121*Valores!$C$2</f>
        <v>0</v>
      </c>
      <c r="AA121" s="80">
        <v>0</v>
      </c>
      <c r="AB121" s="90">
        <f>Valores!$C$29</f>
        <v>151.15</v>
      </c>
      <c r="AC121" s="80">
        <f t="shared" si="16"/>
        <v>0</v>
      </c>
      <c r="AD121" s="80">
        <f>Valores!$C$30</f>
        <v>151.15</v>
      </c>
      <c r="AE121" s="115">
        <v>0</v>
      </c>
      <c r="AF121" s="80">
        <f>INT(((AE121*Valores!$C$2)*100)+0.5)/100</f>
        <v>0</v>
      </c>
      <c r="AG121" s="80">
        <f>Valores!$C$58</f>
        <v>307.46</v>
      </c>
      <c r="AH121" s="80">
        <f>Valores!$C$60</f>
        <v>87.85</v>
      </c>
      <c r="AI121" s="80">
        <f>SUM(H121,J121,L121,N121,O121,P121,Q121,R121,S121,T121,V121,W121,X121,Z121,AA121,AB121,AC121,AD121,AF121,AG121,AH121)*Valores!$C$63</f>
        <v>0</v>
      </c>
      <c r="AJ121" s="54">
        <f t="shared" si="17"/>
        <v>27915.679999999997</v>
      </c>
      <c r="AK121" s="81">
        <f>Valores!$C$35</f>
        <v>415.59</v>
      </c>
      <c r="AL121" s="82">
        <f>Valores!$C$8</f>
        <v>234.26</v>
      </c>
      <c r="AM121" s="90">
        <f>Valores!$C$51</f>
        <v>128.84</v>
      </c>
      <c r="AN121" s="82">
        <f>IF($H$4="SI",SUM(AL121+AM121),AL121)*Valores!$C$63</f>
        <v>0</v>
      </c>
      <c r="AO121" s="185">
        <f t="shared" si="21"/>
        <v>778.6899999999999</v>
      </c>
      <c r="AP121" s="153">
        <f>AJ121*-Valores!$C$65</f>
        <v>-3629.0384</v>
      </c>
      <c r="AQ121" s="153">
        <f>AJ121*-Valores!$C$66</f>
        <v>-139.5784</v>
      </c>
      <c r="AR121" s="81">
        <f>AJ121*-Valores!$C$67</f>
        <v>-1256.2055999999998</v>
      </c>
      <c r="AS121" s="81">
        <f>AJ121*-Valores!$C$68</f>
        <v>-753.72336</v>
      </c>
      <c r="AT121" s="81">
        <f>AJ121*-Valores!$C$69</f>
        <v>-83.74704</v>
      </c>
      <c r="AU121" s="54">
        <f t="shared" si="18"/>
        <v>23669.547599999994</v>
      </c>
      <c r="AV121" s="54">
        <f t="shared" si="19"/>
        <v>24088.282799999997</v>
      </c>
      <c r="AW121" s="81">
        <f>AJ121*Valores!$C$70</f>
        <v>4466.5088</v>
      </c>
      <c r="AX121" s="81">
        <f>AJ121*Valores!$C$71</f>
        <v>1256.2055999999998</v>
      </c>
      <c r="AY121" s="81">
        <f>AJ121*Valores!$C$73</f>
        <v>279.1568</v>
      </c>
      <c r="AZ121" s="81">
        <f>AJ121*Valores!$C$74</f>
        <v>977.0488</v>
      </c>
      <c r="BA121" s="81">
        <f>AJ121*Valores!$C$75</f>
        <v>167.49408</v>
      </c>
      <c r="BB121" s="81">
        <f t="shared" si="22"/>
        <v>1507.44672</v>
      </c>
      <c r="BC121" s="55"/>
      <c r="BD121" s="55">
        <v>30</v>
      </c>
      <c r="BE121" s="52" t="s">
        <v>462</v>
      </c>
    </row>
    <row r="122" spans="1:57" s="9" customFormat="1" ht="11.25" customHeight="1">
      <c r="A122" s="20">
        <v>121</v>
      </c>
      <c r="B122" s="20"/>
      <c r="C122" s="9" t="s">
        <v>220</v>
      </c>
      <c r="E122" s="9">
        <f t="shared" si="20"/>
        <v>27</v>
      </c>
      <c r="F122" s="10" t="s">
        <v>221</v>
      </c>
      <c r="G122" s="123">
        <v>2800</v>
      </c>
      <c r="H122" s="7">
        <f>INT((G122*Valores!$C$2*100)+0.5)/100</f>
        <v>16798.05</v>
      </c>
      <c r="I122" s="134">
        <v>0</v>
      </c>
      <c r="J122" s="77">
        <f>INT((I122*Valores!$C$2*100)+0.5)/100</f>
        <v>0</v>
      </c>
      <c r="K122" s="146">
        <v>0</v>
      </c>
      <c r="L122" s="77">
        <f>INT((K122*Valores!$C$2*100)+0.5)/100</f>
        <v>0</v>
      </c>
      <c r="M122" s="120">
        <v>0</v>
      </c>
      <c r="N122" s="77">
        <f>INT((M122*Valores!$C$2*100)+0.5)/100</f>
        <v>0</v>
      </c>
      <c r="O122" s="77">
        <f t="shared" si="14"/>
        <v>0</v>
      </c>
      <c r="P122" s="77">
        <f t="shared" si="15"/>
        <v>9052.515</v>
      </c>
      <c r="Q122" s="78">
        <f>Valores!$C$20</f>
        <v>3519.79</v>
      </c>
      <c r="R122" s="78">
        <f>Valores!$D$4</f>
        <v>2683.49</v>
      </c>
      <c r="S122" s="77">
        <f>Valores!$C$26</f>
        <v>2700.67</v>
      </c>
      <c r="T122" s="79">
        <f>Valores!$C$43</f>
        <v>1306.98</v>
      </c>
      <c r="U122" s="61">
        <f>Valores!$C$24</f>
        <v>2549.17</v>
      </c>
      <c r="V122" s="77">
        <f t="shared" si="23"/>
        <v>3823.755</v>
      </c>
      <c r="W122" s="77">
        <v>0</v>
      </c>
      <c r="X122" s="77">
        <v>0</v>
      </c>
      <c r="Y122" s="116">
        <v>0</v>
      </c>
      <c r="Z122" s="77">
        <f>Y122*Valores!$C$2</f>
        <v>0</v>
      </c>
      <c r="AA122" s="77">
        <v>0</v>
      </c>
      <c r="AB122" s="89">
        <f>Valores!$C$29</f>
        <v>151.15</v>
      </c>
      <c r="AC122" s="77">
        <f t="shared" si="16"/>
        <v>0</v>
      </c>
      <c r="AD122" s="77">
        <f>Valores!$C$30</f>
        <v>151.15</v>
      </c>
      <c r="AE122" s="116">
        <v>0</v>
      </c>
      <c r="AF122" s="77">
        <f>INT(((AE122*Valores!$C$2)*100)+0.5)/100</f>
        <v>0</v>
      </c>
      <c r="AG122" s="77">
        <f>Valores!$C$58</f>
        <v>307.46</v>
      </c>
      <c r="AH122" s="77">
        <f>Valores!$C$60</f>
        <v>87.85</v>
      </c>
      <c r="AI122" s="77">
        <f>SUM(H122,J122,L122,N122,O122,P122,Q122,R122,S122,T122,V122,W122,X122,Z122,AA122,AB122,AC122,AD122,AF122,AG122,AH122)*Valores!$C$63</f>
        <v>0</v>
      </c>
      <c r="AJ122" s="15">
        <f t="shared" si="17"/>
        <v>40582.86</v>
      </c>
      <c r="AK122" s="78">
        <f>Valores!$C$35</f>
        <v>415.59</v>
      </c>
      <c r="AL122" s="79">
        <f>Valores!$C$9</f>
        <v>351.39</v>
      </c>
      <c r="AM122" s="89">
        <f>Valores!$C$50</f>
        <v>257.67</v>
      </c>
      <c r="AN122" s="79">
        <f>IF($H$4="SI",SUM(AL122+AM122),AL122)*Valores!$C$63</f>
        <v>0</v>
      </c>
      <c r="AO122" s="12">
        <f t="shared" si="21"/>
        <v>1024.65</v>
      </c>
      <c r="AP122" s="152">
        <f>AJ122*-Valores!$C$65</f>
        <v>-5275.7718</v>
      </c>
      <c r="AQ122" s="152">
        <f>AJ122*-Valores!$C$66</f>
        <v>-202.9143</v>
      </c>
      <c r="AR122" s="78">
        <f>AJ122*-Valores!$C$67</f>
        <v>-1826.2287</v>
      </c>
      <c r="AS122" s="78">
        <f>AJ122*-Valores!$C$68</f>
        <v>-1095.7372200000002</v>
      </c>
      <c r="AT122" s="78">
        <f>AJ122*-Valores!$C$69</f>
        <v>-121.74858</v>
      </c>
      <c r="AU122" s="15">
        <f t="shared" si="18"/>
        <v>34302.5952</v>
      </c>
      <c r="AV122" s="15">
        <f t="shared" si="19"/>
        <v>34911.3381</v>
      </c>
      <c r="AW122" s="78">
        <f>AJ122*Valores!$C$70</f>
        <v>6493.2576</v>
      </c>
      <c r="AX122" s="78">
        <f>AJ122*Valores!$C$71</f>
        <v>1826.2287</v>
      </c>
      <c r="AY122" s="78">
        <f>AJ122*Valores!$C$73</f>
        <v>405.8286</v>
      </c>
      <c r="AZ122" s="78">
        <f>AJ122*Valores!$C$74</f>
        <v>1420.4001</v>
      </c>
      <c r="BA122" s="78">
        <f>AJ122*Valores!$C$75</f>
        <v>243.49716</v>
      </c>
      <c r="BB122" s="78">
        <f t="shared" si="22"/>
        <v>2191.47444</v>
      </c>
      <c r="BC122" s="20"/>
      <c r="BD122" s="20"/>
      <c r="BE122" s="9" t="s">
        <v>462</v>
      </c>
    </row>
    <row r="123" spans="1:57" s="9" customFormat="1" ht="11.25" customHeight="1">
      <c r="A123" s="20">
        <v>122</v>
      </c>
      <c r="B123" s="20"/>
      <c r="C123" s="9" t="s">
        <v>222</v>
      </c>
      <c r="E123" s="9">
        <f t="shared" si="20"/>
        <v>27</v>
      </c>
      <c r="F123" s="10" t="s">
        <v>223</v>
      </c>
      <c r="G123" s="123">
        <v>2850</v>
      </c>
      <c r="H123" s="7">
        <f>INT((G123*Valores!$C$2*100)+0.5)/100</f>
        <v>17098.02</v>
      </c>
      <c r="I123" s="134">
        <v>0</v>
      </c>
      <c r="J123" s="77">
        <f>INT((I123*Valores!$C$2*100)+0.5)/100</f>
        <v>0</v>
      </c>
      <c r="K123" s="146">
        <v>0</v>
      </c>
      <c r="L123" s="77">
        <f>INT((K123*Valores!$C$2*100)+0.5)/100</f>
        <v>0</v>
      </c>
      <c r="M123" s="120">
        <v>0</v>
      </c>
      <c r="N123" s="77">
        <f>INT((M123*Valores!$C$2*100)+0.5)/100</f>
        <v>0</v>
      </c>
      <c r="O123" s="77">
        <f t="shared" si="14"/>
        <v>0</v>
      </c>
      <c r="P123" s="77">
        <f t="shared" si="15"/>
        <v>9202.5</v>
      </c>
      <c r="Q123" s="78">
        <f>Valores!$C$16</f>
        <v>3718.92</v>
      </c>
      <c r="R123" s="78">
        <f>Valores!$D$4</f>
        <v>2683.49</v>
      </c>
      <c r="S123" s="61">
        <f>Valores!$C$26</f>
        <v>2700.67</v>
      </c>
      <c r="T123" s="87">
        <f>Valores!$C$43</f>
        <v>1306.98</v>
      </c>
      <c r="U123" s="61">
        <f>Valores!$C$24</f>
        <v>2549.17</v>
      </c>
      <c r="V123" s="77">
        <f t="shared" si="23"/>
        <v>3823.755</v>
      </c>
      <c r="W123" s="77">
        <v>0</v>
      </c>
      <c r="X123" s="77">
        <v>0</v>
      </c>
      <c r="Y123" s="116">
        <v>0</v>
      </c>
      <c r="Z123" s="77">
        <f>Y123*Valores!$C$2</f>
        <v>0</v>
      </c>
      <c r="AA123" s="77">
        <v>0</v>
      </c>
      <c r="AB123" s="89">
        <f>Valores!$C$29</f>
        <v>151.15</v>
      </c>
      <c r="AC123" s="77">
        <f t="shared" si="16"/>
        <v>0</v>
      </c>
      <c r="AD123" s="77">
        <f>Valores!$C$30</f>
        <v>151.15</v>
      </c>
      <c r="AE123" s="116">
        <v>0</v>
      </c>
      <c r="AF123" s="77">
        <f>INT(((AE123*Valores!$C$2)*100)+0.5)/100</f>
        <v>0</v>
      </c>
      <c r="AG123" s="77">
        <f>Valores!$C$58</f>
        <v>307.46</v>
      </c>
      <c r="AH123" s="77">
        <f>Valores!$C$60</f>
        <v>87.85</v>
      </c>
      <c r="AI123" s="77">
        <f>SUM(H123,J123,L123,N123,O123,P123,Q123,R123,S123,T123,V123,W123,X123,Z123,AA123,AB123,AC123,AD123,AF123,AG123,AH123)*Valores!$C$63</f>
        <v>0</v>
      </c>
      <c r="AJ123" s="15">
        <f t="shared" si="17"/>
        <v>41231.945</v>
      </c>
      <c r="AK123" s="78">
        <f>Valores!$C$35</f>
        <v>415.59</v>
      </c>
      <c r="AL123" s="79">
        <f>Valores!$C$9</f>
        <v>351.39</v>
      </c>
      <c r="AM123" s="89">
        <f>Valores!$C$50</f>
        <v>257.67</v>
      </c>
      <c r="AN123" s="79">
        <f>IF($H$4="SI",SUM(AL123+AM123),AL123)*Valores!$C$63</f>
        <v>0</v>
      </c>
      <c r="AO123" s="12">
        <f t="shared" si="21"/>
        <v>1024.65</v>
      </c>
      <c r="AP123" s="152">
        <f>AJ123*-Valores!$C$65</f>
        <v>-5360.15285</v>
      </c>
      <c r="AQ123" s="152">
        <f>AJ123*-Valores!$C$66</f>
        <v>-206.159725</v>
      </c>
      <c r="AR123" s="78">
        <f>AJ123*-Valores!$C$67</f>
        <v>-1855.4375249999998</v>
      </c>
      <c r="AS123" s="78">
        <f>AJ123*-Valores!$C$68</f>
        <v>-1113.2625150000001</v>
      </c>
      <c r="AT123" s="78">
        <f>AJ123*-Valores!$C$69</f>
        <v>-123.695835</v>
      </c>
      <c r="AU123" s="15">
        <f t="shared" si="18"/>
        <v>34834.844900000004</v>
      </c>
      <c r="AV123" s="15">
        <f t="shared" si="19"/>
        <v>35453.324075000004</v>
      </c>
      <c r="AW123" s="78">
        <f>AJ123*Valores!$C$70</f>
        <v>6597.1112</v>
      </c>
      <c r="AX123" s="78">
        <f>AJ123*Valores!$C$71</f>
        <v>1855.4375249999998</v>
      </c>
      <c r="AY123" s="78">
        <f>AJ123*Valores!$C$73</f>
        <v>412.31945</v>
      </c>
      <c r="AZ123" s="78">
        <f>AJ123*Valores!$C$74</f>
        <v>1443.118075</v>
      </c>
      <c r="BA123" s="78">
        <f>AJ123*Valores!$C$75</f>
        <v>247.39167</v>
      </c>
      <c r="BB123" s="78">
        <f t="shared" si="22"/>
        <v>2226.5250300000002</v>
      </c>
      <c r="BC123" s="20"/>
      <c r="BD123" s="20"/>
      <c r="BE123" s="9" t="s">
        <v>462</v>
      </c>
    </row>
    <row r="124" spans="1:57" s="9" customFormat="1" ht="11.25" customHeight="1">
      <c r="A124" s="20">
        <v>123</v>
      </c>
      <c r="B124" s="20"/>
      <c r="C124" s="9" t="s">
        <v>224</v>
      </c>
      <c r="E124" s="9">
        <f t="shared" si="20"/>
        <v>21</v>
      </c>
      <c r="F124" s="10" t="s">
        <v>225</v>
      </c>
      <c r="G124" s="123">
        <v>1735</v>
      </c>
      <c r="H124" s="7">
        <f>INT((G124*Valores!$C$2*100)+0.5)/100</f>
        <v>10408.79</v>
      </c>
      <c r="I124" s="134">
        <v>0</v>
      </c>
      <c r="J124" s="77">
        <f>INT((I124*Valores!$C$2*100)+0.5)/100</f>
        <v>0</v>
      </c>
      <c r="K124" s="146">
        <v>0</v>
      </c>
      <c r="L124" s="77">
        <f>INT((K124*Valores!$C$2*100)+0.5)/100</f>
        <v>0</v>
      </c>
      <c r="M124" s="120">
        <v>0</v>
      </c>
      <c r="N124" s="77">
        <f>INT((M124*Valores!$C$2*100)+0.5)/100</f>
        <v>0</v>
      </c>
      <c r="O124" s="77">
        <f t="shared" si="14"/>
        <v>0</v>
      </c>
      <c r="P124" s="77">
        <f t="shared" si="15"/>
        <v>5585.595</v>
      </c>
      <c r="Q124" s="78">
        <f>Valores!$C$20</f>
        <v>3519.79</v>
      </c>
      <c r="R124" s="78">
        <f>Valores!$D$4</f>
        <v>2683.49</v>
      </c>
      <c r="S124" s="77">
        <v>0</v>
      </c>
      <c r="T124" s="79">
        <f>Valores!$C$41</f>
        <v>762.4</v>
      </c>
      <c r="U124" s="61">
        <f>Valores!$C$24</f>
        <v>2549.17</v>
      </c>
      <c r="V124" s="77">
        <f t="shared" si="23"/>
        <v>3823.755</v>
      </c>
      <c r="W124" s="77">
        <v>0</v>
      </c>
      <c r="X124" s="77">
        <v>0</v>
      </c>
      <c r="Y124" s="116">
        <v>0</v>
      </c>
      <c r="Z124" s="77">
        <f>Y124*Valores!$C$2</f>
        <v>0</v>
      </c>
      <c r="AA124" s="77">
        <v>0</v>
      </c>
      <c r="AB124" s="89">
        <f>Valores!$C$29</f>
        <v>151.15</v>
      </c>
      <c r="AC124" s="77">
        <f t="shared" si="16"/>
        <v>0</v>
      </c>
      <c r="AD124" s="77">
        <f>Valores!$C$30</f>
        <v>151.15</v>
      </c>
      <c r="AE124" s="116">
        <v>0</v>
      </c>
      <c r="AF124" s="77">
        <f>INT(((AE124*Valores!$C$2)*100)+0.5)/100</f>
        <v>0</v>
      </c>
      <c r="AG124" s="77">
        <f>Valores!$C$58</f>
        <v>307.46</v>
      </c>
      <c r="AH124" s="77">
        <f>Valores!$C$60</f>
        <v>87.85</v>
      </c>
      <c r="AI124" s="77">
        <f>SUM(H124,J124,L124,N124,O124,P124,Q124,R124,S124,T124,V124,W124,X124,Z124,AA124,AB124,AC124,AD124,AF124,AG124,AH124)*Valores!$C$63</f>
        <v>0</v>
      </c>
      <c r="AJ124" s="15">
        <f t="shared" si="17"/>
        <v>27481.430000000004</v>
      </c>
      <c r="AK124" s="78">
        <f>Valores!$C$35</f>
        <v>415.59</v>
      </c>
      <c r="AL124" s="79">
        <f>Valores!$C$7</f>
        <v>204.98</v>
      </c>
      <c r="AM124" s="89">
        <f>Valores!$C$51</f>
        <v>128.84</v>
      </c>
      <c r="AN124" s="79">
        <f>IF($H$4="SI",SUM(AL124+AM124),AL124)*Valores!$C$63</f>
        <v>0</v>
      </c>
      <c r="AO124" s="12">
        <f t="shared" si="21"/>
        <v>749.41</v>
      </c>
      <c r="AP124" s="152">
        <f>AJ124*-Valores!$C$65</f>
        <v>-3572.5859000000005</v>
      </c>
      <c r="AQ124" s="152">
        <f>AJ124*-Valores!$C$66</f>
        <v>-137.40715000000003</v>
      </c>
      <c r="AR124" s="78">
        <f>AJ124*-Valores!$C$67</f>
        <v>-1236.6643500000002</v>
      </c>
      <c r="AS124" s="78">
        <f>AJ124*-Valores!$C$68</f>
        <v>-741.9986100000002</v>
      </c>
      <c r="AT124" s="78">
        <f>AJ124*-Valores!$C$69</f>
        <v>-82.44429000000001</v>
      </c>
      <c r="AU124" s="15">
        <f t="shared" si="18"/>
        <v>23284.182600000004</v>
      </c>
      <c r="AV124" s="15">
        <f t="shared" si="19"/>
        <v>23696.404050000005</v>
      </c>
      <c r="AW124" s="78">
        <f>AJ124*Valores!$C$70</f>
        <v>4397.028800000001</v>
      </c>
      <c r="AX124" s="78">
        <f>AJ124*Valores!$C$71</f>
        <v>1236.6643500000002</v>
      </c>
      <c r="AY124" s="78">
        <f>AJ124*Valores!$C$73</f>
        <v>274.81430000000006</v>
      </c>
      <c r="AZ124" s="78">
        <f>AJ124*Valores!$C$74</f>
        <v>961.8500500000002</v>
      </c>
      <c r="BA124" s="78">
        <f>AJ124*Valores!$C$75</f>
        <v>164.88858000000002</v>
      </c>
      <c r="BB124" s="78">
        <f t="shared" si="22"/>
        <v>1483.9972200000004</v>
      </c>
      <c r="BC124" s="20"/>
      <c r="BD124" s="55"/>
      <c r="BE124" s="9" t="s">
        <v>462</v>
      </c>
    </row>
    <row r="125" spans="1:57" s="9" customFormat="1" ht="11.25" customHeight="1">
      <c r="A125" s="20">
        <v>124</v>
      </c>
      <c r="B125" s="20"/>
      <c r="C125" s="9" t="s">
        <v>226</v>
      </c>
      <c r="E125" s="9">
        <f t="shared" si="20"/>
        <v>35</v>
      </c>
      <c r="F125" s="10" t="s">
        <v>227</v>
      </c>
      <c r="G125" s="123">
        <v>72</v>
      </c>
      <c r="H125" s="7">
        <f>INT((G125*Valores!$C$2*100)+0.5)/100</f>
        <v>431.95</v>
      </c>
      <c r="I125" s="134">
        <v>1590</v>
      </c>
      <c r="J125" s="77">
        <f>INT((I125*Valores!$C$2*100)+0.5)/100</f>
        <v>9538.89</v>
      </c>
      <c r="K125" s="146">
        <v>0</v>
      </c>
      <c r="L125" s="77">
        <f>INT((K125*Valores!$C$2*100)+0.5)/100</f>
        <v>0</v>
      </c>
      <c r="M125" s="120">
        <v>0</v>
      </c>
      <c r="N125" s="77">
        <f>INT((M125*Valores!$C$2*100)+0.5)/100</f>
        <v>0</v>
      </c>
      <c r="O125" s="77">
        <f t="shared" si="14"/>
        <v>0</v>
      </c>
      <c r="P125" s="77">
        <f t="shared" si="15"/>
        <v>5366.62</v>
      </c>
      <c r="Q125" s="78">
        <f>Valores!$C$20</f>
        <v>3519.79</v>
      </c>
      <c r="R125" s="78">
        <f>Valores!$D$4</f>
        <v>2683.49</v>
      </c>
      <c r="S125" s="79">
        <f>Valores!$C$26</f>
        <v>2700.67</v>
      </c>
      <c r="T125" s="79">
        <f>Valores!$C$41</f>
        <v>762.4</v>
      </c>
      <c r="U125" s="61">
        <f>Valores!$C$24</f>
        <v>2549.17</v>
      </c>
      <c r="V125" s="77">
        <f t="shared" si="23"/>
        <v>3823.755</v>
      </c>
      <c r="W125" s="77">
        <v>0</v>
      </c>
      <c r="X125" s="77">
        <v>0</v>
      </c>
      <c r="Y125" s="116">
        <v>0</v>
      </c>
      <c r="Z125" s="77">
        <f>Y125*Valores!$C$2</f>
        <v>0</v>
      </c>
      <c r="AA125" s="77">
        <v>0</v>
      </c>
      <c r="AB125" s="89">
        <f>Valores!$C$29</f>
        <v>151.15</v>
      </c>
      <c r="AC125" s="77">
        <f t="shared" si="16"/>
        <v>0</v>
      </c>
      <c r="AD125" s="77">
        <f>Valores!$C$30</f>
        <v>151.15</v>
      </c>
      <c r="AE125" s="116">
        <v>0</v>
      </c>
      <c r="AF125" s="77">
        <f>INT(((AE125*Valores!$C$2)*100)+0.5)/100</f>
        <v>0</v>
      </c>
      <c r="AG125" s="77">
        <f>Valores!$C$58</f>
        <v>307.46</v>
      </c>
      <c r="AH125" s="77">
        <f>Valores!$C$60</f>
        <v>87.85</v>
      </c>
      <c r="AI125" s="77">
        <f>SUM(H125,J125,L125,N125,O125,P125,Q125,R125,S125,T125,V125,W125,X125,Z125,AA125,AB125,AC125,AD125,AF125,AG125,AH125)*Valores!$C$63</f>
        <v>0</v>
      </c>
      <c r="AJ125" s="15">
        <f t="shared" si="17"/>
        <v>29525.175</v>
      </c>
      <c r="AK125" s="78">
        <f>Valores!$C$35</f>
        <v>415.59</v>
      </c>
      <c r="AL125" s="79">
        <f>Valores!$C$7</f>
        <v>204.98</v>
      </c>
      <c r="AM125" s="89">
        <f>Valores!$C$51</f>
        <v>128.84</v>
      </c>
      <c r="AN125" s="79">
        <f>IF($H$4="SI",SUM(AL125+AM125),AL125)*Valores!$C$63</f>
        <v>0</v>
      </c>
      <c r="AO125" s="12">
        <f t="shared" si="21"/>
        <v>749.41</v>
      </c>
      <c r="AP125" s="152">
        <f>AJ125*-Valores!$C$65</f>
        <v>-3838.27275</v>
      </c>
      <c r="AQ125" s="152">
        <f>AJ125*-Valores!$C$66</f>
        <v>-147.625875</v>
      </c>
      <c r="AR125" s="78">
        <f>AJ125*-Valores!$C$67</f>
        <v>-1328.632875</v>
      </c>
      <c r="AS125" s="78">
        <f>AJ125*-Valores!$C$68</f>
        <v>-797.1797250000001</v>
      </c>
      <c r="AT125" s="78">
        <f>AJ125*-Valores!$C$69</f>
        <v>-88.575525</v>
      </c>
      <c r="AU125" s="15">
        <f t="shared" si="18"/>
        <v>24960.053499999998</v>
      </c>
      <c r="AV125" s="15">
        <f t="shared" si="19"/>
        <v>25402.931124999996</v>
      </c>
      <c r="AW125" s="78">
        <f>AJ125*Valores!$C$70</f>
        <v>4724.028</v>
      </c>
      <c r="AX125" s="78">
        <f>AJ125*Valores!$C$71</f>
        <v>1328.632875</v>
      </c>
      <c r="AY125" s="78">
        <f>AJ125*Valores!$C$73</f>
        <v>295.25175</v>
      </c>
      <c r="AZ125" s="78">
        <f>AJ125*Valores!$C$74</f>
        <v>1033.381125</v>
      </c>
      <c r="BA125" s="78">
        <f>AJ125*Valores!$C$75</f>
        <v>177.15105</v>
      </c>
      <c r="BB125" s="78">
        <f t="shared" si="22"/>
        <v>1594.3594500000002</v>
      </c>
      <c r="BC125" s="20"/>
      <c r="BD125" s="20">
        <v>25</v>
      </c>
      <c r="BE125" s="9" t="s">
        <v>462</v>
      </c>
    </row>
    <row r="126" spans="1:57" s="9" customFormat="1" ht="11.25" customHeight="1">
      <c r="A126" s="55">
        <v>125</v>
      </c>
      <c r="B126" s="55" t="s">
        <v>458</v>
      </c>
      <c r="C126" s="52" t="s">
        <v>228</v>
      </c>
      <c r="D126" s="52"/>
      <c r="E126" s="52">
        <f t="shared" si="20"/>
        <v>32</v>
      </c>
      <c r="F126" s="53" t="s">
        <v>229</v>
      </c>
      <c r="G126" s="124">
        <v>72</v>
      </c>
      <c r="H126" s="129">
        <f>INT((G126*Valores!$C$2*100)+0.5)/100</f>
        <v>431.95</v>
      </c>
      <c r="I126" s="133">
        <v>1590</v>
      </c>
      <c r="J126" s="80">
        <f>INT((I126*Valores!$C$2*100)+0.5)/100</f>
        <v>9538.89</v>
      </c>
      <c r="K126" s="147">
        <v>0</v>
      </c>
      <c r="L126" s="80">
        <f>INT((K126*Valores!$C$2*100)+0.5)/100</f>
        <v>0</v>
      </c>
      <c r="M126" s="121">
        <v>0</v>
      </c>
      <c r="N126" s="80">
        <f>INT((M126*Valores!$C$2*100)+0.5)/100</f>
        <v>0</v>
      </c>
      <c r="O126" s="80">
        <f t="shared" si="14"/>
        <v>0</v>
      </c>
      <c r="P126" s="80">
        <f t="shared" si="15"/>
        <v>5366.62</v>
      </c>
      <c r="Q126" s="81">
        <f>Valores!$C$20</f>
        <v>3519.79</v>
      </c>
      <c r="R126" s="81">
        <f>Valores!$D$4</f>
        <v>2683.49</v>
      </c>
      <c r="S126" s="88">
        <f>Valores!$C$26</f>
        <v>2700.67</v>
      </c>
      <c r="T126" s="88">
        <f>Valores!$C$41</f>
        <v>762.4</v>
      </c>
      <c r="U126" s="85">
        <f>Valores!$C$24</f>
        <v>2549.17</v>
      </c>
      <c r="V126" s="80">
        <f t="shared" si="23"/>
        <v>3823.755</v>
      </c>
      <c r="W126" s="80">
        <v>0</v>
      </c>
      <c r="X126" s="80">
        <v>0</v>
      </c>
      <c r="Y126" s="115">
        <v>0</v>
      </c>
      <c r="Z126" s="80">
        <f>Y126*Valores!$C$2</f>
        <v>0</v>
      </c>
      <c r="AA126" s="80">
        <v>0</v>
      </c>
      <c r="AB126" s="90">
        <f>Valores!$C$29</f>
        <v>151.15</v>
      </c>
      <c r="AC126" s="80">
        <f t="shared" si="16"/>
        <v>0</v>
      </c>
      <c r="AD126" s="80">
        <f>Valores!$C$30</f>
        <v>151.15</v>
      </c>
      <c r="AE126" s="115">
        <v>94</v>
      </c>
      <c r="AF126" s="80">
        <f>INT(((AE126*Valores!$C$2)*100)+0.5)/100</f>
        <v>563.93</v>
      </c>
      <c r="AG126" s="80">
        <f>Valores!$C$58</f>
        <v>307.46</v>
      </c>
      <c r="AH126" s="80">
        <f>Valores!$C$60</f>
        <v>87.85</v>
      </c>
      <c r="AI126" s="80">
        <f>SUM(H126,J126,L126,N126,O126,P126,Q126,R126,S126,T126,V126,W126,X126,Z126,AA126,AB126,AC126,AD126,AF126,AG126,AH126)*Valores!$C$63</f>
        <v>0</v>
      </c>
      <c r="AJ126" s="54">
        <f t="shared" si="17"/>
        <v>30089.105</v>
      </c>
      <c r="AK126" s="81">
        <f>Valores!$C$35</f>
        <v>415.59</v>
      </c>
      <c r="AL126" s="82">
        <f>Valores!$C$7</f>
        <v>204.98</v>
      </c>
      <c r="AM126" s="89">
        <f>Valores!$C$51</f>
        <v>128.84</v>
      </c>
      <c r="AN126" s="82">
        <f>IF($H$4="SI",SUM(AL126+AM126),AL126)*Valores!$C$63</f>
        <v>0</v>
      </c>
      <c r="AO126" s="185">
        <f t="shared" si="21"/>
        <v>749.41</v>
      </c>
      <c r="AP126" s="153">
        <f>AJ126*-Valores!$C$65</f>
        <v>-3911.58365</v>
      </c>
      <c r="AQ126" s="153">
        <f>AJ126*-Valores!$C$66</f>
        <v>-150.445525</v>
      </c>
      <c r="AR126" s="81">
        <f>AJ126*-Valores!$C$67</f>
        <v>-1354.009725</v>
      </c>
      <c r="AS126" s="81">
        <f>AJ126*-Valores!$C$68</f>
        <v>-812.4058350000001</v>
      </c>
      <c r="AT126" s="81">
        <f>AJ126*-Valores!$C$69</f>
        <v>-90.267315</v>
      </c>
      <c r="AU126" s="54">
        <f t="shared" si="18"/>
        <v>25422.4761</v>
      </c>
      <c r="AV126" s="54">
        <f t="shared" si="19"/>
        <v>25873.812674999997</v>
      </c>
      <c r="AW126" s="81">
        <f>AJ126*Valores!$C$70</f>
        <v>4814.2568</v>
      </c>
      <c r="AX126" s="81">
        <f>AJ126*Valores!$C$71</f>
        <v>1354.009725</v>
      </c>
      <c r="AY126" s="81">
        <f>AJ126*Valores!$C$73</f>
        <v>300.89105</v>
      </c>
      <c r="AZ126" s="81">
        <f>AJ126*Valores!$C$74</f>
        <v>1053.1186750000002</v>
      </c>
      <c r="BA126" s="81">
        <f>AJ126*Valores!$C$75</f>
        <v>180.53463</v>
      </c>
      <c r="BB126" s="81">
        <f t="shared" si="22"/>
        <v>1624.81167</v>
      </c>
      <c r="BC126" s="55"/>
      <c r="BD126" s="55">
        <v>20</v>
      </c>
      <c r="BE126" s="52" t="s">
        <v>462</v>
      </c>
    </row>
    <row r="127" spans="1:57" s="9" customFormat="1" ht="11.25" customHeight="1">
      <c r="A127" s="20">
        <v>126</v>
      </c>
      <c r="B127" s="20"/>
      <c r="C127" s="9" t="s">
        <v>230</v>
      </c>
      <c r="E127" s="9">
        <f t="shared" si="20"/>
        <v>36</v>
      </c>
      <c r="F127" s="10" t="s">
        <v>231</v>
      </c>
      <c r="G127" s="123">
        <v>77</v>
      </c>
      <c r="H127" s="7">
        <f>INT((G127*Valores!$C$2*100)+0.5)/100</f>
        <v>461.95</v>
      </c>
      <c r="I127" s="134">
        <v>2043</v>
      </c>
      <c r="J127" s="77">
        <f>INT((I127*Valores!$C$2*100)+0.5)/100</f>
        <v>12256.58</v>
      </c>
      <c r="K127" s="146">
        <v>0</v>
      </c>
      <c r="L127" s="77">
        <f>INT((K127*Valores!$C$2*100)+0.5)/100</f>
        <v>0</v>
      </c>
      <c r="M127" s="120">
        <v>0</v>
      </c>
      <c r="N127" s="77">
        <f>INT((M127*Valores!$C$2*100)+0.5)/100</f>
        <v>0</v>
      </c>
      <c r="O127" s="77">
        <f t="shared" si="14"/>
        <v>0</v>
      </c>
      <c r="P127" s="77">
        <f t="shared" si="15"/>
        <v>6794.93</v>
      </c>
      <c r="Q127" s="83">
        <f>Valores!$C$16</f>
        <v>3718.92</v>
      </c>
      <c r="R127" s="78">
        <f>Valores!$D$4</f>
        <v>2683.49</v>
      </c>
      <c r="S127" s="79">
        <f>Valores!$C$26</f>
        <v>2700.67</v>
      </c>
      <c r="T127" s="79">
        <f>Valores!$C$42</f>
        <v>871.33</v>
      </c>
      <c r="U127" s="77">
        <f>Valores!$C$23</f>
        <v>2584.33</v>
      </c>
      <c r="V127" s="77">
        <f t="shared" si="23"/>
        <v>3876.495</v>
      </c>
      <c r="W127" s="77">
        <v>0</v>
      </c>
      <c r="X127" s="77">
        <v>0</v>
      </c>
      <c r="Y127" s="116">
        <v>0</v>
      </c>
      <c r="Z127" s="77">
        <f>Y127*Valores!$C$2</f>
        <v>0</v>
      </c>
      <c r="AA127" s="77">
        <v>0</v>
      </c>
      <c r="AB127" s="89">
        <f>Valores!$C$29</f>
        <v>151.15</v>
      </c>
      <c r="AC127" s="77">
        <f t="shared" si="16"/>
        <v>0</v>
      </c>
      <c r="AD127" s="77">
        <f>Valores!$C$30</f>
        <v>151.15</v>
      </c>
      <c r="AE127" s="116">
        <v>0</v>
      </c>
      <c r="AF127" s="77">
        <f>INT(((AE127*Valores!$C$2)*100)+0.5)/100</f>
        <v>0</v>
      </c>
      <c r="AG127" s="77">
        <f>Valores!$C$58</f>
        <v>307.46</v>
      </c>
      <c r="AH127" s="77">
        <f>Valores!$C$60</f>
        <v>87.85</v>
      </c>
      <c r="AI127" s="77">
        <f>SUM(H127,J127,L127,N127,O127,P127,Q127,R127,S127,T127,V127,W127,X127,Z127,AA127,AB127,AC127,AD127,AF127,AG127,AH127)*Valores!$C$63</f>
        <v>0</v>
      </c>
      <c r="AJ127" s="15">
        <f t="shared" si="17"/>
        <v>34061.97499999999</v>
      </c>
      <c r="AK127" s="78">
        <f>Valores!$C$35</f>
        <v>415.59</v>
      </c>
      <c r="AL127" s="79">
        <f>Valores!$C$8</f>
        <v>234.26</v>
      </c>
      <c r="AM127" s="89">
        <f>Valores!$C$51</f>
        <v>128.84</v>
      </c>
      <c r="AN127" s="79">
        <f>IF($H$4="SI",SUM(AL127+AM127),AL127)*Valores!$C$63</f>
        <v>0</v>
      </c>
      <c r="AO127" s="12">
        <f t="shared" si="21"/>
        <v>778.6899999999999</v>
      </c>
      <c r="AP127" s="152">
        <f>AJ127*-Valores!$C$65</f>
        <v>-4428.056749999999</v>
      </c>
      <c r="AQ127" s="152">
        <f>AJ127*-Valores!$C$66</f>
        <v>-170.30987499999995</v>
      </c>
      <c r="AR127" s="78">
        <f>AJ127*-Valores!$C$67</f>
        <v>-1532.7888749999995</v>
      </c>
      <c r="AS127" s="78">
        <f>AJ127*-Valores!$C$68</f>
        <v>-919.6733249999999</v>
      </c>
      <c r="AT127" s="78">
        <f>AJ127*-Valores!$C$69</f>
        <v>-102.18592499999997</v>
      </c>
      <c r="AU127" s="15">
        <f t="shared" si="18"/>
        <v>28709.509499999996</v>
      </c>
      <c r="AV127" s="15">
        <f t="shared" si="19"/>
        <v>29220.43912499999</v>
      </c>
      <c r="AW127" s="78">
        <f>AJ127*Valores!$C$70</f>
        <v>5449.915999999998</v>
      </c>
      <c r="AX127" s="78">
        <f>AJ127*Valores!$C$71</f>
        <v>1532.7888749999995</v>
      </c>
      <c r="AY127" s="78">
        <f>AJ127*Valores!$C$73</f>
        <v>340.6197499999999</v>
      </c>
      <c r="AZ127" s="78">
        <f>AJ127*Valores!$C$74</f>
        <v>1192.169125</v>
      </c>
      <c r="BA127" s="78">
        <f>AJ127*Valores!$C$75</f>
        <v>204.37184999999994</v>
      </c>
      <c r="BB127" s="78">
        <f t="shared" si="22"/>
        <v>1839.3466499999997</v>
      </c>
      <c r="BC127" s="20"/>
      <c r="BD127" s="20"/>
      <c r="BE127" s="9" t="s">
        <v>462</v>
      </c>
    </row>
    <row r="128" spans="1:57" s="9" customFormat="1" ht="11.25" customHeight="1">
      <c r="A128" s="20">
        <v>127</v>
      </c>
      <c r="B128" s="20"/>
      <c r="C128" s="9" t="s">
        <v>232</v>
      </c>
      <c r="E128" s="9">
        <f t="shared" si="20"/>
        <v>35</v>
      </c>
      <c r="F128" s="10" t="s">
        <v>233</v>
      </c>
      <c r="G128" s="123">
        <v>61</v>
      </c>
      <c r="H128" s="7">
        <f>INT((G128*Valores!$C$2*100)+0.5)/100</f>
        <v>365.96</v>
      </c>
      <c r="I128" s="134">
        <v>1217</v>
      </c>
      <c r="J128" s="77">
        <f>INT((I128*Valores!$C$2*100)+0.5)/100</f>
        <v>7301.15</v>
      </c>
      <c r="K128" s="146">
        <v>0</v>
      </c>
      <c r="L128" s="77">
        <f>INT((K128*Valores!$C$2*100)+0.5)/100</f>
        <v>0</v>
      </c>
      <c r="M128" s="120">
        <v>0</v>
      </c>
      <c r="N128" s="77">
        <f>INT((M128*Valores!$C$2*100)+0.5)/100</f>
        <v>0</v>
      </c>
      <c r="O128" s="77">
        <f t="shared" si="14"/>
        <v>0</v>
      </c>
      <c r="P128" s="77">
        <f t="shared" si="15"/>
        <v>4214.755</v>
      </c>
      <c r="Q128" s="78">
        <f>Valores!$C$20</f>
        <v>3519.79</v>
      </c>
      <c r="R128" s="78">
        <f>Valores!$D$4</f>
        <v>2683.49</v>
      </c>
      <c r="S128" s="79">
        <f>Valores!$C$26</f>
        <v>2700.67</v>
      </c>
      <c r="T128" s="79">
        <f>Valores!$C$41</f>
        <v>762.4</v>
      </c>
      <c r="U128" s="61">
        <f>Valores!$C$23</f>
        <v>2584.33</v>
      </c>
      <c r="V128" s="77">
        <f t="shared" si="23"/>
        <v>3876.495</v>
      </c>
      <c r="W128" s="77">
        <v>0</v>
      </c>
      <c r="X128" s="77">
        <v>0</v>
      </c>
      <c r="Y128" s="116">
        <v>0</v>
      </c>
      <c r="Z128" s="77">
        <f>Y128*Valores!$C$2</f>
        <v>0</v>
      </c>
      <c r="AA128" s="77">
        <v>0</v>
      </c>
      <c r="AB128" s="89">
        <f>Valores!$C$29</f>
        <v>151.15</v>
      </c>
      <c r="AC128" s="77">
        <f t="shared" si="16"/>
        <v>0</v>
      </c>
      <c r="AD128" s="77">
        <f>Valores!$C$30</f>
        <v>151.15</v>
      </c>
      <c r="AE128" s="116">
        <v>0</v>
      </c>
      <c r="AF128" s="77">
        <f>INT(((AE128*Valores!$C$2)*100)+0.5)/100</f>
        <v>0</v>
      </c>
      <c r="AG128" s="77">
        <f>Valores!$C$58</f>
        <v>307.46</v>
      </c>
      <c r="AH128" s="77">
        <f>Valores!$C$60</f>
        <v>87.85</v>
      </c>
      <c r="AI128" s="77">
        <f>SUM(H128,J128,L128,N128,O128,P128,Q128,R128,S128,T128,V128,W128,X128,Z128,AA128,AB128,AC128,AD128,AF128,AG128,AH128)*Valores!$C$63</f>
        <v>0</v>
      </c>
      <c r="AJ128" s="15">
        <f t="shared" si="17"/>
        <v>26122.319999999996</v>
      </c>
      <c r="AK128" s="78">
        <f>Valores!$C$35</f>
        <v>415.59</v>
      </c>
      <c r="AL128" s="79">
        <f>Valores!$C$7</f>
        <v>204.98</v>
      </c>
      <c r="AM128" s="89">
        <f>Valores!$C$51</f>
        <v>128.84</v>
      </c>
      <c r="AN128" s="79">
        <f>IF($H$4="SI",SUM(AL128+AM128),AL128)*Valores!$C$63</f>
        <v>0</v>
      </c>
      <c r="AO128" s="12">
        <f t="shared" si="21"/>
        <v>749.41</v>
      </c>
      <c r="AP128" s="152">
        <f>AJ128*-Valores!$C$65</f>
        <v>-3395.9015999999997</v>
      </c>
      <c r="AQ128" s="152">
        <f>AJ128*-Valores!$C$66</f>
        <v>-130.61159999999998</v>
      </c>
      <c r="AR128" s="78">
        <f>AJ128*-Valores!$C$67</f>
        <v>-1175.5043999999998</v>
      </c>
      <c r="AS128" s="78">
        <f>AJ128*-Valores!$C$68</f>
        <v>-705.30264</v>
      </c>
      <c r="AT128" s="78">
        <f>AJ128*-Valores!$C$69</f>
        <v>-78.36695999999999</v>
      </c>
      <c r="AU128" s="15">
        <f t="shared" si="18"/>
        <v>22169.712399999993</v>
      </c>
      <c r="AV128" s="15">
        <f t="shared" si="19"/>
        <v>22561.547199999994</v>
      </c>
      <c r="AW128" s="78">
        <f>AJ128*Valores!$C$70</f>
        <v>4179.571199999999</v>
      </c>
      <c r="AX128" s="78">
        <f>AJ128*Valores!$C$71</f>
        <v>1175.5043999999998</v>
      </c>
      <c r="AY128" s="78">
        <f>AJ128*Valores!$C$73</f>
        <v>261.22319999999996</v>
      </c>
      <c r="AZ128" s="78">
        <f>AJ128*Valores!$C$74</f>
        <v>914.2811999999999</v>
      </c>
      <c r="BA128" s="78">
        <f>AJ128*Valores!$C$75</f>
        <v>156.73391999999998</v>
      </c>
      <c r="BB128" s="78">
        <f t="shared" si="22"/>
        <v>1410.60528</v>
      </c>
      <c r="BC128" s="20"/>
      <c r="BD128" s="20">
        <v>25</v>
      </c>
      <c r="BE128" s="9" t="s">
        <v>462</v>
      </c>
    </row>
    <row r="129" spans="1:57" s="9" customFormat="1" ht="11.25" customHeight="1">
      <c r="A129" s="20">
        <v>128</v>
      </c>
      <c r="B129" s="20"/>
      <c r="C129" s="9" t="s">
        <v>234</v>
      </c>
      <c r="E129" s="9">
        <f t="shared" si="20"/>
        <v>32</v>
      </c>
      <c r="F129" s="10" t="s">
        <v>235</v>
      </c>
      <c r="G129" s="123">
        <v>72</v>
      </c>
      <c r="H129" s="7">
        <f>INT((G129*Valores!$C$2*100)+0.5)/100</f>
        <v>431.95</v>
      </c>
      <c r="I129" s="134">
        <v>1206</v>
      </c>
      <c r="J129" s="77">
        <f>INT((I129*Valores!$C$2*100)+0.5)/100</f>
        <v>7235.16</v>
      </c>
      <c r="K129" s="146">
        <v>0</v>
      </c>
      <c r="L129" s="77">
        <f>INT((K129*Valores!$C$2*100)+0.5)/100</f>
        <v>0</v>
      </c>
      <c r="M129" s="120">
        <v>0</v>
      </c>
      <c r="N129" s="77">
        <f>INT((M129*Valores!$C$2*100)+0.5)/100</f>
        <v>0</v>
      </c>
      <c r="O129" s="77">
        <f t="shared" si="14"/>
        <v>0</v>
      </c>
      <c r="P129" s="77">
        <f t="shared" si="15"/>
        <v>4214.755</v>
      </c>
      <c r="Q129" s="78">
        <f>Valores!$C$20</f>
        <v>3519.79</v>
      </c>
      <c r="R129" s="78">
        <f>Valores!$D$4</f>
        <v>2683.49</v>
      </c>
      <c r="S129" s="87">
        <f>Valores!$C$26</f>
        <v>2700.67</v>
      </c>
      <c r="T129" s="87">
        <f>Valores!$C$41</f>
        <v>762.4</v>
      </c>
      <c r="U129" s="77">
        <f>Valores!$C$23</f>
        <v>2584.33</v>
      </c>
      <c r="V129" s="77">
        <f t="shared" si="23"/>
        <v>3876.495</v>
      </c>
      <c r="W129" s="77">
        <v>0</v>
      </c>
      <c r="X129" s="77">
        <v>0</v>
      </c>
      <c r="Y129" s="116">
        <v>0</v>
      </c>
      <c r="Z129" s="77">
        <f>Y129*Valores!$C$2</f>
        <v>0</v>
      </c>
      <c r="AA129" s="77">
        <v>0</v>
      </c>
      <c r="AB129" s="89">
        <f>Valores!$C$29</f>
        <v>151.15</v>
      </c>
      <c r="AC129" s="77">
        <f t="shared" si="16"/>
        <v>0</v>
      </c>
      <c r="AD129" s="77">
        <f>Valores!$C$30</f>
        <v>151.15</v>
      </c>
      <c r="AE129" s="116">
        <v>94</v>
      </c>
      <c r="AF129" s="77">
        <f>INT(((AE129*Valores!$C$2)*100)+0.5)/100</f>
        <v>563.93</v>
      </c>
      <c r="AG129" s="77">
        <f>Valores!$C$58</f>
        <v>307.46</v>
      </c>
      <c r="AH129" s="77">
        <f>Valores!$C$60</f>
        <v>87.85</v>
      </c>
      <c r="AI129" s="77">
        <f>SUM(H129,J129,L129,N129,O129,P129,Q129,R129,S129,T129,V129,W129,X129,Z129,AA129,AB129,AC129,AD129,AF129,AG129,AH129)*Valores!$C$63</f>
        <v>0</v>
      </c>
      <c r="AJ129" s="15">
        <f t="shared" si="17"/>
        <v>26686.249999999996</v>
      </c>
      <c r="AK129" s="78">
        <f>Valores!$C$35</f>
        <v>415.59</v>
      </c>
      <c r="AL129" s="79">
        <f>Valores!$C$7</f>
        <v>204.98</v>
      </c>
      <c r="AM129" s="89">
        <f>Valores!$C$51</f>
        <v>128.84</v>
      </c>
      <c r="AN129" s="79">
        <f>IF($H$4="SI",SUM(AL129+AM129),AL129)*Valores!$C$63</f>
        <v>0</v>
      </c>
      <c r="AO129" s="12">
        <f t="shared" si="21"/>
        <v>749.41</v>
      </c>
      <c r="AP129" s="152">
        <f>AJ129*-Valores!$C$65</f>
        <v>-3469.2124999999996</v>
      </c>
      <c r="AQ129" s="152">
        <f>AJ129*-Valores!$C$66</f>
        <v>-133.43124999999998</v>
      </c>
      <c r="AR129" s="78">
        <f>AJ129*-Valores!$C$67</f>
        <v>-1200.8812499999997</v>
      </c>
      <c r="AS129" s="78">
        <f>AJ129*-Valores!$C$68</f>
        <v>-720.52875</v>
      </c>
      <c r="AT129" s="78">
        <f>AJ129*-Valores!$C$69</f>
        <v>-80.05874999999999</v>
      </c>
      <c r="AU129" s="15">
        <f t="shared" si="18"/>
        <v>22632.134999999995</v>
      </c>
      <c r="AV129" s="15">
        <f t="shared" si="19"/>
        <v>23032.428749999995</v>
      </c>
      <c r="AW129" s="78">
        <f>AJ129*Valores!$C$70</f>
        <v>4269.799999999999</v>
      </c>
      <c r="AX129" s="78">
        <f>AJ129*Valores!$C$71</f>
        <v>1200.8812499999997</v>
      </c>
      <c r="AY129" s="78">
        <f>AJ129*Valores!$C$73</f>
        <v>266.86249999999995</v>
      </c>
      <c r="AZ129" s="78">
        <f>AJ129*Valores!$C$74</f>
        <v>934.01875</v>
      </c>
      <c r="BA129" s="78">
        <f>AJ129*Valores!$C$75</f>
        <v>160.11749999999998</v>
      </c>
      <c r="BB129" s="78">
        <f t="shared" si="22"/>
        <v>1441.0575</v>
      </c>
      <c r="BC129" s="20"/>
      <c r="BD129" s="55">
        <v>20</v>
      </c>
      <c r="BE129" s="9" t="s">
        <v>462</v>
      </c>
    </row>
    <row r="130" spans="1:57" s="9" customFormat="1" ht="11.25" customHeight="1">
      <c r="A130" s="20">
        <v>129</v>
      </c>
      <c r="B130" s="20"/>
      <c r="C130" s="9" t="s">
        <v>236</v>
      </c>
      <c r="E130" s="9">
        <f t="shared" si="20"/>
        <v>33</v>
      </c>
      <c r="F130" s="10" t="s">
        <v>237</v>
      </c>
      <c r="G130" s="123">
        <v>61</v>
      </c>
      <c r="H130" s="7">
        <f>INT((G130*Valores!$C$2*100)+0.5)/100</f>
        <v>365.96</v>
      </c>
      <c r="I130" s="134">
        <v>1217</v>
      </c>
      <c r="J130" s="77">
        <f>INT((I130*Valores!$C$2*100)+0.5)/100</f>
        <v>7301.15</v>
      </c>
      <c r="K130" s="146">
        <v>0</v>
      </c>
      <c r="L130" s="77">
        <f>INT((K130*Valores!$C$2*100)+0.5)/100</f>
        <v>0</v>
      </c>
      <c r="M130" s="120">
        <v>0</v>
      </c>
      <c r="N130" s="77">
        <f>INT((M130*Valores!$C$2*100)+0.5)/100</f>
        <v>0</v>
      </c>
      <c r="O130" s="77">
        <f t="shared" si="14"/>
        <v>0</v>
      </c>
      <c r="P130" s="77">
        <f t="shared" si="15"/>
        <v>4214.755</v>
      </c>
      <c r="Q130" s="78">
        <f>Valores!$C$20</f>
        <v>3519.79</v>
      </c>
      <c r="R130" s="78">
        <f>Valores!$D$4</f>
        <v>2683.49</v>
      </c>
      <c r="S130" s="77">
        <v>0</v>
      </c>
      <c r="T130" s="79">
        <f>Valores!$C$41</f>
        <v>762.4</v>
      </c>
      <c r="U130" s="61">
        <f>Valores!$C$24</f>
        <v>2549.17</v>
      </c>
      <c r="V130" s="77">
        <f t="shared" si="23"/>
        <v>3823.755</v>
      </c>
      <c r="W130" s="77">
        <v>0</v>
      </c>
      <c r="X130" s="77">
        <v>0</v>
      </c>
      <c r="Y130" s="116">
        <v>0</v>
      </c>
      <c r="Z130" s="77">
        <f>Y130*Valores!$C$2</f>
        <v>0</v>
      </c>
      <c r="AA130" s="77">
        <v>0</v>
      </c>
      <c r="AB130" s="89">
        <f>Valores!$C$29</f>
        <v>151.15</v>
      </c>
      <c r="AC130" s="77">
        <f t="shared" si="16"/>
        <v>0</v>
      </c>
      <c r="AD130" s="77">
        <f>Valores!$C$30</f>
        <v>151.15</v>
      </c>
      <c r="AE130" s="116">
        <v>0</v>
      </c>
      <c r="AF130" s="77">
        <f>INT(((AE130*Valores!$C$2)*100)+0.5)/100</f>
        <v>0</v>
      </c>
      <c r="AG130" s="77">
        <f>Valores!$C$58</f>
        <v>307.46</v>
      </c>
      <c r="AH130" s="77">
        <f>Valores!$C$60</f>
        <v>87.85</v>
      </c>
      <c r="AI130" s="77">
        <f>SUM(H130,J130,L130,N130,O130,P130,Q130,R130,S130,T130,V130,W130,X130,Z130,AA130,AB130,AC130,AD130,AF130,AG130,AH130)*Valores!$C$63</f>
        <v>0</v>
      </c>
      <c r="AJ130" s="15">
        <f t="shared" si="17"/>
        <v>23368.91</v>
      </c>
      <c r="AK130" s="78">
        <f>Valores!$C$35</f>
        <v>415.59</v>
      </c>
      <c r="AL130" s="79">
        <f>Valores!$C$7</f>
        <v>204.98</v>
      </c>
      <c r="AM130" s="89">
        <f>Valores!$C$51</f>
        <v>128.84</v>
      </c>
      <c r="AN130" s="79">
        <f>IF($H$4="SI",SUM(AL130+AM130),AL130)*Valores!$C$63</f>
        <v>0</v>
      </c>
      <c r="AO130" s="12">
        <f t="shared" si="21"/>
        <v>749.41</v>
      </c>
      <c r="AP130" s="152">
        <f>AJ130*-Valores!$C$65</f>
        <v>-3037.9583000000002</v>
      </c>
      <c r="AQ130" s="152">
        <f>AJ130*-Valores!$C$66</f>
        <v>-116.84455</v>
      </c>
      <c r="AR130" s="78">
        <f>AJ130*-Valores!$C$67</f>
        <v>-1051.60095</v>
      </c>
      <c r="AS130" s="78">
        <f>AJ130*-Valores!$C$68</f>
        <v>-630.9605700000001</v>
      </c>
      <c r="AT130" s="78">
        <f>AJ130*-Valores!$C$69</f>
        <v>-70.10673</v>
      </c>
      <c r="AU130" s="15">
        <f t="shared" si="18"/>
        <v>19911.9162</v>
      </c>
      <c r="AV130" s="15">
        <f t="shared" si="19"/>
        <v>20262.449849999997</v>
      </c>
      <c r="AW130" s="78">
        <f>AJ130*Valores!$C$70</f>
        <v>3739.0256</v>
      </c>
      <c r="AX130" s="78">
        <f>AJ130*Valores!$C$71</f>
        <v>1051.60095</v>
      </c>
      <c r="AY130" s="78">
        <f>AJ130*Valores!$C$73</f>
        <v>233.6891</v>
      </c>
      <c r="AZ130" s="78">
        <f>AJ130*Valores!$C$74</f>
        <v>817.9118500000001</v>
      </c>
      <c r="BA130" s="78">
        <f>AJ130*Valores!$C$75</f>
        <v>140.21346</v>
      </c>
      <c r="BB130" s="78">
        <f t="shared" si="22"/>
        <v>1261.92114</v>
      </c>
      <c r="BC130" s="20"/>
      <c r="BD130" s="20"/>
      <c r="BE130" s="9" t="s">
        <v>461</v>
      </c>
    </row>
    <row r="131" spans="1:57" s="9" customFormat="1" ht="11.25" customHeight="1">
      <c r="A131" s="55">
        <v>130</v>
      </c>
      <c r="B131" s="55" t="s">
        <v>458</v>
      </c>
      <c r="C131" s="52" t="s">
        <v>238</v>
      </c>
      <c r="D131" s="52"/>
      <c r="E131" s="52">
        <f t="shared" si="20"/>
        <v>24</v>
      </c>
      <c r="F131" s="53" t="s">
        <v>239</v>
      </c>
      <c r="G131" s="124">
        <v>1278</v>
      </c>
      <c r="H131" s="129">
        <f>INT((G131*Valores!$C$2*100)+0.5)/100</f>
        <v>7667.11</v>
      </c>
      <c r="I131" s="133">
        <v>0</v>
      </c>
      <c r="J131" s="80">
        <f>INT((I131*Valores!$C$2*100)+0.5)/100</f>
        <v>0</v>
      </c>
      <c r="K131" s="147">
        <v>0</v>
      </c>
      <c r="L131" s="80">
        <f>INT((K131*Valores!$C$2*100)+0.5)/100</f>
        <v>0</v>
      </c>
      <c r="M131" s="121">
        <v>0</v>
      </c>
      <c r="N131" s="80">
        <f>INT((M131*Valores!$C$2*100)+0.5)/100</f>
        <v>0</v>
      </c>
      <c r="O131" s="80">
        <f t="shared" si="14"/>
        <v>0</v>
      </c>
      <c r="P131" s="80">
        <f t="shared" si="15"/>
        <v>4269.22</v>
      </c>
      <c r="Q131" s="81">
        <f>Valores!$C$20</f>
        <v>3519.79</v>
      </c>
      <c r="R131" s="81">
        <f>Valores!$D$4</f>
        <v>2683.49</v>
      </c>
      <c r="S131" s="85">
        <f>Valores!$C$26</f>
        <v>2700.67</v>
      </c>
      <c r="T131" s="88">
        <f>Valores!$C$42</f>
        <v>871.33</v>
      </c>
      <c r="U131" s="85">
        <f>Valores!$C$24</f>
        <v>2549.17</v>
      </c>
      <c r="V131" s="80">
        <f t="shared" si="23"/>
        <v>3823.755</v>
      </c>
      <c r="W131" s="80">
        <v>0</v>
      </c>
      <c r="X131" s="80">
        <v>0</v>
      </c>
      <c r="Y131" s="115">
        <v>0</v>
      </c>
      <c r="Z131" s="80">
        <f>Y131*Valores!$C$2</f>
        <v>0</v>
      </c>
      <c r="AA131" s="80">
        <v>0</v>
      </c>
      <c r="AB131" s="90">
        <f>Valores!$C$29</f>
        <v>151.15</v>
      </c>
      <c r="AC131" s="80">
        <f t="shared" si="16"/>
        <v>0</v>
      </c>
      <c r="AD131" s="80">
        <f>Valores!$C$30</f>
        <v>151.15</v>
      </c>
      <c r="AE131" s="115">
        <v>0</v>
      </c>
      <c r="AF131" s="80">
        <f>INT(((AE131*Valores!$C$2)*100)+0.5)/100</f>
        <v>0</v>
      </c>
      <c r="AG131" s="80">
        <f>Valores!$C$58</f>
        <v>307.46</v>
      </c>
      <c r="AH131" s="80">
        <f>Valores!$C$60</f>
        <v>87.85</v>
      </c>
      <c r="AI131" s="80">
        <f>SUM(H131,J131,L131,N131,O131,P131,Q131,R131,S131,T131,V131,W131,X131,Z131,AA131,AB131,AC131,AD131,AF131,AG131,AH131)*Valores!$C$63</f>
        <v>0</v>
      </c>
      <c r="AJ131" s="54">
        <f t="shared" si="17"/>
        <v>26232.975000000002</v>
      </c>
      <c r="AK131" s="81">
        <f>Valores!$C$35</f>
        <v>415.59</v>
      </c>
      <c r="AL131" s="82">
        <f>Valores!$C$8</f>
        <v>234.26</v>
      </c>
      <c r="AM131" s="89">
        <f>Valores!$C$51</f>
        <v>128.84</v>
      </c>
      <c r="AN131" s="82">
        <f>IF($H$4="SI",SUM(AL131+AM131),AL131)*Valores!$C$63</f>
        <v>0</v>
      </c>
      <c r="AO131" s="185">
        <f t="shared" si="21"/>
        <v>778.6899999999999</v>
      </c>
      <c r="AP131" s="153">
        <f>AJ131*-Valores!$C$65</f>
        <v>-3410.28675</v>
      </c>
      <c r="AQ131" s="153">
        <f>AJ131*-Valores!$C$66</f>
        <v>-131.16487500000002</v>
      </c>
      <c r="AR131" s="81">
        <f>AJ131*-Valores!$C$67</f>
        <v>-1180.4838750000001</v>
      </c>
      <c r="AS131" s="81">
        <f>AJ131*-Valores!$C$68</f>
        <v>-708.2903250000002</v>
      </c>
      <c r="AT131" s="81">
        <f>AJ131*-Valores!$C$69</f>
        <v>-78.698925</v>
      </c>
      <c r="AU131" s="54">
        <f t="shared" si="18"/>
        <v>22289.7295</v>
      </c>
      <c r="AV131" s="54">
        <f t="shared" si="19"/>
        <v>22683.224125</v>
      </c>
      <c r="AW131" s="81">
        <f>AJ131*Valores!$C$70</f>
        <v>4197.276000000001</v>
      </c>
      <c r="AX131" s="81">
        <f>AJ131*Valores!$C$71</f>
        <v>1180.4838750000001</v>
      </c>
      <c r="AY131" s="81">
        <f>AJ131*Valores!$C$73</f>
        <v>262.32975000000005</v>
      </c>
      <c r="AZ131" s="81">
        <f>AJ131*Valores!$C$74</f>
        <v>918.1541250000001</v>
      </c>
      <c r="BA131" s="81">
        <f>AJ131*Valores!$C$75</f>
        <v>157.39785</v>
      </c>
      <c r="BB131" s="81">
        <f t="shared" si="22"/>
        <v>1416.5806500000003</v>
      </c>
      <c r="BC131" s="55"/>
      <c r="BD131" s="55">
        <v>22</v>
      </c>
      <c r="BE131" s="52" t="s">
        <v>462</v>
      </c>
    </row>
    <row r="132" spans="1:57" s="9" customFormat="1" ht="11.25" customHeight="1">
      <c r="A132" s="20">
        <v>131</v>
      </c>
      <c r="B132" s="20"/>
      <c r="C132" s="9" t="s">
        <v>240</v>
      </c>
      <c r="E132" s="9">
        <f t="shared" si="20"/>
        <v>30</v>
      </c>
      <c r="F132" s="10" t="s">
        <v>241</v>
      </c>
      <c r="G132" s="123">
        <v>1278</v>
      </c>
      <c r="H132" s="7">
        <f>INT((G132*Valores!$C$2*100)+0.5)/100</f>
        <v>7667.11</v>
      </c>
      <c r="I132" s="134">
        <v>0</v>
      </c>
      <c r="J132" s="77">
        <f>INT((I132*Valores!$C$2*100)+0.5)/100</f>
        <v>0</v>
      </c>
      <c r="K132" s="146">
        <v>0</v>
      </c>
      <c r="L132" s="77">
        <f>INT((K132*Valores!$C$2*100)+0.5)/100</f>
        <v>0</v>
      </c>
      <c r="M132" s="120">
        <v>0</v>
      </c>
      <c r="N132" s="77">
        <f>INT((M132*Valores!$C$2*100)+0.5)/100</f>
        <v>0</v>
      </c>
      <c r="O132" s="77">
        <f t="shared" si="14"/>
        <v>0</v>
      </c>
      <c r="P132" s="77">
        <f t="shared" si="15"/>
        <v>4269.22</v>
      </c>
      <c r="Q132" s="78">
        <f>Valores!$C$20</f>
        <v>3519.79</v>
      </c>
      <c r="R132" s="78">
        <f>Valores!$D$4</f>
        <v>2683.49</v>
      </c>
      <c r="S132" s="77">
        <f>Valores!$C$26</f>
        <v>2700.67</v>
      </c>
      <c r="T132" s="79">
        <f>Valores!$C$42</f>
        <v>871.33</v>
      </c>
      <c r="U132" s="77">
        <f>Valores!$C$23</f>
        <v>2584.33</v>
      </c>
      <c r="V132" s="77">
        <f t="shared" si="23"/>
        <v>3876.495</v>
      </c>
      <c r="W132" s="77">
        <v>0</v>
      </c>
      <c r="X132" s="77">
        <v>0</v>
      </c>
      <c r="Y132" s="116">
        <v>0</v>
      </c>
      <c r="Z132" s="77">
        <f>Y132*Valores!$C$2</f>
        <v>0</v>
      </c>
      <c r="AA132" s="77">
        <v>0</v>
      </c>
      <c r="AB132" s="89">
        <f>Valores!$C$29</f>
        <v>151.15</v>
      </c>
      <c r="AC132" s="77">
        <f t="shared" si="16"/>
        <v>0</v>
      </c>
      <c r="AD132" s="77">
        <f>Valores!$C$30</f>
        <v>151.15</v>
      </c>
      <c r="AE132" s="116">
        <v>94</v>
      </c>
      <c r="AF132" s="77">
        <f>INT(((AE132*Valores!$C$2)*100)+0.5)/100</f>
        <v>563.93</v>
      </c>
      <c r="AG132" s="77">
        <f>Valores!$C$58</f>
        <v>307.46</v>
      </c>
      <c r="AH132" s="77">
        <f>Valores!$C$60</f>
        <v>87.85</v>
      </c>
      <c r="AI132" s="77">
        <f>SUM(H132,J132,L132,N132,O132,P132,Q132,R132,S132,T132,V132,W132,X132,Z132,AA132,AB132,AC132,AD132,AF132,AG132,AH132)*Valores!$C$63</f>
        <v>0</v>
      </c>
      <c r="AJ132" s="15">
        <f t="shared" si="17"/>
        <v>26849.645</v>
      </c>
      <c r="AK132" s="78">
        <f>Valores!$C$35</f>
        <v>415.59</v>
      </c>
      <c r="AL132" s="79">
        <f>Valores!$C$8</f>
        <v>234.26</v>
      </c>
      <c r="AM132" s="89">
        <f>Valores!$C$51</f>
        <v>128.84</v>
      </c>
      <c r="AN132" s="79">
        <f>IF($H$4="SI",SUM(AL132+AM132),AL132)*Valores!$C$63</f>
        <v>0</v>
      </c>
      <c r="AO132" s="12">
        <f t="shared" si="21"/>
        <v>778.6899999999999</v>
      </c>
      <c r="AP132" s="152">
        <f>AJ132*-Valores!$C$65</f>
        <v>-3490.4538500000003</v>
      </c>
      <c r="AQ132" s="152">
        <f>AJ132*-Valores!$C$66</f>
        <v>-134.248225</v>
      </c>
      <c r="AR132" s="78">
        <f>AJ132*-Valores!$C$67</f>
        <v>-1208.234025</v>
      </c>
      <c r="AS132" s="78">
        <f>AJ132*-Valores!$C$68</f>
        <v>-724.9404150000001</v>
      </c>
      <c r="AT132" s="78">
        <f>AJ132*-Valores!$C$69</f>
        <v>-80.548935</v>
      </c>
      <c r="AU132" s="15">
        <f t="shared" si="18"/>
        <v>22795.398899999997</v>
      </c>
      <c r="AV132" s="15">
        <f t="shared" si="19"/>
        <v>23198.143575</v>
      </c>
      <c r="AW132" s="78">
        <f>AJ132*Valores!$C$70</f>
        <v>4295.9432</v>
      </c>
      <c r="AX132" s="78">
        <f>AJ132*Valores!$C$71</f>
        <v>1208.234025</v>
      </c>
      <c r="AY132" s="78">
        <f>AJ132*Valores!$C$73</f>
        <v>268.49645</v>
      </c>
      <c r="AZ132" s="78">
        <f>AJ132*Valores!$C$74</f>
        <v>939.7375750000001</v>
      </c>
      <c r="BA132" s="78">
        <f>AJ132*Valores!$C$75</f>
        <v>161.09787</v>
      </c>
      <c r="BB132" s="78">
        <f t="shared" si="22"/>
        <v>1449.88083</v>
      </c>
      <c r="BC132" s="20"/>
      <c r="BD132" s="20">
        <v>20</v>
      </c>
      <c r="BE132" s="9" t="s">
        <v>462</v>
      </c>
    </row>
    <row r="133" spans="1:57" s="9" customFormat="1" ht="11.25" customHeight="1">
      <c r="A133" s="20">
        <v>132</v>
      </c>
      <c r="B133" s="20"/>
      <c r="C133" s="9" t="s">
        <v>242</v>
      </c>
      <c r="E133" s="9">
        <f t="shared" si="20"/>
        <v>19</v>
      </c>
      <c r="F133" s="10" t="s">
        <v>243</v>
      </c>
      <c r="G133" s="123">
        <v>936</v>
      </c>
      <c r="H133" s="7">
        <f>INT((G133*Valores!$C$2*100)+0.5)/100</f>
        <v>5615.35</v>
      </c>
      <c r="I133" s="134">
        <v>0</v>
      </c>
      <c r="J133" s="77">
        <f>INT((I133*Valores!$C$2*100)+0.5)/100</f>
        <v>0</v>
      </c>
      <c r="K133" s="146">
        <v>0</v>
      </c>
      <c r="L133" s="77">
        <f>INT((K133*Valores!$C$2*100)+0.5)/100</f>
        <v>0</v>
      </c>
      <c r="M133" s="120">
        <v>0</v>
      </c>
      <c r="N133" s="77">
        <f>INT((M133*Valores!$C$2*100)+0.5)/100</f>
        <v>0</v>
      </c>
      <c r="O133" s="77">
        <f t="shared" si="14"/>
        <v>0</v>
      </c>
      <c r="P133" s="77">
        <f t="shared" si="15"/>
        <v>3188.875</v>
      </c>
      <c r="Q133" s="61">
        <f>Valores!$C$20</f>
        <v>3519.79</v>
      </c>
      <c r="R133" s="61">
        <f>Valores!$D$4</f>
        <v>2683.49</v>
      </c>
      <c r="S133" s="61">
        <f>Valores!$C$27</f>
        <v>2472.27</v>
      </c>
      <c r="T133" s="87">
        <f>Valores!$C$41</f>
        <v>762.4</v>
      </c>
      <c r="U133" s="61">
        <f>Valores!$C$24</f>
        <v>2549.17</v>
      </c>
      <c r="V133" s="77">
        <f t="shared" si="23"/>
        <v>3823.755</v>
      </c>
      <c r="W133" s="77">
        <v>0</v>
      </c>
      <c r="X133" s="77">
        <v>0</v>
      </c>
      <c r="Y133" s="116">
        <v>0</v>
      </c>
      <c r="Z133" s="77">
        <f>Y133*Valores!$C$2</f>
        <v>0</v>
      </c>
      <c r="AA133" s="77">
        <v>0</v>
      </c>
      <c r="AB133" s="89">
        <f>Valores!$C$29</f>
        <v>151.15</v>
      </c>
      <c r="AC133" s="77">
        <f t="shared" si="16"/>
        <v>0</v>
      </c>
      <c r="AD133" s="77">
        <f>Valores!$C$30</f>
        <v>151.15</v>
      </c>
      <c r="AE133" s="125">
        <v>94</v>
      </c>
      <c r="AF133" s="79">
        <f>INT(((AE133*Valores!$C$2)*100)+0.5)/100</f>
        <v>563.93</v>
      </c>
      <c r="AG133" s="79">
        <f>Valores!$C$58</f>
        <v>307.46</v>
      </c>
      <c r="AH133" s="79">
        <f>Valores!$C$60</f>
        <v>87.85</v>
      </c>
      <c r="AI133" s="79">
        <f>SUM(H133,J133,L133,N133,O133,P133,Q133,R133,S133,T133,V133,W133,X133,Z133,AA133,AB133,AC133,AD133,AF133,AG133,AH133)*Valores!$C$63</f>
        <v>0</v>
      </c>
      <c r="AJ133" s="140">
        <f t="shared" si="17"/>
        <v>23327.47</v>
      </c>
      <c r="AK133" s="61">
        <f>Valores!$C$35</f>
        <v>415.59</v>
      </c>
      <c r="AL133" s="79">
        <f>Valores!$C$7</f>
        <v>204.98</v>
      </c>
      <c r="AM133" s="89">
        <f>Valores!$C$51</f>
        <v>128.84</v>
      </c>
      <c r="AN133" s="79">
        <f>IF($H$4="SI",SUM(AL133+AM133),AL133)*Valores!$C$63</f>
        <v>0</v>
      </c>
      <c r="AO133" s="12">
        <f t="shared" si="21"/>
        <v>749.41</v>
      </c>
      <c r="AP133" s="13">
        <f>AJ133*-Valores!$C$65</f>
        <v>-3032.5711</v>
      </c>
      <c r="AQ133" s="13">
        <f>AJ133*-Valores!$C$66</f>
        <v>-116.63735000000001</v>
      </c>
      <c r="AR133" s="78">
        <f>AJ133*-Valores!$C$67</f>
        <v>-1049.73615</v>
      </c>
      <c r="AS133" s="78">
        <f>AJ133*-Valores!$C$68</f>
        <v>-629.8416900000001</v>
      </c>
      <c r="AT133" s="78">
        <f>AJ133*-Valores!$C$69</f>
        <v>-69.98241</v>
      </c>
      <c r="AU133" s="15">
        <f t="shared" si="18"/>
        <v>19877.9354</v>
      </c>
      <c r="AV133" s="15">
        <f t="shared" si="19"/>
        <v>20227.847449999997</v>
      </c>
      <c r="AW133" s="78">
        <f>AJ133*Valores!$C$70</f>
        <v>3732.3952000000004</v>
      </c>
      <c r="AX133" s="78">
        <f>AJ133*Valores!$C$71</f>
        <v>1049.73615</v>
      </c>
      <c r="AY133" s="78">
        <f>AJ133*Valores!$C$73</f>
        <v>233.27470000000002</v>
      </c>
      <c r="AZ133" s="78">
        <f>AJ133*Valores!$C$74</f>
        <v>816.4614500000001</v>
      </c>
      <c r="BA133" s="78">
        <f>AJ133*Valores!$C$75</f>
        <v>139.96482</v>
      </c>
      <c r="BB133" s="78">
        <f t="shared" si="22"/>
        <v>1259.6833800000002</v>
      </c>
      <c r="BC133" s="20">
        <v>8</v>
      </c>
      <c r="BD133" s="20"/>
      <c r="BE133" s="9" t="s">
        <v>462</v>
      </c>
    </row>
    <row r="134" spans="1:57" s="9" customFormat="1" ht="11.25" customHeight="1">
      <c r="A134" s="20">
        <v>133</v>
      </c>
      <c r="B134" s="20"/>
      <c r="C134" s="9" t="s">
        <v>244</v>
      </c>
      <c r="E134" s="9">
        <f t="shared" si="20"/>
        <v>19</v>
      </c>
      <c r="F134" s="10" t="s">
        <v>245</v>
      </c>
      <c r="G134" s="123">
        <v>1278</v>
      </c>
      <c r="H134" s="7">
        <f>INT((G134*Valores!$C$2*100)+0.5)/100</f>
        <v>7667.11</v>
      </c>
      <c r="I134" s="134">
        <v>0</v>
      </c>
      <c r="J134" s="77">
        <f>INT((I134*Valores!$C$2*100)+0.5)/100</f>
        <v>0</v>
      </c>
      <c r="K134" s="146">
        <v>0</v>
      </c>
      <c r="L134" s="77">
        <f>INT((K134*Valores!$C$2*100)+0.5)/100</f>
        <v>0</v>
      </c>
      <c r="M134" s="120">
        <v>0</v>
      </c>
      <c r="N134" s="77">
        <f>INT((M134*Valores!$C$2*100)+0.5)/100</f>
        <v>0</v>
      </c>
      <c r="O134" s="77">
        <f t="shared" si="14"/>
        <v>0</v>
      </c>
      <c r="P134" s="77">
        <f t="shared" si="15"/>
        <v>4214.755</v>
      </c>
      <c r="Q134" s="61">
        <f>Valores!$C$15</f>
        <v>3695.48</v>
      </c>
      <c r="R134" s="61">
        <f>Valores!$D$4</f>
        <v>2683.49</v>
      </c>
      <c r="S134" s="79">
        <v>0</v>
      </c>
      <c r="T134" s="79">
        <f>Valores!$C$41</f>
        <v>762.4</v>
      </c>
      <c r="U134" s="61">
        <f>Valores!$C$24</f>
        <v>2549.17</v>
      </c>
      <c r="V134" s="77">
        <f t="shared" si="23"/>
        <v>3823.755</v>
      </c>
      <c r="W134" s="77">
        <v>0</v>
      </c>
      <c r="X134" s="77">
        <v>0</v>
      </c>
      <c r="Y134" s="116">
        <v>0</v>
      </c>
      <c r="Z134" s="77">
        <f>Y134*Valores!$C$2</f>
        <v>0</v>
      </c>
      <c r="AA134" s="77">
        <v>0</v>
      </c>
      <c r="AB134" s="89">
        <f>Valores!$C$29</f>
        <v>151.15</v>
      </c>
      <c r="AC134" s="77">
        <f t="shared" si="16"/>
        <v>0</v>
      </c>
      <c r="AD134" s="77">
        <f>Valores!$C$30</f>
        <v>151.15</v>
      </c>
      <c r="AE134" s="125">
        <v>94</v>
      </c>
      <c r="AF134" s="79">
        <f>INT(((AE134*Valores!$C$2)*100)+0.5)/100</f>
        <v>563.93</v>
      </c>
      <c r="AG134" s="79">
        <f>Valores!$C$58</f>
        <v>307.46</v>
      </c>
      <c r="AH134" s="79">
        <f>Valores!$C$60</f>
        <v>87.85</v>
      </c>
      <c r="AI134" s="79">
        <f>SUM(H134,J134,L134,N134,O134,P134,Q134,R134,S134,T134,V134,W134,X134,Z134,AA134,AB134,AC134,AD134,AF134,AG134,AH134)*Valores!$C$63</f>
        <v>0</v>
      </c>
      <c r="AJ134" s="140">
        <f t="shared" si="17"/>
        <v>24108.530000000002</v>
      </c>
      <c r="AK134" s="61">
        <f>Valores!$C$35</f>
        <v>415.59</v>
      </c>
      <c r="AL134" s="79">
        <f>Valores!$C$7</f>
        <v>204.98</v>
      </c>
      <c r="AM134" s="89">
        <f>Valores!$C$51</f>
        <v>128.84</v>
      </c>
      <c r="AN134" s="79">
        <f>IF($H$4="SI",SUM(AL134+AM134),AL134)*Valores!$C$63</f>
        <v>0</v>
      </c>
      <c r="AO134" s="12">
        <f t="shared" si="21"/>
        <v>749.41</v>
      </c>
      <c r="AP134" s="13">
        <f>AJ134*-Valores!$C$65</f>
        <v>-3134.1089000000006</v>
      </c>
      <c r="AQ134" s="13">
        <f>AJ134*-Valores!$C$66</f>
        <v>-120.54265000000001</v>
      </c>
      <c r="AR134" s="78">
        <f>AJ134*-Valores!$C$67</f>
        <v>-1084.8838500000002</v>
      </c>
      <c r="AS134" s="78">
        <f>AJ134*-Valores!$C$68</f>
        <v>-650.9303100000002</v>
      </c>
      <c r="AT134" s="78">
        <f>AJ134*-Valores!$C$69</f>
        <v>-72.32559</v>
      </c>
      <c r="AU134" s="15">
        <f t="shared" si="18"/>
        <v>20518.4046</v>
      </c>
      <c r="AV134" s="15">
        <f t="shared" si="19"/>
        <v>20880.032550000004</v>
      </c>
      <c r="AW134" s="78">
        <f>AJ134*Valores!$C$70</f>
        <v>3857.3648000000003</v>
      </c>
      <c r="AX134" s="78">
        <f>AJ134*Valores!$C$71</f>
        <v>1084.8838500000002</v>
      </c>
      <c r="AY134" s="78">
        <f>AJ134*Valores!$C$73</f>
        <v>241.08530000000002</v>
      </c>
      <c r="AZ134" s="78">
        <f>AJ134*Valores!$C$74</f>
        <v>843.7985500000002</v>
      </c>
      <c r="BA134" s="78">
        <f>AJ134*Valores!$C$75</f>
        <v>144.65118</v>
      </c>
      <c r="BB134" s="78">
        <f t="shared" si="22"/>
        <v>1301.8606200000002</v>
      </c>
      <c r="BC134" s="20"/>
      <c r="BD134" s="55">
        <v>22</v>
      </c>
      <c r="BE134" s="9" t="s">
        <v>462</v>
      </c>
    </row>
    <row r="135" spans="1:57" s="9" customFormat="1" ht="11.25" customHeight="1">
      <c r="A135" s="20">
        <v>134</v>
      </c>
      <c r="B135" s="20"/>
      <c r="C135" s="9" t="s">
        <v>246</v>
      </c>
      <c r="E135" s="9">
        <f t="shared" si="20"/>
        <v>26</v>
      </c>
      <c r="F135" s="10" t="s">
        <v>247</v>
      </c>
      <c r="G135" s="123">
        <v>1278</v>
      </c>
      <c r="H135" s="7">
        <f>INT((G135*Valores!$C$2*100)+0.5)/100</f>
        <v>7667.11</v>
      </c>
      <c r="I135" s="134">
        <v>0</v>
      </c>
      <c r="J135" s="77">
        <f>INT((I135*Valores!$C$2*100)+0.5)/100</f>
        <v>0</v>
      </c>
      <c r="K135" s="146">
        <v>0</v>
      </c>
      <c r="L135" s="77">
        <f>INT((K135*Valores!$C$2*100)+0.5)/100</f>
        <v>0</v>
      </c>
      <c r="M135" s="120">
        <v>0</v>
      </c>
      <c r="N135" s="77">
        <f>INT((M135*Valores!$C$2*100)+0.5)/100</f>
        <v>0</v>
      </c>
      <c r="O135" s="77">
        <f aca="true" t="shared" si="24" ref="O135:O198">IF($J$2=0,IF(C135&lt;&gt;"13-930",(SUM(H135,J135,L135,N135,Z135,U135,T135)*$O$2),0),0)</f>
        <v>0</v>
      </c>
      <c r="P135" s="77">
        <f aca="true" t="shared" si="25" ref="P135:P198">SUM(H135,J135,L135,N135,Z135,T135)*$J$2</f>
        <v>4269.22</v>
      </c>
      <c r="Q135" s="61">
        <f>Valores!$C$15</f>
        <v>3695.48</v>
      </c>
      <c r="R135" s="61">
        <f>Valores!$D$4</f>
        <v>2683.49</v>
      </c>
      <c r="S135" s="61">
        <f>Valores!$C$26</f>
        <v>2700.67</v>
      </c>
      <c r="T135" s="87">
        <f>Valores!$C$42</f>
        <v>871.33</v>
      </c>
      <c r="U135" s="77">
        <f>Valores!$C$23</f>
        <v>2584.33</v>
      </c>
      <c r="V135" s="77">
        <f t="shared" si="23"/>
        <v>3876.495</v>
      </c>
      <c r="W135" s="77">
        <v>0</v>
      </c>
      <c r="X135" s="77">
        <v>0</v>
      </c>
      <c r="Y135" s="116">
        <v>0</v>
      </c>
      <c r="Z135" s="77">
        <f>Y135*Valores!$C$2</f>
        <v>0</v>
      </c>
      <c r="AA135" s="77">
        <v>0</v>
      </c>
      <c r="AB135" s="89">
        <f>Valores!$C$29</f>
        <v>151.15</v>
      </c>
      <c r="AC135" s="77">
        <f aca="true" t="shared" si="26" ref="AC135:AC198">SUM(H135,J135,L135,Z135,T135,N135)*$H$3/100</f>
        <v>0</v>
      </c>
      <c r="AD135" s="77">
        <f>Valores!$C$30</f>
        <v>151.15</v>
      </c>
      <c r="AE135" s="116">
        <v>0</v>
      </c>
      <c r="AF135" s="77">
        <f>INT(((AE135*Valores!$C$2)*100)+0.5)/100</f>
        <v>0</v>
      </c>
      <c r="AG135" s="77">
        <f>Valores!$C$58</f>
        <v>307.46</v>
      </c>
      <c r="AH135" s="77">
        <f>Valores!$C$60</f>
        <v>87.85</v>
      </c>
      <c r="AI135" s="77">
        <f>SUM(H135,J135,L135,N135,O135,P135,Q135,R135,S135,T135,V135,W135,X135,Z135,AA135,AB135,AC135,AD135,AF135,AG135,AH135)*Valores!$C$63</f>
        <v>0</v>
      </c>
      <c r="AJ135" s="140">
        <f aca="true" t="shared" si="27" ref="AJ135:AJ198">SUM(H135,J135,L135,N135,O135,P135,Q135,R135,S135,V135,W135,X135,Z135,AA135,AB135,AC135,AD135,AF135,T135,AG135,AH135,AI135)</f>
        <v>26461.405000000002</v>
      </c>
      <c r="AK135" s="61">
        <f>Valores!$C$35</f>
        <v>415.59</v>
      </c>
      <c r="AL135" s="79">
        <f>Valores!$C$8</f>
        <v>234.26</v>
      </c>
      <c r="AM135" s="89">
        <f>Valores!$C$51</f>
        <v>128.84</v>
      </c>
      <c r="AN135" s="79">
        <f>IF($H$4="SI",SUM(AL135+AM135),AL135)*Valores!$C$63</f>
        <v>0</v>
      </c>
      <c r="AO135" s="12">
        <f t="shared" si="21"/>
        <v>778.6899999999999</v>
      </c>
      <c r="AP135" s="13">
        <f>AJ135*-Valores!$C$65</f>
        <v>-3439.9826500000004</v>
      </c>
      <c r="AQ135" s="13">
        <f>AJ135*-Valores!$C$66</f>
        <v>-132.307025</v>
      </c>
      <c r="AR135" s="78">
        <f>AJ135*-Valores!$C$67</f>
        <v>-1190.7632250000001</v>
      </c>
      <c r="AS135" s="78">
        <f>AJ135*-Valores!$C$68</f>
        <v>-714.4579350000001</v>
      </c>
      <c r="AT135" s="78">
        <f>AJ135*-Valores!$C$69</f>
        <v>-79.38421500000001</v>
      </c>
      <c r="AU135" s="15">
        <f aca="true" t="shared" si="28" ref="AU135:AU198">AJ135+AO135+AQ135+AR135+AP135</f>
        <v>22477.042100000002</v>
      </c>
      <c r="AV135" s="15">
        <f aca="true" t="shared" si="29" ref="AV135:AV198">AJ135+AO135+AQ135+AS135+AP135+AT135</f>
        <v>22873.963175000004</v>
      </c>
      <c r="AW135" s="78">
        <f>AJ135*Valores!$C$70</f>
        <v>4233.8248</v>
      </c>
      <c r="AX135" s="78">
        <f>AJ135*Valores!$C$71</f>
        <v>1190.7632250000001</v>
      </c>
      <c r="AY135" s="78">
        <f>AJ135*Valores!$C$73</f>
        <v>264.61405</v>
      </c>
      <c r="AZ135" s="78">
        <f>AJ135*Valores!$C$74</f>
        <v>926.1491750000001</v>
      </c>
      <c r="BA135" s="78">
        <f>AJ135*Valores!$C$75</f>
        <v>158.76843000000002</v>
      </c>
      <c r="BB135" s="78">
        <f t="shared" si="22"/>
        <v>1428.9158700000003</v>
      </c>
      <c r="BC135" s="20"/>
      <c r="BD135" s="20"/>
      <c r="BE135" s="9" t="s">
        <v>462</v>
      </c>
    </row>
    <row r="136" spans="1:57" s="9" customFormat="1" ht="11.25" customHeight="1">
      <c r="A136" s="55">
        <v>135</v>
      </c>
      <c r="B136" s="55" t="s">
        <v>458</v>
      </c>
      <c r="C136" s="52" t="s">
        <v>248</v>
      </c>
      <c r="D136" s="52"/>
      <c r="E136" s="52">
        <f aca="true" t="shared" si="30" ref="E136:E199">LEN(F136)</f>
        <v>19</v>
      </c>
      <c r="F136" s="53" t="s">
        <v>249</v>
      </c>
      <c r="G136" s="124">
        <v>1278</v>
      </c>
      <c r="H136" s="129">
        <f>INT((G136*Valores!$C$2*100)+0.5)/100</f>
        <v>7667.11</v>
      </c>
      <c r="I136" s="133">
        <v>0</v>
      </c>
      <c r="J136" s="80">
        <f>INT((I136*Valores!$C$2*100)+0.5)/100</f>
        <v>0</v>
      </c>
      <c r="K136" s="147">
        <v>0</v>
      </c>
      <c r="L136" s="80">
        <f>INT((K136*Valores!$C$2*100)+0.5)/100</f>
        <v>0</v>
      </c>
      <c r="M136" s="121">
        <v>0</v>
      </c>
      <c r="N136" s="80">
        <f>INT((M136*Valores!$C$2*100)+0.5)/100</f>
        <v>0</v>
      </c>
      <c r="O136" s="80">
        <f t="shared" si="24"/>
        <v>0</v>
      </c>
      <c r="P136" s="80">
        <f t="shared" si="25"/>
        <v>4269.22</v>
      </c>
      <c r="Q136" s="85">
        <f>Valores!$C$15</f>
        <v>3695.48</v>
      </c>
      <c r="R136" s="85">
        <f>Valores!$D$4</f>
        <v>2683.49</v>
      </c>
      <c r="S136" s="85">
        <f>Valores!$C$26</f>
        <v>2700.67</v>
      </c>
      <c r="T136" s="88">
        <f>Valores!$C$42</f>
        <v>871.33</v>
      </c>
      <c r="U136" s="80">
        <f>Valores!$C$23</f>
        <v>2584.33</v>
      </c>
      <c r="V136" s="80">
        <f t="shared" si="23"/>
        <v>3876.495</v>
      </c>
      <c r="W136" s="80">
        <v>0</v>
      </c>
      <c r="X136" s="80">
        <v>0</v>
      </c>
      <c r="Y136" s="115">
        <v>0</v>
      </c>
      <c r="Z136" s="80">
        <f>Y136*Valores!$C$2</f>
        <v>0</v>
      </c>
      <c r="AA136" s="80">
        <v>0</v>
      </c>
      <c r="AB136" s="90">
        <f>Valores!$C$29</f>
        <v>151.15</v>
      </c>
      <c r="AC136" s="80">
        <f t="shared" si="26"/>
        <v>0</v>
      </c>
      <c r="AD136" s="80">
        <f>Valores!$C$30</f>
        <v>151.15</v>
      </c>
      <c r="AE136" s="115">
        <v>0</v>
      </c>
      <c r="AF136" s="80">
        <f>INT(((AE136*Valores!$C$2)*100)+0.5)/100</f>
        <v>0</v>
      </c>
      <c r="AG136" s="80">
        <f>Valores!$C$58</f>
        <v>307.46</v>
      </c>
      <c r="AH136" s="80">
        <f>Valores!$C$60</f>
        <v>87.85</v>
      </c>
      <c r="AI136" s="80">
        <f>SUM(H136,J136,L136,N136,O136,P136,Q136,R136,S136,T136,V136,W136,X136,Z136,AA136,AB136,AC136,AD136,AF136,AG136,AH136)*Valores!$C$63</f>
        <v>0</v>
      </c>
      <c r="AJ136" s="141">
        <f t="shared" si="27"/>
        <v>26461.405000000002</v>
      </c>
      <c r="AK136" s="85">
        <f>Valores!$C$35</f>
        <v>415.59</v>
      </c>
      <c r="AL136" s="82">
        <f>Valores!$C$8</f>
        <v>234.26</v>
      </c>
      <c r="AM136" s="89">
        <f>Valores!$C$51</f>
        <v>128.84</v>
      </c>
      <c r="AN136" s="82">
        <f>IF($H$4="SI",SUM(AL136+AM136),AL136)*Valores!$C$63</f>
        <v>0</v>
      </c>
      <c r="AO136" s="185">
        <f aca="true" t="shared" si="31" ref="AO136:AO199">SUM(AK136:AL136,AM136,AN136)</f>
        <v>778.6899999999999</v>
      </c>
      <c r="AP136" s="154">
        <f>AJ136*-Valores!$C$65</f>
        <v>-3439.9826500000004</v>
      </c>
      <c r="AQ136" s="154">
        <f>AJ136*-Valores!$C$66</f>
        <v>-132.307025</v>
      </c>
      <c r="AR136" s="81">
        <f>AJ136*-Valores!$C$67</f>
        <v>-1190.7632250000001</v>
      </c>
      <c r="AS136" s="81">
        <f>AJ136*-Valores!$C$68</f>
        <v>-714.4579350000001</v>
      </c>
      <c r="AT136" s="81">
        <f>AJ136*-Valores!$C$69</f>
        <v>-79.38421500000001</v>
      </c>
      <c r="AU136" s="54">
        <f t="shared" si="28"/>
        <v>22477.042100000002</v>
      </c>
      <c r="AV136" s="54">
        <f t="shared" si="29"/>
        <v>22873.963175000004</v>
      </c>
      <c r="AW136" s="81">
        <f>AJ136*Valores!$C$70</f>
        <v>4233.8248</v>
      </c>
      <c r="AX136" s="81">
        <f>AJ136*Valores!$C$71</f>
        <v>1190.7632250000001</v>
      </c>
      <c r="AY136" s="81">
        <f>AJ136*Valores!$C$73</f>
        <v>264.61405</v>
      </c>
      <c r="AZ136" s="81">
        <f>AJ136*Valores!$C$74</f>
        <v>926.1491750000001</v>
      </c>
      <c r="BA136" s="81">
        <f>AJ136*Valores!$C$75</f>
        <v>158.76843000000002</v>
      </c>
      <c r="BB136" s="81">
        <f t="shared" si="22"/>
        <v>1428.9158700000003</v>
      </c>
      <c r="BC136" s="55"/>
      <c r="BD136" s="55"/>
      <c r="BE136" s="52" t="s">
        <v>462</v>
      </c>
    </row>
    <row r="137" spans="1:57" s="9" customFormat="1" ht="11.25" customHeight="1">
      <c r="A137" s="20">
        <v>136</v>
      </c>
      <c r="B137" s="20"/>
      <c r="C137" s="9" t="s">
        <v>250</v>
      </c>
      <c r="E137" s="9">
        <f t="shared" si="30"/>
        <v>29</v>
      </c>
      <c r="F137" s="10" t="s">
        <v>251</v>
      </c>
      <c r="G137" s="123">
        <v>1278</v>
      </c>
      <c r="H137" s="7">
        <f>INT((G137*Valores!$C$2*100)+0.5)/100</f>
        <v>7667.11</v>
      </c>
      <c r="I137" s="134">
        <v>0</v>
      </c>
      <c r="J137" s="77">
        <f>INT((I137*Valores!$C$2*100)+0.5)/100</f>
        <v>0</v>
      </c>
      <c r="K137" s="146">
        <v>0</v>
      </c>
      <c r="L137" s="77">
        <f>INT((K137*Valores!$C$2*100)+0.5)/100</f>
        <v>0</v>
      </c>
      <c r="M137" s="120">
        <v>0</v>
      </c>
      <c r="N137" s="77">
        <f>INT((M137*Valores!$C$2*100)+0.5)/100</f>
        <v>0</v>
      </c>
      <c r="O137" s="77">
        <f t="shared" si="24"/>
        <v>0</v>
      </c>
      <c r="P137" s="77">
        <f t="shared" si="25"/>
        <v>4269.22</v>
      </c>
      <c r="Q137" s="61">
        <f>Valores!$C$20</f>
        <v>3519.79</v>
      </c>
      <c r="R137" s="61">
        <f>Valores!$D$4</f>
        <v>2683.49</v>
      </c>
      <c r="S137" s="77">
        <v>0</v>
      </c>
      <c r="T137" s="79">
        <f>Valores!$C$42</f>
        <v>871.33</v>
      </c>
      <c r="U137" s="77">
        <f>Valores!$C$23</f>
        <v>2584.33</v>
      </c>
      <c r="V137" s="77">
        <f t="shared" si="23"/>
        <v>3876.495</v>
      </c>
      <c r="W137" s="77">
        <v>0</v>
      </c>
      <c r="X137" s="77">
        <v>0</v>
      </c>
      <c r="Y137" s="116">
        <v>0</v>
      </c>
      <c r="Z137" s="77">
        <f>Y137*Valores!$C$2</f>
        <v>0</v>
      </c>
      <c r="AA137" s="77">
        <v>0</v>
      </c>
      <c r="AB137" s="89">
        <f>Valores!$C$29</f>
        <v>151.15</v>
      </c>
      <c r="AC137" s="77">
        <f t="shared" si="26"/>
        <v>0</v>
      </c>
      <c r="AD137" s="77">
        <f>Valores!$C$30</f>
        <v>151.15</v>
      </c>
      <c r="AE137" s="116">
        <v>0</v>
      </c>
      <c r="AF137" s="77">
        <f>INT(((AE137*Valores!$C$2)*100)+0.5)/100</f>
        <v>0</v>
      </c>
      <c r="AG137" s="77">
        <f>Valores!$C$58</f>
        <v>307.46</v>
      </c>
      <c r="AH137" s="77">
        <f>Valores!$C$60</f>
        <v>87.85</v>
      </c>
      <c r="AI137" s="77">
        <f>SUM(H137,J137,L137,N137,O137,P137,Q137,R137,S137,T137,V137,W137,X137,Z137,AA137,AB137,AC137,AD137,AF137,AG137,AH137)*Valores!$C$63</f>
        <v>0</v>
      </c>
      <c r="AJ137" s="140">
        <f t="shared" si="27"/>
        <v>23585.045000000002</v>
      </c>
      <c r="AK137" s="61">
        <f>Valores!$C$35</f>
        <v>415.59</v>
      </c>
      <c r="AL137" s="79">
        <f>Valores!$C$8</f>
        <v>234.26</v>
      </c>
      <c r="AM137" s="89">
        <f>Valores!$C$51</f>
        <v>128.84</v>
      </c>
      <c r="AN137" s="79">
        <f>IF($H$4="SI",SUM(AL137+AM137),AL137)*Valores!$C$63</f>
        <v>0</v>
      </c>
      <c r="AO137" s="12">
        <f t="shared" si="31"/>
        <v>778.6899999999999</v>
      </c>
      <c r="AP137" s="13">
        <f>AJ137*-Valores!$C$65</f>
        <v>-3066.05585</v>
      </c>
      <c r="AQ137" s="13">
        <f>AJ137*-Valores!$C$66</f>
        <v>-117.92522500000001</v>
      </c>
      <c r="AR137" s="78">
        <f>AJ137*-Valores!$C$67</f>
        <v>-1061.327025</v>
      </c>
      <c r="AS137" s="78">
        <f>AJ137*-Valores!$C$68</f>
        <v>-636.7962150000001</v>
      </c>
      <c r="AT137" s="78">
        <f>AJ137*-Valores!$C$69</f>
        <v>-70.75513500000001</v>
      </c>
      <c r="AU137" s="15">
        <f t="shared" si="28"/>
        <v>20118.426900000002</v>
      </c>
      <c r="AV137" s="15">
        <f t="shared" si="29"/>
        <v>20472.202575000003</v>
      </c>
      <c r="AW137" s="78">
        <f>AJ137*Valores!$C$70</f>
        <v>3773.6072000000004</v>
      </c>
      <c r="AX137" s="78">
        <f>AJ137*Valores!$C$71</f>
        <v>1061.327025</v>
      </c>
      <c r="AY137" s="78">
        <f>AJ137*Valores!$C$73</f>
        <v>235.85045000000002</v>
      </c>
      <c r="AZ137" s="78">
        <f>AJ137*Valores!$C$74</f>
        <v>825.4765750000001</v>
      </c>
      <c r="BA137" s="78">
        <f>AJ137*Valores!$C$75</f>
        <v>141.51027000000002</v>
      </c>
      <c r="BB137" s="78">
        <f aca="true" t="shared" si="32" ref="BB137:BB200">AJ137*5.4/100</f>
        <v>1273.5924300000001</v>
      </c>
      <c r="BC137" s="20">
        <v>12</v>
      </c>
      <c r="BD137" s="20">
        <v>15</v>
      </c>
      <c r="BE137" s="9" t="s">
        <v>461</v>
      </c>
    </row>
    <row r="138" spans="1:57" s="9" customFormat="1" ht="11.25" customHeight="1">
      <c r="A138" s="20">
        <v>137</v>
      </c>
      <c r="B138" s="20"/>
      <c r="C138" s="9" t="s">
        <v>252</v>
      </c>
      <c r="E138" s="9">
        <f t="shared" si="30"/>
        <v>26</v>
      </c>
      <c r="F138" s="10" t="s">
        <v>253</v>
      </c>
      <c r="G138" s="123">
        <v>616</v>
      </c>
      <c r="H138" s="7">
        <f>INT((G138*Valores!$C$2*100)+0.5)/100</f>
        <v>3695.57</v>
      </c>
      <c r="I138" s="134">
        <v>0</v>
      </c>
      <c r="J138" s="77">
        <f>INT((I138*Valores!$C$2*100)+0.5)/100</f>
        <v>0</v>
      </c>
      <c r="K138" s="146">
        <v>0</v>
      </c>
      <c r="L138" s="77">
        <f>INT((K138*Valores!$C$2*100)+0.5)/100</f>
        <v>0</v>
      </c>
      <c r="M138" s="120">
        <v>0</v>
      </c>
      <c r="N138" s="77">
        <f>INT((M138*Valores!$C$2*100)+0.5)/100</f>
        <v>0</v>
      </c>
      <c r="O138" s="77">
        <f t="shared" si="24"/>
        <v>0</v>
      </c>
      <c r="P138" s="77">
        <f t="shared" si="25"/>
        <v>2283.4500000000003</v>
      </c>
      <c r="Q138" s="61">
        <f>Valores!$C$15</f>
        <v>3695.48</v>
      </c>
      <c r="R138" s="61">
        <f>Valores!$D$4</f>
        <v>2683.49</v>
      </c>
      <c r="S138" s="61">
        <f>Valores!$C$26</f>
        <v>2700.67</v>
      </c>
      <c r="T138" s="87">
        <f>Valores!$C$42</f>
        <v>871.33</v>
      </c>
      <c r="U138" s="77">
        <f>Valores!$C$23</f>
        <v>2584.33</v>
      </c>
      <c r="V138" s="77">
        <f t="shared" si="23"/>
        <v>3876.495</v>
      </c>
      <c r="W138" s="77">
        <v>0</v>
      </c>
      <c r="X138" s="77">
        <v>0</v>
      </c>
      <c r="Y138" s="116">
        <v>0</v>
      </c>
      <c r="Z138" s="77">
        <f>Y138*Valores!$C$2</f>
        <v>0</v>
      </c>
      <c r="AA138" s="77">
        <v>0</v>
      </c>
      <c r="AB138" s="89">
        <f>Valores!$C$29</f>
        <v>151.15</v>
      </c>
      <c r="AC138" s="77">
        <f t="shared" si="26"/>
        <v>0</v>
      </c>
      <c r="AD138" s="77">
        <f>Valores!$C$30</f>
        <v>151.15</v>
      </c>
      <c r="AE138" s="116">
        <v>0</v>
      </c>
      <c r="AF138" s="77">
        <f>INT(((AE138*Valores!$C$2)*100)+0.5)/100</f>
        <v>0</v>
      </c>
      <c r="AG138" s="77">
        <f>Valores!$C$58</f>
        <v>307.46</v>
      </c>
      <c r="AH138" s="77">
        <f>Valores!$C$60</f>
        <v>87.85</v>
      </c>
      <c r="AI138" s="77">
        <f>SUM(H138,J138,L138,N138,O138,P138,Q138,R138,S138,T138,V138,W138,X138,Z138,AA138,AB138,AC138,AD138,AF138,AG138,AH138)*Valores!$C$63</f>
        <v>0</v>
      </c>
      <c r="AJ138" s="140">
        <f t="shared" si="27"/>
        <v>20504.095</v>
      </c>
      <c r="AK138" s="61">
        <f>Valores!$C$35</f>
        <v>415.59</v>
      </c>
      <c r="AL138" s="79">
        <f>Valores!$C$8</f>
        <v>234.26</v>
      </c>
      <c r="AM138" s="89">
        <f>Valores!$C$51</f>
        <v>128.84</v>
      </c>
      <c r="AN138" s="79">
        <f>IF($H$4="SI",SUM(AL138+AM138),AL138)*Valores!$C$63</f>
        <v>0</v>
      </c>
      <c r="AO138" s="12">
        <f t="shared" si="31"/>
        <v>778.6899999999999</v>
      </c>
      <c r="AP138" s="13">
        <f>AJ138*-Valores!$C$65</f>
        <v>-2665.5323500000004</v>
      </c>
      <c r="AQ138" s="13">
        <f>AJ138*-Valores!$C$66</f>
        <v>-102.520475</v>
      </c>
      <c r="AR138" s="78">
        <f>AJ138*-Valores!$C$67</f>
        <v>-922.6842750000001</v>
      </c>
      <c r="AS138" s="78">
        <f>AJ138*-Valores!$C$68</f>
        <v>-553.6105650000001</v>
      </c>
      <c r="AT138" s="78">
        <f>AJ138*-Valores!$C$69</f>
        <v>-61.512285000000006</v>
      </c>
      <c r="AU138" s="15">
        <f t="shared" si="28"/>
        <v>17592.047899999998</v>
      </c>
      <c r="AV138" s="15">
        <f t="shared" si="29"/>
        <v>17899.609324999998</v>
      </c>
      <c r="AW138" s="78">
        <f>AJ138*Valores!$C$70</f>
        <v>3280.6552</v>
      </c>
      <c r="AX138" s="78">
        <f>AJ138*Valores!$C$71</f>
        <v>922.6842750000001</v>
      </c>
      <c r="AY138" s="78">
        <f>AJ138*Valores!$C$73</f>
        <v>205.04095</v>
      </c>
      <c r="AZ138" s="78">
        <f>AJ138*Valores!$C$74</f>
        <v>717.6433250000001</v>
      </c>
      <c r="BA138" s="78">
        <f>AJ138*Valores!$C$75</f>
        <v>123.02457000000001</v>
      </c>
      <c r="BB138" s="78">
        <f t="shared" si="32"/>
        <v>1107.2211300000001</v>
      </c>
      <c r="BC138" s="20">
        <v>6</v>
      </c>
      <c r="BD138" s="20"/>
      <c r="BE138" s="9" t="s">
        <v>462</v>
      </c>
    </row>
    <row r="139" spans="1:57" s="9" customFormat="1" ht="11.25" customHeight="1">
      <c r="A139" s="20">
        <v>138</v>
      </c>
      <c r="B139" s="20"/>
      <c r="C139" s="9" t="s">
        <v>254</v>
      </c>
      <c r="E139" s="9">
        <f t="shared" si="30"/>
        <v>31</v>
      </c>
      <c r="F139" s="10" t="s">
        <v>255</v>
      </c>
      <c r="G139" s="123">
        <v>1278</v>
      </c>
      <c r="H139" s="7">
        <f>INT((G139*Valores!$C$2*100)+0.5)/100</f>
        <v>7667.11</v>
      </c>
      <c r="I139" s="134">
        <v>0</v>
      </c>
      <c r="J139" s="77">
        <f>INT((I139*Valores!$C$2*100)+0.5)/100</f>
        <v>0</v>
      </c>
      <c r="K139" s="146">
        <v>0</v>
      </c>
      <c r="L139" s="77">
        <f>INT((K139*Valores!$C$2*100)+0.5)/100</f>
        <v>0</v>
      </c>
      <c r="M139" s="120">
        <v>0</v>
      </c>
      <c r="N139" s="77">
        <f>INT((M139*Valores!$C$2*100)+0.5)/100</f>
        <v>0</v>
      </c>
      <c r="O139" s="77">
        <f t="shared" si="24"/>
        <v>0</v>
      </c>
      <c r="P139" s="77">
        <f t="shared" si="25"/>
        <v>4269.22</v>
      </c>
      <c r="Q139" s="61">
        <f>Valores!$C$20</f>
        <v>3519.79</v>
      </c>
      <c r="R139" s="61">
        <f>Valores!$D$4</f>
        <v>2683.49</v>
      </c>
      <c r="S139" s="77">
        <v>0</v>
      </c>
      <c r="T139" s="79">
        <f>Valores!$C$42</f>
        <v>871.33</v>
      </c>
      <c r="U139" s="61">
        <f>Valores!$C$24</f>
        <v>2549.17</v>
      </c>
      <c r="V139" s="77">
        <f t="shared" si="23"/>
        <v>3823.755</v>
      </c>
      <c r="W139" s="77">
        <v>0</v>
      </c>
      <c r="X139" s="77">
        <v>0</v>
      </c>
      <c r="Y139" s="116">
        <v>0</v>
      </c>
      <c r="Z139" s="77">
        <f>Y139*Valores!$C$2</f>
        <v>0</v>
      </c>
      <c r="AA139" s="77">
        <v>0</v>
      </c>
      <c r="AB139" s="89">
        <f>Valores!$C$29</f>
        <v>151.15</v>
      </c>
      <c r="AC139" s="77">
        <f t="shared" si="26"/>
        <v>0</v>
      </c>
      <c r="AD139" s="77">
        <f>Valores!$C$30</f>
        <v>151.15</v>
      </c>
      <c r="AE139" s="116">
        <v>0</v>
      </c>
      <c r="AF139" s="77">
        <f>INT(((AE139*Valores!$C$2)*100)+0.5)/100</f>
        <v>0</v>
      </c>
      <c r="AG139" s="77">
        <f>Valores!$C$58</f>
        <v>307.46</v>
      </c>
      <c r="AH139" s="77">
        <f>Valores!$C$60</f>
        <v>87.85</v>
      </c>
      <c r="AI139" s="77">
        <f>SUM(H139,J139,L139,N139,O139,P139,Q139,R139,S139,T139,V139,W139,X139,Z139,AA139,AB139,AC139,AD139,AF139,AG139,AH139)*Valores!$C$63</f>
        <v>0</v>
      </c>
      <c r="AJ139" s="140">
        <f t="shared" si="27"/>
        <v>23532.305000000004</v>
      </c>
      <c r="AK139" s="61">
        <f>Valores!$C$35</f>
        <v>415.59</v>
      </c>
      <c r="AL139" s="79">
        <f>Valores!$C$8</f>
        <v>234.26</v>
      </c>
      <c r="AM139" s="89">
        <f>Valores!$C$53</f>
        <v>117.37</v>
      </c>
      <c r="AN139" s="79">
        <f>IF($H$4="SI",SUM(AL139+AM139),AL139)*Valores!$C$63</f>
        <v>0</v>
      </c>
      <c r="AO139" s="12">
        <f t="shared" si="31"/>
        <v>767.2199999999999</v>
      </c>
      <c r="AP139" s="13">
        <f>AJ139*-Valores!$C$65</f>
        <v>-3059.1996500000005</v>
      </c>
      <c r="AQ139" s="13">
        <f>AJ139*-Valores!$C$66</f>
        <v>-117.66152500000003</v>
      </c>
      <c r="AR139" s="78">
        <f>AJ139*-Valores!$C$67</f>
        <v>-1058.953725</v>
      </c>
      <c r="AS139" s="78">
        <f>AJ139*-Valores!$C$68</f>
        <v>-635.3722350000002</v>
      </c>
      <c r="AT139" s="78">
        <f>AJ139*-Valores!$C$69</f>
        <v>-70.59691500000001</v>
      </c>
      <c r="AU139" s="15">
        <f t="shared" si="28"/>
        <v>20063.710100000004</v>
      </c>
      <c r="AV139" s="15">
        <f t="shared" si="29"/>
        <v>20416.69467500001</v>
      </c>
      <c r="AW139" s="78">
        <f>AJ139*Valores!$C$70</f>
        <v>3765.168800000001</v>
      </c>
      <c r="AX139" s="78">
        <f>AJ139*Valores!$C$71</f>
        <v>1058.953725</v>
      </c>
      <c r="AY139" s="78">
        <f>AJ139*Valores!$C$73</f>
        <v>235.32305000000005</v>
      </c>
      <c r="AZ139" s="78">
        <f>AJ139*Valores!$C$74</f>
        <v>823.6306750000002</v>
      </c>
      <c r="BA139" s="78">
        <f>AJ139*Valores!$C$75</f>
        <v>141.19383000000002</v>
      </c>
      <c r="BB139" s="78">
        <f t="shared" si="32"/>
        <v>1270.7444700000003</v>
      </c>
      <c r="BC139" s="20">
        <v>12</v>
      </c>
      <c r="BD139" s="55">
        <v>15</v>
      </c>
      <c r="BE139" s="9" t="s">
        <v>462</v>
      </c>
    </row>
    <row r="140" spans="1:57" s="9" customFormat="1" ht="11.25" customHeight="1">
      <c r="A140" s="20">
        <v>139</v>
      </c>
      <c r="B140" s="20"/>
      <c r="C140" s="9" t="s">
        <v>256</v>
      </c>
      <c r="E140" s="9">
        <f t="shared" si="30"/>
        <v>33</v>
      </c>
      <c r="F140" s="10" t="s">
        <v>257</v>
      </c>
      <c r="G140" s="123">
        <v>1983</v>
      </c>
      <c r="H140" s="7">
        <f>INT((G140*Valores!$C$2*100)+0.5)/100</f>
        <v>11896.62</v>
      </c>
      <c r="I140" s="134">
        <v>0</v>
      </c>
      <c r="J140" s="77">
        <f>INT((I140*Valores!$C$2*100)+0.5)/100</f>
        <v>0</v>
      </c>
      <c r="K140" s="146">
        <v>0</v>
      </c>
      <c r="L140" s="77">
        <f>INT((K140*Valores!$C$2*100)+0.5)/100</f>
        <v>0</v>
      </c>
      <c r="M140" s="120">
        <v>0</v>
      </c>
      <c r="N140" s="77">
        <f>INT((M140*Valores!$C$2*100)+0.5)/100</f>
        <v>0</v>
      </c>
      <c r="O140" s="77">
        <f t="shared" si="24"/>
        <v>0</v>
      </c>
      <c r="P140" s="77">
        <f t="shared" si="25"/>
        <v>6383.975</v>
      </c>
      <c r="Q140" s="61">
        <f>Valores!$C$15</f>
        <v>3695.48</v>
      </c>
      <c r="R140" s="61">
        <f>Valores!$D$4</f>
        <v>2683.49</v>
      </c>
      <c r="S140" s="61">
        <f>Valores!$C$26</f>
        <v>2700.67</v>
      </c>
      <c r="T140" s="87">
        <f>Valores!$C$42</f>
        <v>871.33</v>
      </c>
      <c r="U140" s="77">
        <f>Valores!$C$23</f>
        <v>2584.33</v>
      </c>
      <c r="V140" s="77">
        <f t="shared" si="23"/>
        <v>3876.495</v>
      </c>
      <c r="W140" s="77">
        <v>0</v>
      </c>
      <c r="X140" s="77">
        <v>0</v>
      </c>
      <c r="Y140" s="116">
        <v>0</v>
      </c>
      <c r="Z140" s="77">
        <f>Y140*Valores!$C$2</f>
        <v>0</v>
      </c>
      <c r="AA140" s="77">
        <v>0</v>
      </c>
      <c r="AB140" s="89">
        <f>Valores!$C$29</f>
        <v>151.15</v>
      </c>
      <c r="AC140" s="77">
        <f t="shared" si="26"/>
        <v>0</v>
      </c>
      <c r="AD140" s="77">
        <f>Valores!$C$30</f>
        <v>151.15</v>
      </c>
      <c r="AE140" s="116">
        <v>94</v>
      </c>
      <c r="AF140" s="77">
        <f>INT(((AE140*Valores!$C$2)*100)+0.5)/100</f>
        <v>563.93</v>
      </c>
      <c r="AG140" s="77">
        <f>Valores!$C$58</f>
        <v>307.46</v>
      </c>
      <c r="AH140" s="77">
        <f>Valores!$C$60</f>
        <v>87.85</v>
      </c>
      <c r="AI140" s="77">
        <f>SUM(H140,J140,L140,N140,O140,P140,Q140,R140,S140,T140,V140,W140,X140,Z140,AA140,AB140,AC140,AD140,AF140,AG140,AH140)*Valores!$C$63</f>
        <v>0</v>
      </c>
      <c r="AJ140" s="140">
        <f t="shared" si="27"/>
        <v>33369.6</v>
      </c>
      <c r="AK140" s="61">
        <f>Valores!$C$35</f>
        <v>415.59</v>
      </c>
      <c r="AL140" s="79">
        <f>Valores!$C$8</f>
        <v>234.26</v>
      </c>
      <c r="AM140" s="89">
        <f>Valores!$C$51</f>
        <v>128.84</v>
      </c>
      <c r="AN140" s="79">
        <f>IF($H$4="SI",SUM(AL140+AM140),AL140)*Valores!$C$63</f>
        <v>0</v>
      </c>
      <c r="AO140" s="12">
        <f t="shared" si="31"/>
        <v>778.6899999999999</v>
      </c>
      <c r="AP140" s="13">
        <f>AJ140*-Valores!$C$65</f>
        <v>-4338.048</v>
      </c>
      <c r="AQ140" s="13">
        <f>AJ140*-Valores!$C$66</f>
        <v>-166.84799999999998</v>
      </c>
      <c r="AR140" s="78">
        <f>AJ140*-Valores!$C$67</f>
        <v>-1501.6319999999998</v>
      </c>
      <c r="AS140" s="78">
        <f>AJ140*-Valores!$C$68</f>
        <v>-900.9792000000001</v>
      </c>
      <c r="AT140" s="78">
        <f>AJ140*-Valores!$C$69</f>
        <v>-100.1088</v>
      </c>
      <c r="AU140" s="15">
        <f t="shared" si="28"/>
        <v>28141.762000000002</v>
      </c>
      <c r="AV140" s="15">
        <f t="shared" si="29"/>
        <v>28642.306</v>
      </c>
      <c r="AW140" s="78">
        <f>AJ140*Valores!$C$70</f>
        <v>5339.1359999999995</v>
      </c>
      <c r="AX140" s="78">
        <f>AJ140*Valores!$C$71</f>
        <v>1501.6319999999998</v>
      </c>
      <c r="AY140" s="78">
        <f>AJ140*Valores!$C$73</f>
        <v>333.69599999999997</v>
      </c>
      <c r="AZ140" s="78">
        <f>AJ140*Valores!$C$74</f>
        <v>1167.9360000000001</v>
      </c>
      <c r="BA140" s="78">
        <f>AJ140*Valores!$C$75</f>
        <v>200.2176</v>
      </c>
      <c r="BB140" s="78">
        <f t="shared" si="32"/>
        <v>1801.9584</v>
      </c>
      <c r="BC140" s="20"/>
      <c r="BD140" s="20"/>
      <c r="BE140" s="9" t="s">
        <v>461</v>
      </c>
    </row>
    <row r="141" spans="1:57" s="9" customFormat="1" ht="11.25" customHeight="1">
      <c r="A141" s="55">
        <v>140</v>
      </c>
      <c r="B141" s="55" t="s">
        <v>458</v>
      </c>
      <c r="C141" s="52" t="s">
        <v>258</v>
      </c>
      <c r="D141" s="52"/>
      <c r="E141" s="52">
        <f t="shared" si="30"/>
        <v>29</v>
      </c>
      <c r="F141" s="53" t="s">
        <v>259</v>
      </c>
      <c r="G141" s="124">
        <v>1378</v>
      </c>
      <c r="H141" s="129">
        <f>INT((G141*Valores!$C$2*100)+0.5)/100</f>
        <v>8267.04</v>
      </c>
      <c r="I141" s="133">
        <v>0</v>
      </c>
      <c r="J141" s="80">
        <f>INT((I141*Valores!$C$2*100)+0.5)/100</f>
        <v>0</v>
      </c>
      <c r="K141" s="147">
        <v>0</v>
      </c>
      <c r="L141" s="80">
        <f>INT((K141*Valores!$C$2*100)+0.5)/100</f>
        <v>0</v>
      </c>
      <c r="M141" s="121">
        <v>0</v>
      </c>
      <c r="N141" s="80">
        <f>INT((M141*Valores!$C$2*100)+0.5)/100</f>
        <v>0</v>
      </c>
      <c r="O141" s="80">
        <f t="shared" si="24"/>
        <v>0</v>
      </c>
      <c r="P141" s="80">
        <f t="shared" si="25"/>
        <v>4569.185</v>
      </c>
      <c r="Q141" s="85">
        <f>Valores!$C$20</f>
        <v>3519.79</v>
      </c>
      <c r="R141" s="85">
        <f>Valores!$D$4</f>
        <v>2683.49</v>
      </c>
      <c r="S141" s="85">
        <f>Valores!$C$26</f>
        <v>2700.67</v>
      </c>
      <c r="T141" s="88">
        <f>Valores!$C$42</f>
        <v>871.33</v>
      </c>
      <c r="U141" s="85">
        <f>Valores!$C$24</f>
        <v>2549.17</v>
      </c>
      <c r="V141" s="80">
        <f t="shared" si="23"/>
        <v>3823.755</v>
      </c>
      <c r="W141" s="80">
        <v>0</v>
      </c>
      <c r="X141" s="80">
        <v>0</v>
      </c>
      <c r="Y141" s="115">
        <v>0</v>
      </c>
      <c r="Z141" s="80">
        <f>Y141*Valores!$C$2</f>
        <v>0</v>
      </c>
      <c r="AA141" s="80">
        <v>0</v>
      </c>
      <c r="AB141" s="90">
        <f>Valores!$C$29</f>
        <v>151.15</v>
      </c>
      <c r="AC141" s="80">
        <f t="shared" si="26"/>
        <v>0</v>
      </c>
      <c r="AD141" s="80">
        <f>Valores!$C$30</f>
        <v>151.15</v>
      </c>
      <c r="AE141" s="115">
        <v>0</v>
      </c>
      <c r="AF141" s="80">
        <f>INT(((AE141*Valores!$C$2)*100)+0.5)/100</f>
        <v>0</v>
      </c>
      <c r="AG141" s="80">
        <f>Valores!$C$58</f>
        <v>307.46</v>
      </c>
      <c r="AH141" s="80">
        <f>Valores!$C$60</f>
        <v>87.85</v>
      </c>
      <c r="AI141" s="80">
        <f>SUM(H141,J141,L141,N141,O141,P141,Q141,R141,S141,T141,V141,W141,X141,Z141,AA141,AB141,AC141,AD141,AF141,AG141,AH141)*Valores!$C$63</f>
        <v>0</v>
      </c>
      <c r="AJ141" s="141">
        <f t="shared" si="27"/>
        <v>27132.870000000006</v>
      </c>
      <c r="AK141" s="85">
        <f>Valores!$C$35</f>
        <v>415.59</v>
      </c>
      <c r="AL141" s="82">
        <f>Valores!$C$8</f>
        <v>234.26</v>
      </c>
      <c r="AM141" s="89">
        <f>Valores!$C$51</f>
        <v>128.84</v>
      </c>
      <c r="AN141" s="82">
        <f>IF($H$4="SI",SUM(AL141+AM141),AL141)*Valores!$C$63</f>
        <v>0</v>
      </c>
      <c r="AO141" s="185">
        <f t="shared" si="31"/>
        <v>778.6899999999999</v>
      </c>
      <c r="AP141" s="154">
        <f>AJ141*-Valores!$C$65</f>
        <v>-3527.273100000001</v>
      </c>
      <c r="AQ141" s="154">
        <f>AJ141*-Valores!$C$66</f>
        <v>-135.66435000000004</v>
      </c>
      <c r="AR141" s="81">
        <f>AJ141*-Valores!$C$67</f>
        <v>-1220.9791500000003</v>
      </c>
      <c r="AS141" s="81">
        <f>AJ141*-Valores!$C$68</f>
        <v>-732.5874900000002</v>
      </c>
      <c r="AT141" s="81">
        <f>AJ141*-Valores!$C$69</f>
        <v>-81.39861000000002</v>
      </c>
      <c r="AU141" s="54">
        <f t="shared" si="28"/>
        <v>23027.643400000004</v>
      </c>
      <c r="AV141" s="54">
        <f t="shared" si="29"/>
        <v>23434.63645</v>
      </c>
      <c r="AW141" s="81">
        <f>AJ141*Valores!$C$70</f>
        <v>4341.259200000001</v>
      </c>
      <c r="AX141" s="81">
        <f>AJ141*Valores!$C$71</f>
        <v>1220.9791500000003</v>
      </c>
      <c r="AY141" s="81">
        <f>AJ141*Valores!$C$73</f>
        <v>271.3287000000001</v>
      </c>
      <c r="AZ141" s="81">
        <f>AJ141*Valores!$C$74</f>
        <v>949.6504500000003</v>
      </c>
      <c r="BA141" s="81">
        <f>AJ141*Valores!$C$75</f>
        <v>162.79722000000004</v>
      </c>
      <c r="BB141" s="81">
        <f t="shared" si="32"/>
        <v>1465.1749800000005</v>
      </c>
      <c r="BC141" s="55"/>
      <c r="BD141" s="55">
        <v>22</v>
      </c>
      <c r="BE141" s="52" t="s">
        <v>462</v>
      </c>
    </row>
    <row r="142" spans="1:57" s="9" customFormat="1" ht="11.25" customHeight="1">
      <c r="A142" s="20">
        <v>141</v>
      </c>
      <c r="B142" s="20"/>
      <c r="C142" s="9" t="s">
        <v>260</v>
      </c>
      <c r="E142" s="9">
        <f t="shared" si="30"/>
        <v>30</v>
      </c>
      <c r="F142" s="10" t="s">
        <v>261</v>
      </c>
      <c r="G142" s="123">
        <v>1278</v>
      </c>
      <c r="H142" s="7">
        <f>INT((G142*Valores!$C$2*100)+0.5)/100</f>
        <v>7667.11</v>
      </c>
      <c r="I142" s="134">
        <v>0</v>
      </c>
      <c r="J142" s="77">
        <f>INT((I142*Valores!$C$2*100)+0.5)/100</f>
        <v>0</v>
      </c>
      <c r="K142" s="146">
        <v>0</v>
      </c>
      <c r="L142" s="77">
        <f>INT((K142*Valores!$C$2*100)+0.5)/100</f>
        <v>0</v>
      </c>
      <c r="M142" s="120">
        <v>0</v>
      </c>
      <c r="N142" s="77">
        <f>INT((M142*Valores!$C$2*100)+0.5)/100</f>
        <v>0</v>
      </c>
      <c r="O142" s="77">
        <f t="shared" si="24"/>
        <v>0</v>
      </c>
      <c r="P142" s="77">
        <f t="shared" si="25"/>
        <v>4269.22</v>
      </c>
      <c r="Q142" s="61">
        <f>Valores!$C$20</f>
        <v>3519.79</v>
      </c>
      <c r="R142" s="61">
        <f>Valores!$D$4</f>
        <v>2683.49</v>
      </c>
      <c r="S142" s="77">
        <f>Valores!$C$26</f>
        <v>2700.67</v>
      </c>
      <c r="T142" s="79">
        <f>Valores!$C$42</f>
        <v>871.33</v>
      </c>
      <c r="U142" s="77">
        <f>Valores!$C$23</f>
        <v>2584.33</v>
      </c>
      <c r="V142" s="77">
        <f t="shared" si="23"/>
        <v>3876.495</v>
      </c>
      <c r="W142" s="77">
        <v>0</v>
      </c>
      <c r="X142" s="77">
        <v>0</v>
      </c>
      <c r="Y142" s="116">
        <v>0</v>
      </c>
      <c r="Z142" s="77">
        <f>Y142*Valores!$C$2</f>
        <v>0</v>
      </c>
      <c r="AA142" s="77">
        <v>0</v>
      </c>
      <c r="AB142" s="89">
        <f>Valores!$C$29</f>
        <v>151.15</v>
      </c>
      <c r="AC142" s="77">
        <f t="shared" si="26"/>
        <v>0</v>
      </c>
      <c r="AD142" s="77">
        <f>Valores!$C$30</f>
        <v>151.15</v>
      </c>
      <c r="AE142" s="116">
        <v>0</v>
      </c>
      <c r="AF142" s="77">
        <f>INT(((AE142*Valores!$C$2)*100)+0.5)/100</f>
        <v>0</v>
      </c>
      <c r="AG142" s="77">
        <f>Valores!$C$58</f>
        <v>307.46</v>
      </c>
      <c r="AH142" s="77">
        <f>Valores!$C$60</f>
        <v>87.85</v>
      </c>
      <c r="AI142" s="77">
        <f>SUM(H142,J142,L142,N142,O142,P142,Q142,R142,S142,T142,V142,W142,X142,Z142,AA142,AB142,AC142,AD142,AF142,AG142,AH142)*Valores!$C$63</f>
        <v>0</v>
      </c>
      <c r="AJ142" s="140">
        <f t="shared" si="27"/>
        <v>26285.715</v>
      </c>
      <c r="AK142" s="61">
        <f>Valores!$C$35</f>
        <v>415.59</v>
      </c>
      <c r="AL142" s="79">
        <f>Valores!$C$8</f>
        <v>234.26</v>
      </c>
      <c r="AM142" s="89">
        <f>Valores!$C$51</f>
        <v>128.84</v>
      </c>
      <c r="AN142" s="79">
        <f>IF($H$4="SI",SUM(AL142+AM142),AL142)*Valores!$C$63</f>
        <v>0</v>
      </c>
      <c r="AO142" s="12">
        <f t="shared" si="31"/>
        <v>778.6899999999999</v>
      </c>
      <c r="AP142" s="13">
        <f>AJ142*-Valores!$C$65</f>
        <v>-3417.14295</v>
      </c>
      <c r="AQ142" s="13">
        <f>AJ142*-Valores!$C$66</f>
        <v>-131.428575</v>
      </c>
      <c r="AR142" s="78">
        <f>AJ142*-Valores!$C$67</f>
        <v>-1182.8571749999999</v>
      </c>
      <c r="AS142" s="78">
        <f>AJ142*-Valores!$C$68</f>
        <v>-709.7143050000001</v>
      </c>
      <c r="AT142" s="78">
        <f>AJ142*-Valores!$C$69</f>
        <v>-78.857145</v>
      </c>
      <c r="AU142" s="15">
        <f t="shared" si="28"/>
        <v>22332.976299999995</v>
      </c>
      <c r="AV142" s="15">
        <f t="shared" si="29"/>
        <v>22727.262024999993</v>
      </c>
      <c r="AW142" s="78">
        <f>AJ142*Valores!$C$70</f>
        <v>4205.7144</v>
      </c>
      <c r="AX142" s="78">
        <f>AJ142*Valores!$C$71</f>
        <v>1182.8571749999999</v>
      </c>
      <c r="AY142" s="78">
        <f>AJ142*Valores!$C$73</f>
        <v>262.85715</v>
      </c>
      <c r="AZ142" s="78">
        <f>AJ142*Valores!$C$74</f>
        <v>920.000025</v>
      </c>
      <c r="BA142" s="78">
        <f>AJ142*Valores!$C$75</f>
        <v>157.71429</v>
      </c>
      <c r="BB142" s="78">
        <f t="shared" si="32"/>
        <v>1419.42861</v>
      </c>
      <c r="BC142" s="20"/>
      <c r="BD142" s="20">
        <v>22</v>
      </c>
      <c r="BE142" s="9" t="s">
        <v>462</v>
      </c>
    </row>
    <row r="143" spans="1:57" s="9" customFormat="1" ht="11.25" customHeight="1">
      <c r="A143" s="20">
        <v>142</v>
      </c>
      <c r="B143" s="20"/>
      <c r="C143" s="9" t="s">
        <v>262</v>
      </c>
      <c r="E143" s="9">
        <f t="shared" si="30"/>
        <v>31</v>
      </c>
      <c r="F143" s="10" t="s">
        <v>263</v>
      </c>
      <c r="G143" s="123">
        <v>1278</v>
      </c>
      <c r="H143" s="7">
        <f>INT((G143*Valores!$C$2*100)+0.5)/100</f>
        <v>7667.11</v>
      </c>
      <c r="I143" s="134">
        <v>0</v>
      </c>
      <c r="J143" s="77">
        <f>INT((I143*Valores!$C$2*100)+0.5)/100</f>
        <v>0</v>
      </c>
      <c r="K143" s="146">
        <v>0</v>
      </c>
      <c r="L143" s="77">
        <f>INT((K143*Valores!$C$2*100)+0.5)/100</f>
        <v>0</v>
      </c>
      <c r="M143" s="120">
        <v>0</v>
      </c>
      <c r="N143" s="77">
        <f>INT((M143*Valores!$C$2*100)+0.5)/100</f>
        <v>0</v>
      </c>
      <c r="O143" s="77">
        <f t="shared" si="24"/>
        <v>0</v>
      </c>
      <c r="P143" s="77">
        <f t="shared" si="25"/>
        <v>4051.3875</v>
      </c>
      <c r="Q143" s="61">
        <f>Valores!$C$20</f>
        <v>3519.79</v>
      </c>
      <c r="R143" s="61">
        <f>Valores!$D$4</f>
        <v>2683.49</v>
      </c>
      <c r="S143" s="61">
        <f>Valores!$C$26</f>
        <v>2700.67</v>
      </c>
      <c r="T143" s="79">
        <f>Valores!$C$42/2</f>
        <v>435.665</v>
      </c>
      <c r="U143" s="61">
        <f>Valores!$C$24</f>
        <v>2549.17</v>
      </c>
      <c r="V143" s="77">
        <f t="shared" si="23"/>
        <v>3823.755</v>
      </c>
      <c r="W143" s="77">
        <v>0</v>
      </c>
      <c r="X143" s="77">
        <v>0</v>
      </c>
      <c r="Y143" s="116">
        <v>0</v>
      </c>
      <c r="Z143" s="77">
        <f>Y143*Valores!$C$2</f>
        <v>0</v>
      </c>
      <c r="AA143" s="77">
        <v>0</v>
      </c>
      <c r="AB143" s="89">
        <f>Valores!$C$29</f>
        <v>151.15</v>
      </c>
      <c r="AC143" s="77">
        <f t="shared" si="26"/>
        <v>0</v>
      </c>
      <c r="AD143" s="77">
        <f>Valores!$C$30</f>
        <v>151.15</v>
      </c>
      <c r="AE143" s="116">
        <v>0</v>
      </c>
      <c r="AF143" s="77">
        <f>INT(((AE143*Valores!$C$2)*100)+0.5)/100</f>
        <v>0</v>
      </c>
      <c r="AG143" s="77">
        <f>Valores!$C$58/2</f>
        <v>153.73</v>
      </c>
      <c r="AH143" s="77">
        <f>Valores!$C$60/2</f>
        <v>43.925</v>
      </c>
      <c r="AI143" s="77">
        <f>SUM(H143,J143,L143,N143,O143,P143,Q143,R143,S143,T143,V143,W143,X143,Z143,AA143,AB143,AC143,AD143,AF143,AG143,AH143)*Valores!$C$63</f>
        <v>0</v>
      </c>
      <c r="AJ143" s="140">
        <f t="shared" si="27"/>
        <v>25381.8225</v>
      </c>
      <c r="AK143" s="61">
        <f>Valores!$C$35</f>
        <v>415.59</v>
      </c>
      <c r="AL143" s="79">
        <f>Valores!$C$8/2</f>
        <v>117.13</v>
      </c>
      <c r="AM143" s="89">
        <f>Valores!$C$51</f>
        <v>128.84</v>
      </c>
      <c r="AN143" s="79">
        <f>IF($H$4="SI",SUM(AL143+AM143),AL143)*Valores!$C$63</f>
        <v>0</v>
      </c>
      <c r="AO143" s="12">
        <f t="shared" si="31"/>
        <v>661.5600000000001</v>
      </c>
      <c r="AP143" s="13">
        <f>AJ143*-Valores!$C$65</f>
        <v>-3299.636925</v>
      </c>
      <c r="AQ143" s="13">
        <f>AJ143*-Valores!$C$66</f>
        <v>-126.90911249999999</v>
      </c>
      <c r="AR143" s="78">
        <f>AJ143*-Valores!$C$67</f>
        <v>-1142.1820125</v>
      </c>
      <c r="AS143" s="78">
        <f>AJ143*-Valores!$C$68</f>
        <v>-685.3092075000001</v>
      </c>
      <c r="AT143" s="78">
        <f>AJ143*-Valores!$C$69</f>
        <v>-76.1454675</v>
      </c>
      <c r="AU143" s="15">
        <f t="shared" si="28"/>
        <v>21474.654449999998</v>
      </c>
      <c r="AV143" s="15">
        <f t="shared" si="29"/>
        <v>21855.381787500002</v>
      </c>
      <c r="AW143" s="78">
        <f>AJ143*Valores!$C$70</f>
        <v>4061.0915999999997</v>
      </c>
      <c r="AX143" s="78">
        <f>AJ143*Valores!$C$71</f>
        <v>1142.1820125</v>
      </c>
      <c r="AY143" s="78">
        <f>AJ143*Valores!$C$73</f>
        <v>253.81822499999998</v>
      </c>
      <c r="AZ143" s="78">
        <f>AJ143*Valores!$C$74</f>
        <v>888.3637875000001</v>
      </c>
      <c r="BA143" s="78">
        <f>AJ143*Valores!$C$75</f>
        <v>152.290935</v>
      </c>
      <c r="BB143" s="78">
        <f t="shared" si="32"/>
        <v>1370.6184150000001</v>
      </c>
      <c r="BC143" s="20"/>
      <c r="BD143" s="20"/>
      <c r="BE143" s="9" t="s">
        <v>461</v>
      </c>
    </row>
    <row r="144" spans="1:57" s="9" customFormat="1" ht="11.25" customHeight="1">
      <c r="A144" s="20">
        <v>143</v>
      </c>
      <c r="B144" s="20"/>
      <c r="C144" s="9" t="s">
        <v>264</v>
      </c>
      <c r="E144" s="9">
        <f t="shared" si="30"/>
        <v>19</v>
      </c>
      <c r="F144" s="10" t="s">
        <v>265</v>
      </c>
      <c r="G144" s="123">
        <v>1278</v>
      </c>
      <c r="H144" s="7">
        <f>INT((G144*Valores!$C$2*100)+0.5)/100</f>
        <v>7667.11</v>
      </c>
      <c r="I144" s="134">
        <v>0</v>
      </c>
      <c r="J144" s="77">
        <f>INT((I144*Valores!$C$2*100)+0.5)/100</f>
        <v>0</v>
      </c>
      <c r="K144" s="146">
        <v>0</v>
      </c>
      <c r="L144" s="77">
        <f>INT((K144*Valores!$C$2*100)+0.5)/100</f>
        <v>0</v>
      </c>
      <c r="M144" s="120">
        <v>0</v>
      </c>
      <c r="N144" s="77">
        <f>INT((M144*Valores!$C$2*100)+0.5)/100</f>
        <v>0</v>
      </c>
      <c r="O144" s="77">
        <f t="shared" si="24"/>
        <v>0</v>
      </c>
      <c r="P144" s="77">
        <f t="shared" si="25"/>
        <v>4269.22</v>
      </c>
      <c r="Q144" s="61">
        <f>Valores!$C$20</f>
        <v>3519.79</v>
      </c>
      <c r="R144" s="61">
        <f>Valores!$D$4</f>
        <v>2683.49</v>
      </c>
      <c r="S144" s="61">
        <f>Valores!$C$26</f>
        <v>2700.67</v>
      </c>
      <c r="T144" s="87">
        <f>Valores!$C$42</f>
        <v>871.33</v>
      </c>
      <c r="U144" s="77">
        <f>Valores!$C$23</f>
        <v>2584.33</v>
      </c>
      <c r="V144" s="77">
        <f t="shared" si="23"/>
        <v>3876.495</v>
      </c>
      <c r="W144" s="77">
        <v>0</v>
      </c>
      <c r="X144" s="77">
        <v>0</v>
      </c>
      <c r="Y144" s="116">
        <v>0</v>
      </c>
      <c r="Z144" s="77">
        <f>Y144*Valores!$C$2</f>
        <v>0</v>
      </c>
      <c r="AA144" s="77">
        <v>0</v>
      </c>
      <c r="AB144" s="89">
        <f>Valores!$C$29</f>
        <v>151.15</v>
      </c>
      <c r="AC144" s="77">
        <f t="shared" si="26"/>
        <v>0</v>
      </c>
      <c r="AD144" s="77">
        <f>Valores!$C$30</f>
        <v>151.15</v>
      </c>
      <c r="AE144" s="116">
        <v>0</v>
      </c>
      <c r="AF144" s="77">
        <f>INT(((AE144*Valores!$C$2)*100)+0.5)/100</f>
        <v>0</v>
      </c>
      <c r="AG144" s="77">
        <f>Valores!$C$58</f>
        <v>307.46</v>
      </c>
      <c r="AH144" s="77">
        <f>Valores!$C$60</f>
        <v>87.85</v>
      </c>
      <c r="AI144" s="77">
        <f>SUM(H144,J144,L144,N144,O144,P144,Q144,R144,S144,T144,V144,W144,X144,Z144,AA144,AB144,AC144,AD144,AF144,AG144,AH144)*Valores!$C$63</f>
        <v>0</v>
      </c>
      <c r="AJ144" s="140">
        <f t="shared" si="27"/>
        <v>26285.715</v>
      </c>
      <c r="AK144" s="61">
        <f>Valores!$C$35</f>
        <v>415.59</v>
      </c>
      <c r="AL144" s="79">
        <f>Valores!$C$8</f>
        <v>234.26</v>
      </c>
      <c r="AM144" s="89">
        <f>Valores!$C$51</f>
        <v>128.84</v>
      </c>
      <c r="AN144" s="79">
        <f>IF($H$4="SI",SUM(AL144+AM144),AL144)*Valores!$C$63</f>
        <v>0</v>
      </c>
      <c r="AO144" s="12">
        <f t="shared" si="31"/>
        <v>778.6899999999999</v>
      </c>
      <c r="AP144" s="13">
        <f>AJ144*-Valores!$C$65</f>
        <v>-3417.14295</v>
      </c>
      <c r="AQ144" s="13">
        <f>AJ144*-Valores!$C$66</f>
        <v>-131.428575</v>
      </c>
      <c r="AR144" s="78">
        <f>AJ144*-Valores!$C$67</f>
        <v>-1182.8571749999999</v>
      </c>
      <c r="AS144" s="78">
        <f>AJ144*-Valores!$C$68</f>
        <v>-709.7143050000001</v>
      </c>
      <c r="AT144" s="78">
        <f>AJ144*-Valores!$C$69</f>
        <v>-78.857145</v>
      </c>
      <c r="AU144" s="15">
        <f t="shared" si="28"/>
        <v>22332.976299999995</v>
      </c>
      <c r="AV144" s="15">
        <f t="shared" si="29"/>
        <v>22727.262024999993</v>
      </c>
      <c r="AW144" s="78">
        <f>AJ144*Valores!$C$70</f>
        <v>4205.7144</v>
      </c>
      <c r="AX144" s="78">
        <f>AJ144*Valores!$C$71</f>
        <v>1182.8571749999999</v>
      </c>
      <c r="AY144" s="78">
        <f>AJ144*Valores!$C$73</f>
        <v>262.85715</v>
      </c>
      <c r="AZ144" s="78">
        <f>AJ144*Valores!$C$74</f>
        <v>920.000025</v>
      </c>
      <c r="BA144" s="78">
        <f>AJ144*Valores!$C$75</f>
        <v>157.71429</v>
      </c>
      <c r="BB144" s="78">
        <f t="shared" si="32"/>
        <v>1419.42861</v>
      </c>
      <c r="BC144" s="20"/>
      <c r="BD144" s="55"/>
      <c r="BE144" s="9" t="s">
        <v>462</v>
      </c>
    </row>
    <row r="145" spans="1:57" s="9" customFormat="1" ht="11.25" customHeight="1">
      <c r="A145" s="20">
        <v>144</v>
      </c>
      <c r="B145" s="20"/>
      <c r="C145" s="9" t="s">
        <v>266</v>
      </c>
      <c r="E145" s="9">
        <f t="shared" si="30"/>
        <v>29</v>
      </c>
      <c r="F145" s="10" t="s">
        <v>267</v>
      </c>
      <c r="G145" s="123">
        <v>1278</v>
      </c>
      <c r="H145" s="7">
        <f>INT((G145*Valores!$C$2*100)+0.5)/100</f>
        <v>7667.11</v>
      </c>
      <c r="I145" s="134">
        <v>0</v>
      </c>
      <c r="J145" s="77">
        <f>INT((I145*Valores!$C$2*100)+0.5)/100</f>
        <v>0</v>
      </c>
      <c r="K145" s="146">
        <v>0</v>
      </c>
      <c r="L145" s="77">
        <f>INT((K145*Valores!$C$2*100)+0.5)/100</f>
        <v>0</v>
      </c>
      <c r="M145" s="120">
        <v>0</v>
      </c>
      <c r="N145" s="77">
        <f>INT((M145*Valores!$C$2*100)+0.5)/100</f>
        <v>0</v>
      </c>
      <c r="O145" s="77">
        <f t="shared" si="24"/>
        <v>0</v>
      </c>
      <c r="P145" s="77">
        <f t="shared" si="25"/>
        <v>4269.22</v>
      </c>
      <c r="Q145" s="61">
        <f>Valores!$C$20</f>
        <v>3519.79</v>
      </c>
      <c r="R145" s="61">
        <f>Valores!$D$4</f>
        <v>2683.49</v>
      </c>
      <c r="S145" s="61">
        <f>Valores!$C$26</f>
        <v>2700.67</v>
      </c>
      <c r="T145" s="87">
        <f>Valores!$C$42</f>
        <v>871.33</v>
      </c>
      <c r="U145" s="77">
        <f>Valores!$C$23</f>
        <v>2584.33</v>
      </c>
      <c r="V145" s="77">
        <f t="shared" si="23"/>
        <v>3876.495</v>
      </c>
      <c r="W145" s="77">
        <v>0</v>
      </c>
      <c r="X145" s="77">
        <v>0</v>
      </c>
      <c r="Y145" s="116">
        <v>0</v>
      </c>
      <c r="Z145" s="77">
        <f>Y145*Valores!$C$2</f>
        <v>0</v>
      </c>
      <c r="AA145" s="77">
        <v>0</v>
      </c>
      <c r="AB145" s="89">
        <f>Valores!$C$29</f>
        <v>151.15</v>
      </c>
      <c r="AC145" s="77">
        <f t="shared" si="26"/>
        <v>0</v>
      </c>
      <c r="AD145" s="77">
        <f>Valores!$C$30</f>
        <v>151.15</v>
      </c>
      <c r="AE145" s="116">
        <v>0</v>
      </c>
      <c r="AF145" s="77">
        <f>INT(((AE145*Valores!$C$2)*100)+0.5)/100</f>
        <v>0</v>
      </c>
      <c r="AG145" s="77">
        <f>Valores!$C$58</f>
        <v>307.46</v>
      </c>
      <c r="AH145" s="77">
        <f>Valores!$C$60</f>
        <v>87.85</v>
      </c>
      <c r="AI145" s="77">
        <f>SUM(H145,J145,L145,N145,O145,P145,Q145,R145,S145,T145,V145,W145,X145,Z145,AA145,AB145,AC145,AD145,AF145,AG145,AH145)*Valores!$C$63</f>
        <v>0</v>
      </c>
      <c r="AJ145" s="140">
        <f t="shared" si="27"/>
        <v>26285.715</v>
      </c>
      <c r="AK145" s="61">
        <f>Valores!$C$35</f>
        <v>415.59</v>
      </c>
      <c r="AL145" s="79">
        <f>Valores!$C$8</f>
        <v>234.26</v>
      </c>
      <c r="AM145" s="89">
        <f>Valores!$C$51</f>
        <v>128.84</v>
      </c>
      <c r="AN145" s="79">
        <f>IF($H$4="SI",SUM(AL145+AM145),AL145)*Valores!$C$63</f>
        <v>0</v>
      </c>
      <c r="AO145" s="12">
        <f t="shared" si="31"/>
        <v>778.6899999999999</v>
      </c>
      <c r="AP145" s="13">
        <f>AJ145*-Valores!$C$65</f>
        <v>-3417.14295</v>
      </c>
      <c r="AQ145" s="13">
        <f>AJ145*-Valores!$C$66</f>
        <v>-131.428575</v>
      </c>
      <c r="AR145" s="78">
        <f>AJ145*-Valores!$C$67</f>
        <v>-1182.8571749999999</v>
      </c>
      <c r="AS145" s="78">
        <f>AJ145*-Valores!$C$68</f>
        <v>-709.7143050000001</v>
      </c>
      <c r="AT145" s="78">
        <f>AJ145*-Valores!$C$69</f>
        <v>-78.857145</v>
      </c>
      <c r="AU145" s="15">
        <f t="shared" si="28"/>
        <v>22332.976299999995</v>
      </c>
      <c r="AV145" s="15">
        <f t="shared" si="29"/>
        <v>22727.262024999993</v>
      </c>
      <c r="AW145" s="78">
        <f>AJ145*Valores!$C$70</f>
        <v>4205.7144</v>
      </c>
      <c r="AX145" s="78">
        <f>AJ145*Valores!$C$71</f>
        <v>1182.8571749999999</v>
      </c>
      <c r="AY145" s="78">
        <f>AJ145*Valores!$C$73</f>
        <v>262.85715</v>
      </c>
      <c r="AZ145" s="78">
        <f>AJ145*Valores!$C$74</f>
        <v>920.000025</v>
      </c>
      <c r="BA145" s="78">
        <f>AJ145*Valores!$C$75</f>
        <v>157.71429</v>
      </c>
      <c r="BB145" s="78">
        <f t="shared" si="32"/>
        <v>1419.42861</v>
      </c>
      <c r="BC145" s="20"/>
      <c r="BD145" s="20">
        <v>20</v>
      </c>
      <c r="BE145" s="9" t="s">
        <v>462</v>
      </c>
    </row>
    <row r="146" spans="1:57" s="9" customFormat="1" ht="11.25" customHeight="1">
      <c r="A146" s="55">
        <v>145</v>
      </c>
      <c r="B146" s="55" t="s">
        <v>458</v>
      </c>
      <c r="C146" s="52" t="s">
        <v>268</v>
      </c>
      <c r="D146" s="52"/>
      <c r="E146" s="52">
        <f t="shared" si="30"/>
        <v>31</v>
      </c>
      <c r="F146" s="53" t="s">
        <v>269</v>
      </c>
      <c r="G146" s="124">
        <v>1278</v>
      </c>
      <c r="H146" s="129">
        <f>INT((G146*Valores!$C$2*100)+0.5)/100</f>
        <v>7667.11</v>
      </c>
      <c r="I146" s="133">
        <v>0</v>
      </c>
      <c r="J146" s="80">
        <f>INT((I146*Valores!$C$2*100)+0.5)/100</f>
        <v>0</v>
      </c>
      <c r="K146" s="147">
        <v>0</v>
      </c>
      <c r="L146" s="80">
        <f>INT((K146*Valores!$C$2*100)+0.5)/100</f>
        <v>0</v>
      </c>
      <c r="M146" s="121">
        <v>0</v>
      </c>
      <c r="N146" s="80">
        <f>INT((M146*Valores!$C$2*100)+0.5)/100</f>
        <v>0</v>
      </c>
      <c r="O146" s="80">
        <f t="shared" si="24"/>
        <v>0</v>
      </c>
      <c r="P146" s="80">
        <f t="shared" si="25"/>
        <v>4269.22</v>
      </c>
      <c r="Q146" s="85">
        <f>Valores!$C$20</f>
        <v>3519.79</v>
      </c>
      <c r="R146" s="85">
        <f>Valores!$D$4</f>
        <v>2683.49</v>
      </c>
      <c r="S146" s="85">
        <f>Valores!$C$26</f>
        <v>2700.67</v>
      </c>
      <c r="T146" s="88">
        <f>Valores!$C$42</f>
        <v>871.33</v>
      </c>
      <c r="U146" s="80">
        <f>Valores!$C$23</f>
        <v>2584.33</v>
      </c>
      <c r="V146" s="80">
        <f t="shared" si="23"/>
        <v>3876.495</v>
      </c>
      <c r="W146" s="80">
        <v>0</v>
      </c>
      <c r="X146" s="80">
        <v>0</v>
      </c>
      <c r="Y146" s="115">
        <v>0</v>
      </c>
      <c r="Z146" s="80">
        <f>Y146*Valores!$C$2</f>
        <v>0</v>
      </c>
      <c r="AA146" s="80">
        <v>0</v>
      </c>
      <c r="AB146" s="90">
        <f>Valores!$C$29</f>
        <v>151.15</v>
      </c>
      <c r="AC146" s="80">
        <f t="shared" si="26"/>
        <v>0</v>
      </c>
      <c r="AD146" s="80">
        <f>Valores!$C$30</f>
        <v>151.15</v>
      </c>
      <c r="AE146" s="115">
        <v>94</v>
      </c>
      <c r="AF146" s="80">
        <f>INT(((AE146*Valores!$C$2)*100)+0.5)/100</f>
        <v>563.93</v>
      </c>
      <c r="AG146" s="80">
        <f>Valores!$C$58</f>
        <v>307.46</v>
      </c>
      <c r="AH146" s="80">
        <f>Valores!$C$60</f>
        <v>87.85</v>
      </c>
      <c r="AI146" s="80">
        <f>SUM(H146,J146,L146,N146,O146,P146,Q146,R146,S146,T146,V146,W146,X146,Z146,AA146,AB146,AC146,AD146,AF146,AG146,AH146)*Valores!$C$63</f>
        <v>0</v>
      </c>
      <c r="AJ146" s="141">
        <f t="shared" si="27"/>
        <v>26849.645</v>
      </c>
      <c r="AK146" s="85">
        <f>Valores!$C$35</f>
        <v>415.59</v>
      </c>
      <c r="AL146" s="82">
        <f>Valores!$C$8</f>
        <v>234.26</v>
      </c>
      <c r="AM146" s="89">
        <f>Valores!$C$51</f>
        <v>128.84</v>
      </c>
      <c r="AN146" s="82">
        <f>IF($H$4="SI",SUM(AL146+AM146),AL146)*Valores!$C$63</f>
        <v>0</v>
      </c>
      <c r="AO146" s="185">
        <f t="shared" si="31"/>
        <v>778.6899999999999</v>
      </c>
      <c r="AP146" s="154">
        <f>AJ146*-Valores!$C$65</f>
        <v>-3490.4538500000003</v>
      </c>
      <c r="AQ146" s="154">
        <f>AJ146*-Valores!$C$66</f>
        <v>-134.248225</v>
      </c>
      <c r="AR146" s="81">
        <f>AJ146*-Valores!$C$67</f>
        <v>-1208.234025</v>
      </c>
      <c r="AS146" s="81">
        <f>AJ146*-Valores!$C$68</f>
        <v>-724.9404150000001</v>
      </c>
      <c r="AT146" s="81">
        <f>AJ146*-Valores!$C$69</f>
        <v>-80.548935</v>
      </c>
      <c r="AU146" s="54">
        <f t="shared" si="28"/>
        <v>22795.398899999997</v>
      </c>
      <c r="AV146" s="54">
        <f t="shared" si="29"/>
        <v>23198.143575</v>
      </c>
      <c r="AW146" s="81">
        <f>AJ146*Valores!$C$70</f>
        <v>4295.9432</v>
      </c>
      <c r="AX146" s="81">
        <f>AJ146*Valores!$C$71</f>
        <v>1208.234025</v>
      </c>
      <c r="AY146" s="81">
        <f>AJ146*Valores!$C$73</f>
        <v>268.49645</v>
      </c>
      <c r="AZ146" s="81">
        <f>AJ146*Valores!$C$74</f>
        <v>939.7375750000001</v>
      </c>
      <c r="BA146" s="81">
        <f>AJ146*Valores!$C$75</f>
        <v>161.09787</v>
      </c>
      <c r="BB146" s="81">
        <f t="shared" si="32"/>
        <v>1449.88083</v>
      </c>
      <c r="BC146" s="55"/>
      <c r="BD146" s="55">
        <v>20</v>
      </c>
      <c r="BE146" s="52" t="s">
        <v>462</v>
      </c>
    </row>
    <row r="147" spans="1:57" s="9" customFormat="1" ht="11.25" customHeight="1">
      <c r="A147" s="20">
        <v>146</v>
      </c>
      <c r="B147" s="20"/>
      <c r="C147" s="9" t="s">
        <v>270</v>
      </c>
      <c r="E147" s="9">
        <f t="shared" si="30"/>
        <v>26</v>
      </c>
      <c r="F147" s="10" t="s">
        <v>271</v>
      </c>
      <c r="G147" s="123">
        <v>1278</v>
      </c>
      <c r="H147" s="7">
        <f>INT((G147*Valores!$C$2*100)+0.5)/100</f>
        <v>7667.11</v>
      </c>
      <c r="I147" s="134">
        <v>0</v>
      </c>
      <c r="J147" s="77">
        <f>INT((I147*Valores!$C$2*100)+0.5)/100</f>
        <v>0</v>
      </c>
      <c r="K147" s="146">
        <v>0</v>
      </c>
      <c r="L147" s="77">
        <f>INT((K147*Valores!$C$2*100)+0.5)/100</f>
        <v>0</v>
      </c>
      <c r="M147" s="120">
        <v>0</v>
      </c>
      <c r="N147" s="77">
        <f>INT((M147*Valores!$C$2*100)+0.5)/100</f>
        <v>0</v>
      </c>
      <c r="O147" s="77">
        <f t="shared" si="24"/>
        <v>0</v>
      </c>
      <c r="P147" s="77">
        <f t="shared" si="25"/>
        <v>4269.22</v>
      </c>
      <c r="Q147" s="61">
        <f>Valores!$C$20</f>
        <v>3519.79</v>
      </c>
      <c r="R147" s="61">
        <f>Valores!$D$4</f>
        <v>2683.49</v>
      </c>
      <c r="S147" s="79">
        <f>Valores!$C$26</f>
        <v>2700.67</v>
      </c>
      <c r="T147" s="79">
        <f>Valores!$C$42</f>
        <v>871.33</v>
      </c>
      <c r="U147" s="61">
        <f>Valores!$C$23</f>
        <v>2584.33</v>
      </c>
      <c r="V147" s="77">
        <f t="shared" si="23"/>
        <v>3876.495</v>
      </c>
      <c r="W147" s="77">
        <v>0</v>
      </c>
      <c r="X147" s="77">
        <v>0</v>
      </c>
      <c r="Y147" s="116">
        <v>0</v>
      </c>
      <c r="Z147" s="77">
        <f>Y147*Valores!$C$2</f>
        <v>0</v>
      </c>
      <c r="AA147" s="77">
        <v>0</v>
      </c>
      <c r="AB147" s="89">
        <f>Valores!$C$29</f>
        <v>151.15</v>
      </c>
      <c r="AC147" s="77">
        <f t="shared" si="26"/>
        <v>0</v>
      </c>
      <c r="AD147" s="77">
        <f>Valores!$C$30</f>
        <v>151.15</v>
      </c>
      <c r="AE147" s="116">
        <v>0</v>
      </c>
      <c r="AF147" s="77">
        <f>INT(((AE147*Valores!$C$2)*100)+0.5)/100</f>
        <v>0</v>
      </c>
      <c r="AG147" s="77">
        <f>Valores!$C$58</f>
        <v>307.46</v>
      </c>
      <c r="AH147" s="77">
        <f>Valores!$C$60</f>
        <v>87.85</v>
      </c>
      <c r="AI147" s="77">
        <f>SUM(H147,J147,L147,N147,O147,P147,Q147,R147,S147,T147,V147,W147,X147,Z147,AA147,AB147,AC147,AD147,AF147,AG147,AH147)*Valores!$C$63</f>
        <v>0</v>
      </c>
      <c r="AJ147" s="140">
        <f t="shared" si="27"/>
        <v>26285.715</v>
      </c>
      <c r="AK147" s="61">
        <f>Valores!$C$35</f>
        <v>415.59</v>
      </c>
      <c r="AL147" s="79">
        <f>Valores!$C$8</f>
        <v>234.26</v>
      </c>
      <c r="AM147" s="89">
        <f>Valores!$C$51</f>
        <v>128.84</v>
      </c>
      <c r="AN147" s="79">
        <f>IF($H$4="SI",SUM(AL147+AM147),AL147)*Valores!$C$63</f>
        <v>0</v>
      </c>
      <c r="AO147" s="12">
        <f t="shared" si="31"/>
        <v>778.6899999999999</v>
      </c>
      <c r="AP147" s="13">
        <f>AJ147*-Valores!$C$65</f>
        <v>-3417.14295</v>
      </c>
      <c r="AQ147" s="13">
        <f>AJ147*-Valores!$C$66</f>
        <v>-131.428575</v>
      </c>
      <c r="AR147" s="78">
        <f>AJ147*-Valores!$C$67</f>
        <v>-1182.8571749999999</v>
      </c>
      <c r="AS147" s="78">
        <f>AJ147*-Valores!$C$68</f>
        <v>-709.7143050000001</v>
      </c>
      <c r="AT147" s="78">
        <f>AJ147*-Valores!$C$69</f>
        <v>-78.857145</v>
      </c>
      <c r="AU147" s="15">
        <f t="shared" si="28"/>
        <v>22332.976299999995</v>
      </c>
      <c r="AV147" s="15">
        <f t="shared" si="29"/>
        <v>22727.262024999993</v>
      </c>
      <c r="AW147" s="78">
        <f>AJ147*Valores!$C$70</f>
        <v>4205.7144</v>
      </c>
      <c r="AX147" s="78">
        <f>AJ147*Valores!$C$71</f>
        <v>1182.8571749999999</v>
      </c>
      <c r="AY147" s="78">
        <f>AJ147*Valores!$C$73</f>
        <v>262.85715</v>
      </c>
      <c r="AZ147" s="78">
        <f>AJ147*Valores!$C$74</f>
        <v>920.000025</v>
      </c>
      <c r="BA147" s="78">
        <f>AJ147*Valores!$C$75</f>
        <v>157.71429</v>
      </c>
      <c r="BB147" s="78">
        <f t="shared" si="32"/>
        <v>1419.42861</v>
      </c>
      <c r="BC147" s="20"/>
      <c r="BD147" s="20">
        <v>22</v>
      </c>
      <c r="BE147" s="9" t="s">
        <v>462</v>
      </c>
    </row>
    <row r="148" spans="1:57" s="9" customFormat="1" ht="11.25" customHeight="1">
      <c r="A148" s="20">
        <v>147</v>
      </c>
      <c r="B148" s="20"/>
      <c r="C148" s="9" t="s">
        <v>272</v>
      </c>
      <c r="E148" s="9">
        <f t="shared" si="30"/>
        <v>26</v>
      </c>
      <c r="F148" s="10" t="s">
        <v>273</v>
      </c>
      <c r="G148" s="123">
        <v>1278</v>
      </c>
      <c r="H148" s="7">
        <f>INT((G148*Valores!$C$2*100)+0.5)/100</f>
        <v>7667.11</v>
      </c>
      <c r="I148" s="134">
        <v>0</v>
      </c>
      <c r="J148" s="77">
        <f>INT((I148*Valores!$C$2*100)+0.5)/100</f>
        <v>0</v>
      </c>
      <c r="K148" s="146">
        <v>0</v>
      </c>
      <c r="L148" s="77">
        <f>INT((K148*Valores!$C$2*100)+0.5)/100</f>
        <v>0</v>
      </c>
      <c r="M148" s="120">
        <v>0</v>
      </c>
      <c r="N148" s="77">
        <f>INT((M148*Valores!$C$2*100)+0.5)/100</f>
        <v>0</v>
      </c>
      <c r="O148" s="77">
        <f t="shared" si="24"/>
        <v>0</v>
      </c>
      <c r="P148" s="77">
        <f t="shared" si="25"/>
        <v>4269.22</v>
      </c>
      <c r="Q148" s="61">
        <f>Valores!$C$20</f>
        <v>3519.79</v>
      </c>
      <c r="R148" s="61">
        <f>Valores!$D$4</f>
        <v>2683.49</v>
      </c>
      <c r="S148" s="79">
        <v>0</v>
      </c>
      <c r="T148" s="79">
        <f>Valores!$C$42</f>
        <v>871.33</v>
      </c>
      <c r="U148" s="61">
        <f>Valores!$C$24</f>
        <v>2549.17</v>
      </c>
      <c r="V148" s="77">
        <f t="shared" si="23"/>
        <v>3823.755</v>
      </c>
      <c r="W148" s="77">
        <v>0</v>
      </c>
      <c r="X148" s="77">
        <v>0</v>
      </c>
      <c r="Y148" s="116">
        <v>0</v>
      </c>
      <c r="Z148" s="77">
        <f>Y148*Valores!$C$2</f>
        <v>0</v>
      </c>
      <c r="AA148" s="77">
        <v>0</v>
      </c>
      <c r="AB148" s="89">
        <f>Valores!$C$29</f>
        <v>151.15</v>
      </c>
      <c r="AC148" s="77">
        <f t="shared" si="26"/>
        <v>0</v>
      </c>
      <c r="AD148" s="77">
        <f>Valores!$C$30</f>
        <v>151.15</v>
      </c>
      <c r="AE148" s="116">
        <v>0</v>
      </c>
      <c r="AF148" s="77">
        <f>INT(((AE148*Valores!$C$2)*100)+0.5)/100</f>
        <v>0</v>
      </c>
      <c r="AG148" s="77">
        <f>Valores!$C$58</f>
        <v>307.46</v>
      </c>
      <c r="AH148" s="77">
        <f>Valores!$C$60</f>
        <v>87.85</v>
      </c>
      <c r="AI148" s="77">
        <f>SUM(H148,J148,L148,N148,O148,P148,Q148,R148,S148,T148,V148,W148,X148,Z148,AA148,AB148,AC148,AD148,AF148,AG148,AH148)*Valores!$C$63</f>
        <v>0</v>
      </c>
      <c r="AJ148" s="140">
        <f t="shared" si="27"/>
        <v>23532.305000000004</v>
      </c>
      <c r="AK148" s="61">
        <f>Valores!$C$35</f>
        <v>415.59</v>
      </c>
      <c r="AL148" s="79">
        <f>Valores!$C$8</f>
        <v>234.26</v>
      </c>
      <c r="AM148" s="89">
        <f>Valores!$C$51</f>
        <v>128.84</v>
      </c>
      <c r="AN148" s="79">
        <f>IF($H$4="SI",SUM(AL148+AM148),AL148)*Valores!$C$63</f>
        <v>0</v>
      </c>
      <c r="AO148" s="12">
        <f t="shared" si="31"/>
        <v>778.6899999999999</v>
      </c>
      <c r="AP148" s="13">
        <f>AJ148*-Valores!$C$65</f>
        <v>-3059.1996500000005</v>
      </c>
      <c r="AQ148" s="13">
        <f>AJ148*-Valores!$C$66</f>
        <v>-117.66152500000003</v>
      </c>
      <c r="AR148" s="78">
        <f>AJ148*-Valores!$C$67</f>
        <v>-1058.953725</v>
      </c>
      <c r="AS148" s="78">
        <f>AJ148*-Valores!$C$68</f>
        <v>-635.3722350000002</v>
      </c>
      <c r="AT148" s="78">
        <f>AJ148*-Valores!$C$69</f>
        <v>-70.59691500000001</v>
      </c>
      <c r="AU148" s="15">
        <f t="shared" si="28"/>
        <v>20075.180100000005</v>
      </c>
      <c r="AV148" s="15">
        <f t="shared" si="29"/>
        <v>20428.164675000004</v>
      </c>
      <c r="AW148" s="78">
        <f>AJ148*Valores!$C$70</f>
        <v>3765.168800000001</v>
      </c>
      <c r="AX148" s="78">
        <f>AJ148*Valores!$C$71</f>
        <v>1058.953725</v>
      </c>
      <c r="AY148" s="78">
        <f>AJ148*Valores!$C$73</f>
        <v>235.32305000000005</v>
      </c>
      <c r="AZ148" s="78">
        <f>AJ148*Valores!$C$74</f>
        <v>823.6306750000002</v>
      </c>
      <c r="BA148" s="78">
        <f>AJ148*Valores!$C$75</f>
        <v>141.19383000000002</v>
      </c>
      <c r="BB148" s="78">
        <f t="shared" si="32"/>
        <v>1270.7444700000003</v>
      </c>
      <c r="BC148" s="20"/>
      <c r="BD148" s="20"/>
      <c r="BE148" s="9" t="s">
        <v>461</v>
      </c>
    </row>
    <row r="149" spans="1:57" s="9" customFormat="1" ht="11.25" customHeight="1">
      <c r="A149" s="20">
        <v>148</v>
      </c>
      <c r="B149" s="20"/>
      <c r="C149" s="9" t="s">
        <v>274</v>
      </c>
      <c r="E149" s="9">
        <f t="shared" si="30"/>
        <v>37</v>
      </c>
      <c r="F149" s="10" t="s">
        <v>275</v>
      </c>
      <c r="G149" s="123">
        <v>1278</v>
      </c>
      <c r="H149" s="7">
        <f>INT((G149*Valores!$C$2*100)+0.5)/100</f>
        <v>7667.11</v>
      </c>
      <c r="I149" s="134">
        <v>0</v>
      </c>
      <c r="J149" s="77">
        <f>INT((I149*Valores!$C$2*100)+0.5)/100</f>
        <v>0</v>
      </c>
      <c r="K149" s="146">
        <v>0</v>
      </c>
      <c r="L149" s="77">
        <f>INT((K149*Valores!$C$2*100)+0.5)/100</f>
        <v>0</v>
      </c>
      <c r="M149" s="120">
        <v>0</v>
      </c>
      <c r="N149" s="77">
        <f>INT((M149*Valores!$C$2*100)+0.5)/100</f>
        <v>0</v>
      </c>
      <c r="O149" s="77">
        <f t="shared" si="24"/>
        <v>0</v>
      </c>
      <c r="P149" s="77">
        <f t="shared" si="25"/>
        <v>4269.22</v>
      </c>
      <c r="Q149" s="61">
        <f>Valores!$C$20</f>
        <v>3519.79</v>
      </c>
      <c r="R149" s="61">
        <f>Valores!$D$4</f>
        <v>2683.49</v>
      </c>
      <c r="S149" s="79">
        <v>0</v>
      </c>
      <c r="T149" s="79">
        <f>Valores!$C$42</f>
        <v>871.33</v>
      </c>
      <c r="U149" s="61">
        <f>Valores!$C$24</f>
        <v>2549.17</v>
      </c>
      <c r="V149" s="77">
        <f t="shared" si="23"/>
        <v>3823.755</v>
      </c>
      <c r="W149" s="77">
        <v>0</v>
      </c>
      <c r="X149" s="77">
        <v>0</v>
      </c>
      <c r="Y149" s="116">
        <v>0</v>
      </c>
      <c r="Z149" s="77">
        <f>Y149*Valores!$C$2</f>
        <v>0</v>
      </c>
      <c r="AA149" s="77">
        <v>0</v>
      </c>
      <c r="AB149" s="89">
        <f>Valores!$C$29</f>
        <v>151.15</v>
      </c>
      <c r="AC149" s="77">
        <f t="shared" si="26"/>
        <v>0</v>
      </c>
      <c r="AD149" s="77">
        <f>Valores!$C$30</f>
        <v>151.15</v>
      </c>
      <c r="AE149" s="116">
        <v>0</v>
      </c>
      <c r="AF149" s="77">
        <f>INT(((AE149*Valores!$C$2)*100)+0.5)/100</f>
        <v>0</v>
      </c>
      <c r="AG149" s="77">
        <f>Valores!$C$58</f>
        <v>307.46</v>
      </c>
      <c r="AH149" s="77">
        <f>Valores!$C$60</f>
        <v>87.85</v>
      </c>
      <c r="AI149" s="77">
        <f>SUM(H149,J149,L149,N149,O149,P149,Q149,R149,S149,T149,V149,W149,X149,Z149,AA149,AB149,AC149,AD149,AF149,AG149,AH149)*Valores!$C$63</f>
        <v>0</v>
      </c>
      <c r="AJ149" s="140">
        <f t="shared" si="27"/>
        <v>23532.305000000004</v>
      </c>
      <c r="AK149" s="61">
        <f>Valores!$C$35</f>
        <v>415.59</v>
      </c>
      <c r="AL149" s="79">
        <f>Valores!$C$8</f>
        <v>234.26</v>
      </c>
      <c r="AM149" s="89">
        <f>Valores!$C$51</f>
        <v>128.84</v>
      </c>
      <c r="AN149" s="79">
        <f>IF($H$4="SI",SUM(AL149+AM149),AL149)*Valores!$C$63</f>
        <v>0</v>
      </c>
      <c r="AO149" s="12">
        <f t="shared" si="31"/>
        <v>778.6899999999999</v>
      </c>
      <c r="AP149" s="13">
        <f>AJ149*-Valores!$C$65</f>
        <v>-3059.1996500000005</v>
      </c>
      <c r="AQ149" s="13">
        <f>AJ149*-Valores!$C$66</f>
        <v>-117.66152500000003</v>
      </c>
      <c r="AR149" s="78">
        <f>AJ149*-Valores!$C$67</f>
        <v>-1058.953725</v>
      </c>
      <c r="AS149" s="78">
        <f>AJ149*-Valores!$C$68</f>
        <v>-635.3722350000002</v>
      </c>
      <c r="AT149" s="78">
        <f>AJ149*-Valores!$C$69</f>
        <v>-70.59691500000001</v>
      </c>
      <c r="AU149" s="15">
        <f t="shared" si="28"/>
        <v>20075.180100000005</v>
      </c>
      <c r="AV149" s="15">
        <f t="shared" si="29"/>
        <v>20428.164675000004</v>
      </c>
      <c r="AW149" s="78">
        <f>AJ149*Valores!$C$70</f>
        <v>3765.168800000001</v>
      </c>
      <c r="AX149" s="78">
        <f>AJ149*Valores!$C$71</f>
        <v>1058.953725</v>
      </c>
      <c r="AY149" s="78">
        <f>AJ149*Valores!$C$73</f>
        <v>235.32305000000005</v>
      </c>
      <c r="AZ149" s="78">
        <f>AJ149*Valores!$C$74</f>
        <v>823.6306750000002</v>
      </c>
      <c r="BA149" s="78">
        <f>AJ149*Valores!$C$75</f>
        <v>141.19383000000002</v>
      </c>
      <c r="BB149" s="78">
        <f t="shared" si="32"/>
        <v>1270.7444700000003</v>
      </c>
      <c r="BC149" s="20"/>
      <c r="BD149" s="55"/>
      <c r="BE149" s="9" t="s">
        <v>461</v>
      </c>
    </row>
    <row r="150" spans="1:57" s="9" customFormat="1" ht="11.25" customHeight="1">
      <c r="A150" s="20">
        <v>149</v>
      </c>
      <c r="B150" s="20"/>
      <c r="C150" s="9" t="s">
        <v>276</v>
      </c>
      <c r="E150" s="9">
        <f t="shared" si="30"/>
        <v>27</v>
      </c>
      <c r="F150" s="10" t="s">
        <v>277</v>
      </c>
      <c r="G150" s="123">
        <v>1060</v>
      </c>
      <c r="H150" s="7">
        <f>INT((G150*Valores!$C$2*100)+0.5)/100</f>
        <v>6359.26</v>
      </c>
      <c r="I150" s="134">
        <v>0</v>
      </c>
      <c r="J150" s="77">
        <f>INT((I150*Valores!$C$2*100)+0.5)/100</f>
        <v>0</v>
      </c>
      <c r="K150" s="146">
        <v>0</v>
      </c>
      <c r="L150" s="77">
        <f>INT((K150*Valores!$C$2*100)+0.5)/100</f>
        <v>0</v>
      </c>
      <c r="M150" s="120">
        <v>0</v>
      </c>
      <c r="N150" s="77">
        <f>INT((M150*Valores!$C$2*100)+0.5)/100</f>
        <v>0</v>
      </c>
      <c r="O150" s="77">
        <f t="shared" si="24"/>
        <v>0</v>
      </c>
      <c r="P150" s="77">
        <f t="shared" si="25"/>
        <v>3615.295</v>
      </c>
      <c r="Q150" s="61">
        <f>Valores!$C$20</f>
        <v>3519.79</v>
      </c>
      <c r="R150" s="61">
        <f>Valores!$D$4</f>
        <v>2683.49</v>
      </c>
      <c r="S150" s="87">
        <f>Valores!$C$26</f>
        <v>2700.67</v>
      </c>
      <c r="T150" s="87">
        <f>Valores!$C$42</f>
        <v>871.33</v>
      </c>
      <c r="U150" s="77">
        <f>Valores!$C$23</f>
        <v>2584.33</v>
      </c>
      <c r="V150" s="77">
        <f t="shared" si="23"/>
        <v>3876.495</v>
      </c>
      <c r="W150" s="77">
        <v>0</v>
      </c>
      <c r="X150" s="77">
        <v>0</v>
      </c>
      <c r="Y150" s="116">
        <v>0</v>
      </c>
      <c r="Z150" s="77">
        <f>Y150*Valores!$C$2</f>
        <v>0</v>
      </c>
      <c r="AA150" s="77">
        <v>0</v>
      </c>
      <c r="AB150" s="89">
        <f>Valores!$C$29</f>
        <v>151.15</v>
      </c>
      <c r="AC150" s="77">
        <f t="shared" si="26"/>
        <v>0</v>
      </c>
      <c r="AD150" s="77">
        <f>Valores!$C$30</f>
        <v>151.15</v>
      </c>
      <c r="AE150" s="116">
        <v>0</v>
      </c>
      <c r="AF150" s="77">
        <f>INT(((AE150*Valores!$C$2)*100)+0.5)/100</f>
        <v>0</v>
      </c>
      <c r="AG150" s="77">
        <f>Valores!$C$58</f>
        <v>307.46</v>
      </c>
      <c r="AH150" s="77">
        <f>Valores!$C$60</f>
        <v>87.85</v>
      </c>
      <c r="AI150" s="77">
        <f>SUM(H150,J150,L150,N150,O150,P150,Q150,R150,S150,T150,V150,W150,X150,Z150,AA150,AB150,AC150,AD150,AF150,AG150,AH150)*Valores!$C$63</f>
        <v>0</v>
      </c>
      <c r="AJ150" s="140">
        <f t="shared" si="27"/>
        <v>24323.940000000002</v>
      </c>
      <c r="AK150" s="61">
        <f>Valores!$C$35</f>
        <v>415.59</v>
      </c>
      <c r="AL150" s="79">
        <f>Valores!$C$8</f>
        <v>234.26</v>
      </c>
      <c r="AM150" s="89">
        <f>Valores!$C$51</f>
        <v>128.84</v>
      </c>
      <c r="AN150" s="79">
        <f>IF($H$4="SI",SUM(AL150+AM150),AL150)*Valores!$C$63</f>
        <v>0</v>
      </c>
      <c r="AO150" s="12">
        <f t="shared" si="31"/>
        <v>778.6899999999999</v>
      </c>
      <c r="AP150" s="13">
        <f>AJ150*-Valores!$C$65</f>
        <v>-3162.1122000000005</v>
      </c>
      <c r="AQ150" s="13">
        <f>AJ150*-Valores!$C$66</f>
        <v>-121.61970000000001</v>
      </c>
      <c r="AR150" s="78">
        <f>AJ150*-Valores!$C$67</f>
        <v>-1094.5773000000002</v>
      </c>
      <c r="AS150" s="78">
        <f>AJ150*-Valores!$C$68</f>
        <v>-656.7463800000002</v>
      </c>
      <c r="AT150" s="78">
        <f>AJ150*-Valores!$C$69</f>
        <v>-72.97182000000001</v>
      </c>
      <c r="AU150" s="15">
        <f t="shared" si="28"/>
        <v>20724.3208</v>
      </c>
      <c r="AV150" s="15">
        <f t="shared" si="29"/>
        <v>21089.179900000003</v>
      </c>
      <c r="AW150" s="78">
        <f>AJ150*Valores!$C$70</f>
        <v>3891.8304000000003</v>
      </c>
      <c r="AX150" s="78">
        <f>AJ150*Valores!$C$71</f>
        <v>1094.5773000000002</v>
      </c>
      <c r="AY150" s="78">
        <f>AJ150*Valores!$C$73</f>
        <v>243.23940000000002</v>
      </c>
      <c r="AZ150" s="78">
        <f>AJ150*Valores!$C$74</f>
        <v>851.3379000000002</v>
      </c>
      <c r="BA150" s="78">
        <f>AJ150*Valores!$C$75</f>
        <v>145.94364000000002</v>
      </c>
      <c r="BB150" s="78">
        <f t="shared" si="32"/>
        <v>1313.49276</v>
      </c>
      <c r="BC150" s="20"/>
      <c r="BD150" s="20"/>
      <c r="BE150" s="9" t="s">
        <v>462</v>
      </c>
    </row>
    <row r="151" spans="1:57" s="9" customFormat="1" ht="11.25" customHeight="1">
      <c r="A151" s="55">
        <v>150</v>
      </c>
      <c r="B151" s="55" t="s">
        <v>458</v>
      </c>
      <c r="C151" s="52" t="s">
        <v>278</v>
      </c>
      <c r="D151" s="52"/>
      <c r="E151" s="52">
        <f t="shared" si="30"/>
        <v>23</v>
      </c>
      <c r="F151" s="53" t="s">
        <v>279</v>
      </c>
      <c r="G151" s="124">
        <v>1278</v>
      </c>
      <c r="H151" s="129">
        <f>INT((G151*Valores!$C$2*100)+0.5)/100</f>
        <v>7667.11</v>
      </c>
      <c r="I151" s="133">
        <v>0</v>
      </c>
      <c r="J151" s="80">
        <f>INT((I151*Valores!$C$2*100)+0.5)/100</f>
        <v>0</v>
      </c>
      <c r="K151" s="147">
        <v>0</v>
      </c>
      <c r="L151" s="80">
        <f>INT((K151*Valores!$C$2*100)+0.5)/100</f>
        <v>0</v>
      </c>
      <c r="M151" s="121">
        <v>0</v>
      </c>
      <c r="N151" s="80">
        <f>INT((M151*Valores!$C$2*100)+0.5)/100</f>
        <v>0</v>
      </c>
      <c r="O151" s="80">
        <f t="shared" si="24"/>
        <v>0</v>
      </c>
      <c r="P151" s="80">
        <f t="shared" si="25"/>
        <v>4269.22</v>
      </c>
      <c r="Q151" s="85">
        <f>Valores!$C$20</f>
        <v>3519.79</v>
      </c>
      <c r="R151" s="85">
        <f>Valores!$D$4</f>
        <v>2683.49</v>
      </c>
      <c r="S151" s="88">
        <f>Valores!$C$26</f>
        <v>2700.67</v>
      </c>
      <c r="T151" s="88">
        <f>Valores!$C$42</f>
        <v>871.33</v>
      </c>
      <c r="U151" s="85">
        <f>Valores!$C$24</f>
        <v>2549.17</v>
      </c>
      <c r="V151" s="80">
        <f t="shared" si="23"/>
        <v>3823.755</v>
      </c>
      <c r="W151" s="80">
        <v>0</v>
      </c>
      <c r="X151" s="80">
        <v>0</v>
      </c>
      <c r="Y151" s="115">
        <v>0</v>
      </c>
      <c r="Z151" s="80">
        <f>Y151*Valores!$C$2</f>
        <v>0</v>
      </c>
      <c r="AA151" s="80">
        <v>0</v>
      </c>
      <c r="AB151" s="90">
        <f>Valores!$C$29</f>
        <v>151.15</v>
      </c>
      <c r="AC151" s="80">
        <f t="shared" si="26"/>
        <v>0</v>
      </c>
      <c r="AD151" s="80">
        <f>Valores!$C$30</f>
        <v>151.15</v>
      </c>
      <c r="AE151" s="115">
        <v>0</v>
      </c>
      <c r="AF151" s="80">
        <f>INT(((AE151*Valores!$C$2)*100)+0.5)/100</f>
        <v>0</v>
      </c>
      <c r="AG151" s="80">
        <f>Valores!$C$58</f>
        <v>307.46</v>
      </c>
      <c r="AH151" s="80">
        <f>Valores!$C$60</f>
        <v>87.85</v>
      </c>
      <c r="AI151" s="80">
        <f>SUM(H151,J151,L151,N151,O151,P151,Q151,R151,S151,T151,V151,W151,X151,Z151,AA151,AB151,AC151,AD151,AF151,AG151,AH151)*Valores!$C$63</f>
        <v>0</v>
      </c>
      <c r="AJ151" s="141">
        <f t="shared" si="27"/>
        <v>26232.975000000002</v>
      </c>
      <c r="AK151" s="85">
        <f>Valores!$C$35</f>
        <v>415.59</v>
      </c>
      <c r="AL151" s="82">
        <f>Valores!$C$8</f>
        <v>234.26</v>
      </c>
      <c r="AM151" s="90">
        <f>Valores!$C$51</f>
        <v>128.84</v>
      </c>
      <c r="AN151" s="82">
        <f>IF($H$4="SI",SUM(AL151+AM151),AL151)*Valores!$C$63</f>
        <v>0</v>
      </c>
      <c r="AO151" s="185">
        <f t="shared" si="31"/>
        <v>778.6899999999999</v>
      </c>
      <c r="AP151" s="154">
        <f>AJ151*-Valores!$C$65</f>
        <v>-3410.28675</v>
      </c>
      <c r="AQ151" s="154">
        <f>AJ151*-Valores!$C$66</f>
        <v>-131.16487500000002</v>
      </c>
      <c r="AR151" s="81">
        <f>AJ151*-Valores!$C$67</f>
        <v>-1180.4838750000001</v>
      </c>
      <c r="AS151" s="81">
        <f>AJ151*-Valores!$C$68</f>
        <v>-708.2903250000002</v>
      </c>
      <c r="AT151" s="81">
        <f>AJ151*-Valores!$C$69</f>
        <v>-78.698925</v>
      </c>
      <c r="AU151" s="54">
        <f t="shared" si="28"/>
        <v>22289.7295</v>
      </c>
      <c r="AV151" s="54">
        <f t="shared" si="29"/>
        <v>22683.224125</v>
      </c>
      <c r="AW151" s="81">
        <f>AJ151*Valores!$C$70</f>
        <v>4197.276000000001</v>
      </c>
      <c r="AX151" s="81">
        <f>AJ151*Valores!$C$71</f>
        <v>1180.4838750000001</v>
      </c>
      <c r="AY151" s="81">
        <f>AJ151*Valores!$C$73</f>
        <v>262.32975000000005</v>
      </c>
      <c r="AZ151" s="81">
        <f>AJ151*Valores!$C$74</f>
        <v>918.1541250000001</v>
      </c>
      <c r="BA151" s="81">
        <f>AJ151*Valores!$C$75</f>
        <v>157.39785</v>
      </c>
      <c r="BB151" s="81">
        <f t="shared" si="32"/>
        <v>1416.5806500000003</v>
      </c>
      <c r="BC151" s="55"/>
      <c r="BD151" s="55">
        <v>22</v>
      </c>
      <c r="BE151" s="52" t="s">
        <v>462</v>
      </c>
    </row>
    <row r="152" spans="1:57" s="9" customFormat="1" ht="11.25" customHeight="1">
      <c r="A152" s="20">
        <v>151</v>
      </c>
      <c r="B152" s="20"/>
      <c r="C152" s="9" t="s">
        <v>280</v>
      </c>
      <c r="E152" s="9">
        <f t="shared" si="30"/>
        <v>18</v>
      </c>
      <c r="F152" s="10" t="s">
        <v>281</v>
      </c>
      <c r="G152" s="123">
        <v>1278</v>
      </c>
      <c r="H152" s="7">
        <f>INT((G152*Valores!$C$2*100)+0.5)/100</f>
        <v>7667.11</v>
      </c>
      <c r="I152" s="134">
        <v>0</v>
      </c>
      <c r="J152" s="77">
        <f>INT((I152*Valores!$C$2*100)+0.5)/100</f>
        <v>0</v>
      </c>
      <c r="K152" s="146">
        <v>0</v>
      </c>
      <c r="L152" s="77">
        <f>INT((K152*Valores!$C$2*100)+0.5)/100</f>
        <v>0</v>
      </c>
      <c r="M152" s="120">
        <v>0</v>
      </c>
      <c r="N152" s="77">
        <f>INT((M152*Valores!$C$2*100)+0.5)/100</f>
        <v>0</v>
      </c>
      <c r="O152" s="77">
        <f t="shared" si="24"/>
        <v>0</v>
      </c>
      <c r="P152" s="77">
        <f t="shared" si="25"/>
        <v>4269.22</v>
      </c>
      <c r="Q152" s="61">
        <f>Valores!$C$20</f>
        <v>3519.79</v>
      </c>
      <c r="R152" s="61">
        <f>Valores!$D$4</f>
        <v>2683.49</v>
      </c>
      <c r="S152" s="79">
        <f>Valores!$C$26</f>
        <v>2700.67</v>
      </c>
      <c r="T152" s="79">
        <f>Valores!$C$42</f>
        <v>871.33</v>
      </c>
      <c r="U152" s="77">
        <f>Valores!$C$23</f>
        <v>2584.33</v>
      </c>
      <c r="V152" s="77">
        <f t="shared" si="23"/>
        <v>3876.495</v>
      </c>
      <c r="W152" s="77">
        <v>0</v>
      </c>
      <c r="X152" s="77">
        <v>0</v>
      </c>
      <c r="Y152" s="116">
        <v>0</v>
      </c>
      <c r="Z152" s="77">
        <f>Y152*Valores!$C$2</f>
        <v>0</v>
      </c>
      <c r="AA152" s="77">
        <v>0</v>
      </c>
      <c r="AB152" s="89">
        <f>Valores!$C$29</f>
        <v>151.15</v>
      </c>
      <c r="AC152" s="77">
        <f t="shared" si="26"/>
        <v>0</v>
      </c>
      <c r="AD152" s="77">
        <f>Valores!$C$30</f>
        <v>151.15</v>
      </c>
      <c r="AE152" s="116">
        <v>0</v>
      </c>
      <c r="AF152" s="77">
        <f>INT(((AE152*Valores!$C$2)*100)+0.5)/100</f>
        <v>0</v>
      </c>
      <c r="AG152" s="77">
        <f>Valores!$C$58</f>
        <v>307.46</v>
      </c>
      <c r="AH152" s="77">
        <f>Valores!$C$60</f>
        <v>87.85</v>
      </c>
      <c r="AI152" s="77">
        <f>SUM(H152,J152,L152,N152,O152,P152,Q152,R152,S152,T152,V152,W152,X152,Z152,AA152,AB152,AC152,AD152,AF152,AG152,AH152)*Valores!$C$63</f>
        <v>0</v>
      </c>
      <c r="AJ152" s="140">
        <f t="shared" si="27"/>
        <v>26285.715</v>
      </c>
      <c r="AK152" s="61">
        <f>Valores!$C$35</f>
        <v>415.59</v>
      </c>
      <c r="AL152" s="79">
        <f>Valores!$C$8</f>
        <v>234.26</v>
      </c>
      <c r="AM152" s="89">
        <f>Valores!$C$51</f>
        <v>128.84</v>
      </c>
      <c r="AN152" s="79">
        <f>IF($H$4="SI",SUM(AL152+AM152),AL152)*Valores!$C$63</f>
        <v>0</v>
      </c>
      <c r="AO152" s="12">
        <f t="shared" si="31"/>
        <v>778.6899999999999</v>
      </c>
      <c r="AP152" s="13">
        <f>AJ152*-Valores!$C$65</f>
        <v>-3417.14295</v>
      </c>
      <c r="AQ152" s="13">
        <f>AJ152*-Valores!$C$66</f>
        <v>-131.428575</v>
      </c>
      <c r="AR152" s="78">
        <f>AJ152*-Valores!$C$67</f>
        <v>-1182.8571749999999</v>
      </c>
      <c r="AS152" s="78">
        <f>AJ152*-Valores!$C$68</f>
        <v>-709.7143050000001</v>
      </c>
      <c r="AT152" s="78">
        <f>AJ152*-Valores!$C$69</f>
        <v>-78.857145</v>
      </c>
      <c r="AU152" s="15">
        <f t="shared" si="28"/>
        <v>22332.976299999995</v>
      </c>
      <c r="AV152" s="15">
        <f t="shared" si="29"/>
        <v>22727.262024999993</v>
      </c>
      <c r="AW152" s="78">
        <f>AJ152*Valores!$C$70</f>
        <v>4205.7144</v>
      </c>
      <c r="AX152" s="78">
        <f>AJ152*Valores!$C$71</f>
        <v>1182.8571749999999</v>
      </c>
      <c r="AY152" s="78">
        <f>AJ152*Valores!$C$73</f>
        <v>262.85715</v>
      </c>
      <c r="AZ152" s="78">
        <f>AJ152*Valores!$C$74</f>
        <v>920.000025</v>
      </c>
      <c r="BA152" s="78">
        <f>AJ152*Valores!$C$75</f>
        <v>157.71429</v>
      </c>
      <c r="BB152" s="78">
        <f t="shared" si="32"/>
        <v>1419.42861</v>
      </c>
      <c r="BC152" s="20"/>
      <c r="BD152" s="20">
        <v>25</v>
      </c>
      <c r="BE152" s="9" t="s">
        <v>462</v>
      </c>
    </row>
    <row r="153" spans="1:57" s="9" customFormat="1" ht="11.25" customHeight="1">
      <c r="A153" s="20">
        <v>152</v>
      </c>
      <c r="B153" s="20"/>
      <c r="C153" s="9" t="s">
        <v>282</v>
      </c>
      <c r="E153" s="9">
        <f t="shared" si="30"/>
        <v>13</v>
      </c>
      <c r="F153" s="10" t="s">
        <v>283</v>
      </c>
      <c r="G153" s="123">
        <v>1065</v>
      </c>
      <c r="H153" s="7">
        <f>INT((G153*Valores!$C$2*100)+0.5)/100</f>
        <v>6389.26</v>
      </c>
      <c r="I153" s="134">
        <v>0</v>
      </c>
      <c r="J153" s="77">
        <f>INT((I153*Valores!$C$2*100)+0.5)/100</f>
        <v>0</v>
      </c>
      <c r="K153" s="146">
        <v>0</v>
      </c>
      <c r="L153" s="77">
        <f>INT((K153*Valores!$C$2*100)+0.5)/100</f>
        <v>0</v>
      </c>
      <c r="M153" s="120">
        <v>0</v>
      </c>
      <c r="N153" s="77">
        <f>INT((M153*Valores!$C$2*100)+0.5)/100</f>
        <v>0</v>
      </c>
      <c r="O153" s="77">
        <f t="shared" si="24"/>
        <v>0</v>
      </c>
      <c r="P153" s="77">
        <f t="shared" si="25"/>
        <v>3575.83</v>
      </c>
      <c r="Q153" s="61">
        <f>Valores!$C$20</f>
        <v>3519.79</v>
      </c>
      <c r="R153" s="61">
        <f>Valores!$D$4</f>
        <v>2683.49</v>
      </c>
      <c r="S153" s="79">
        <f>Valores!$C$27</f>
        <v>2472.27</v>
      </c>
      <c r="T153" s="79">
        <f>Valores!$C$41</f>
        <v>762.4</v>
      </c>
      <c r="U153" s="61">
        <f>Valores!$C$23</f>
        <v>2584.33</v>
      </c>
      <c r="V153" s="77">
        <f t="shared" si="23"/>
        <v>3876.495</v>
      </c>
      <c r="W153" s="77">
        <v>0</v>
      </c>
      <c r="X153" s="77">
        <v>0</v>
      </c>
      <c r="Y153" s="116">
        <v>0</v>
      </c>
      <c r="Z153" s="77">
        <f>Y153*Valores!$C$2</f>
        <v>0</v>
      </c>
      <c r="AA153" s="77">
        <v>0</v>
      </c>
      <c r="AB153" s="89">
        <f>Valores!$C$29</f>
        <v>151.15</v>
      </c>
      <c r="AC153" s="77">
        <f t="shared" si="26"/>
        <v>0</v>
      </c>
      <c r="AD153" s="77">
        <f>Valores!$C$30</f>
        <v>151.15</v>
      </c>
      <c r="AE153" s="116">
        <v>0</v>
      </c>
      <c r="AF153" s="77">
        <f>INT(((AE153*Valores!$C$2)*100)+0.5)/100</f>
        <v>0</v>
      </c>
      <c r="AG153" s="77">
        <f>Valores!$C$58</f>
        <v>307.46</v>
      </c>
      <c r="AH153" s="77">
        <f>Valores!$C$60</f>
        <v>87.85</v>
      </c>
      <c r="AI153" s="77">
        <f>SUM(H153,J153,L153,N153,O153,P153,Q153,R153,S153,T153,V153,W153,X153,Z153,AA153,AB153,AC153,AD153,AF153,AG153,AH153)*Valores!$C$63</f>
        <v>0</v>
      </c>
      <c r="AJ153" s="140">
        <f t="shared" si="27"/>
        <v>23977.145</v>
      </c>
      <c r="AK153" s="61">
        <f>Valores!$C$35</f>
        <v>415.59</v>
      </c>
      <c r="AL153" s="79">
        <f>Valores!$C$7</f>
        <v>204.98</v>
      </c>
      <c r="AM153" s="89">
        <f>Valores!$C$51</f>
        <v>128.84</v>
      </c>
      <c r="AN153" s="79">
        <f>IF($H$4="SI",SUM(AL153+AM153),AL153)*Valores!$C$63</f>
        <v>0</v>
      </c>
      <c r="AO153" s="12">
        <f t="shared" si="31"/>
        <v>749.41</v>
      </c>
      <c r="AP153" s="13">
        <f>AJ153*-Valores!$C$65</f>
        <v>-3117.02885</v>
      </c>
      <c r="AQ153" s="13">
        <f>AJ153*-Valores!$C$66</f>
        <v>-119.88572500000001</v>
      </c>
      <c r="AR153" s="78">
        <f>AJ153*-Valores!$C$67</f>
        <v>-1078.971525</v>
      </c>
      <c r="AS153" s="78">
        <f>AJ153*-Valores!$C$68</f>
        <v>-647.3829150000001</v>
      </c>
      <c r="AT153" s="78">
        <f>AJ153*-Valores!$C$69</f>
        <v>-71.93143500000001</v>
      </c>
      <c r="AU153" s="15">
        <f t="shared" si="28"/>
        <v>20410.6689</v>
      </c>
      <c r="AV153" s="15">
        <f t="shared" si="29"/>
        <v>20770.326075</v>
      </c>
      <c r="AW153" s="78">
        <f>AJ153*Valores!$C$70</f>
        <v>3836.3432000000003</v>
      </c>
      <c r="AX153" s="78">
        <f>AJ153*Valores!$C$71</f>
        <v>1078.971525</v>
      </c>
      <c r="AY153" s="78">
        <f>AJ153*Valores!$C$73</f>
        <v>239.77145000000002</v>
      </c>
      <c r="AZ153" s="78">
        <f>AJ153*Valores!$C$74</f>
        <v>839.2000750000001</v>
      </c>
      <c r="BA153" s="78">
        <f>AJ153*Valores!$C$75</f>
        <v>143.86287000000002</v>
      </c>
      <c r="BB153" s="78">
        <f t="shared" si="32"/>
        <v>1294.76583</v>
      </c>
      <c r="BC153" s="20"/>
      <c r="BD153" s="20">
        <v>25</v>
      </c>
      <c r="BE153" s="9" t="s">
        <v>462</v>
      </c>
    </row>
    <row r="154" spans="1:57" s="9" customFormat="1" ht="11.25" customHeight="1">
      <c r="A154" s="20">
        <v>153</v>
      </c>
      <c r="B154" s="20"/>
      <c r="C154" s="9" t="s">
        <v>284</v>
      </c>
      <c r="E154" s="9">
        <f t="shared" si="30"/>
        <v>16</v>
      </c>
      <c r="F154" s="10" t="s">
        <v>285</v>
      </c>
      <c r="G154" s="123">
        <v>947</v>
      </c>
      <c r="H154" s="7">
        <f>INT((G154*Valores!$C$2*100)+0.5)/100</f>
        <v>5681.34</v>
      </c>
      <c r="I154" s="134">
        <v>0</v>
      </c>
      <c r="J154" s="77">
        <f>INT((I154*Valores!$C$2*100)+0.5)/100</f>
        <v>0</v>
      </c>
      <c r="K154" s="146">
        <v>0</v>
      </c>
      <c r="L154" s="77">
        <f>INT((K154*Valores!$C$2*100)+0.5)/100</f>
        <v>0</v>
      </c>
      <c r="M154" s="120">
        <v>0</v>
      </c>
      <c r="N154" s="77">
        <f>INT((M154*Valores!$C$2*100)+0.5)/100</f>
        <v>0</v>
      </c>
      <c r="O154" s="77">
        <f t="shared" si="24"/>
        <v>0</v>
      </c>
      <c r="P154" s="77">
        <f t="shared" si="25"/>
        <v>3221.87</v>
      </c>
      <c r="Q154" s="61">
        <f>Valores!$C$20</f>
        <v>3519.79</v>
      </c>
      <c r="R154" s="61">
        <f>Valores!$D$4</f>
        <v>2683.49</v>
      </c>
      <c r="S154" s="79">
        <f>Valores!$C$27</f>
        <v>2472.27</v>
      </c>
      <c r="T154" s="79">
        <f>Valores!$C$41</f>
        <v>762.4</v>
      </c>
      <c r="U154" s="61">
        <f>Valores!$C$23</f>
        <v>2584.33</v>
      </c>
      <c r="V154" s="77">
        <f t="shared" si="23"/>
        <v>3876.495</v>
      </c>
      <c r="W154" s="77">
        <v>0</v>
      </c>
      <c r="X154" s="77">
        <v>0</v>
      </c>
      <c r="Y154" s="116">
        <v>0</v>
      </c>
      <c r="Z154" s="77">
        <f>Y154*Valores!$C$2</f>
        <v>0</v>
      </c>
      <c r="AA154" s="77">
        <v>0</v>
      </c>
      <c r="AB154" s="89">
        <f>Valores!$C$29</f>
        <v>151.15</v>
      </c>
      <c r="AC154" s="77">
        <f t="shared" si="26"/>
        <v>0</v>
      </c>
      <c r="AD154" s="77">
        <f>Valores!$C$30</f>
        <v>151.15</v>
      </c>
      <c r="AE154" s="116">
        <v>0</v>
      </c>
      <c r="AF154" s="77">
        <f>INT(((AE154*Valores!$C$2)*100)+0.5)/100</f>
        <v>0</v>
      </c>
      <c r="AG154" s="77">
        <f>Valores!$C$58</f>
        <v>307.46</v>
      </c>
      <c r="AH154" s="77">
        <f>Valores!$C$60</f>
        <v>87.85</v>
      </c>
      <c r="AI154" s="77">
        <f>SUM(H154,J154,L154,N154,O154,P154,Q154,R154,S154,T154,V154,W154,X154,Z154,AA154,AB154,AC154,AD154,AF154,AG154,AH154)*Valores!$C$63</f>
        <v>0</v>
      </c>
      <c r="AJ154" s="140">
        <f t="shared" si="27"/>
        <v>22915.265</v>
      </c>
      <c r="AK154" s="61">
        <f>Valores!$C$35</f>
        <v>415.59</v>
      </c>
      <c r="AL154" s="79">
        <f>Valores!$C$7</f>
        <v>204.98</v>
      </c>
      <c r="AM154" s="89">
        <f>Valores!$C$51</f>
        <v>128.84</v>
      </c>
      <c r="AN154" s="79">
        <f>IF($H$4="SI",SUM(AL154+AM154),AL154)*Valores!$C$63</f>
        <v>0</v>
      </c>
      <c r="AO154" s="12">
        <f t="shared" si="31"/>
        <v>749.41</v>
      </c>
      <c r="AP154" s="13">
        <f>AJ154*-Valores!$C$65</f>
        <v>-2978.98445</v>
      </c>
      <c r="AQ154" s="13">
        <f>AJ154*-Valores!$C$66</f>
        <v>-114.576325</v>
      </c>
      <c r="AR154" s="78">
        <f>AJ154*-Valores!$C$67</f>
        <v>-1031.186925</v>
      </c>
      <c r="AS154" s="78">
        <f>AJ154*-Valores!$C$68</f>
        <v>-618.712155</v>
      </c>
      <c r="AT154" s="78">
        <f>AJ154*-Valores!$C$69</f>
        <v>-68.745795</v>
      </c>
      <c r="AU154" s="15">
        <f t="shared" si="28"/>
        <v>19539.9273</v>
      </c>
      <c r="AV154" s="15">
        <f t="shared" si="29"/>
        <v>19883.656275</v>
      </c>
      <c r="AW154" s="78">
        <f>AJ154*Valores!$C$70</f>
        <v>3666.4424</v>
      </c>
      <c r="AX154" s="78">
        <f>AJ154*Valores!$C$71</f>
        <v>1031.186925</v>
      </c>
      <c r="AY154" s="78">
        <f>AJ154*Valores!$C$73</f>
        <v>229.15265</v>
      </c>
      <c r="AZ154" s="78">
        <f>AJ154*Valores!$C$74</f>
        <v>802.0342750000001</v>
      </c>
      <c r="BA154" s="78">
        <f>AJ154*Valores!$C$75</f>
        <v>137.49159</v>
      </c>
      <c r="BB154" s="78">
        <f t="shared" si="32"/>
        <v>1237.42431</v>
      </c>
      <c r="BC154" s="20"/>
      <c r="BD154" s="55">
        <v>22</v>
      </c>
      <c r="BE154" s="9" t="s">
        <v>462</v>
      </c>
    </row>
    <row r="155" spans="1:57" s="9" customFormat="1" ht="11.25" customHeight="1">
      <c r="A155" s="20">
        <v>154</v>
      </c>
      <c r="B155" s="20"/>
      <c r="C155" s="9" t="s">
        <v>286</v>
      </c>
      <c r="E155" s="9">
        <f t="shared" si="30"/>
        <v>31</v>
      </c>
      <c r="F155" s="10" t="s">
        <v>287</v>
      </c>
      <c r="G155" s="123">
        <v>1800</v>
      </c>
      <c r="H155" s="7">
        <f>INT((G155*Valores!$C$2*100)+0.5)/100</f>
        <v>10798.75</v>
      </c>
      <c r="I155" s="134">
        <v>0</v>
      </c>
      <c r="J155" s="77">
        <f>INT((I155*Valores!$C$2*100)+0.5)/100</f>
        <v>0</v>
      </c>
      <c r="K155" s="146">
        <v>0</v>
      </c>
      <c r="L155" s="77">
        <f>INT((K155*Valores!$C$2*100)+0.5)/100</f>
        <v>0</v>
      </c>
      <c r="M155" s="120">
        <v>0</v>
      </c>
      <c r="N155" s="77">
        <f>INT((M155*Valores!$C$2*100)+0.5)/100</f>
        <v>0</v>
      </c>
      <c r="O155" s="77">
        <f t="shared" si="24"/>
        <v>0</v>
      </c>
      <c r="P155" s="77">
        <f t="shared" si="25"/>
        <v>6052.865</v>
      </c>
      <c r="Q155" s="61">
        <f>Valores!$C$15</f>
        <v>3695.48</v>
      </c>
      <c r="R155" s="61">
        <f>Valores!$D$4</f>
        <v>2683.49</v>
      </c>
      <c r="S155" s="61">
        <f>Valores!$C$26</f>
        <v>2700.67</v>
      </c>
      <c r="T155" s="87">
        <f>Valores!$C$43</f>
        <v>1306.98</v>
      </c>
      <c r="U155" s="77">
        <f>Valores!$C$23</f>
        <v>2584.33</v>
      </c>
      <c r="V155" s="77">
        <f t="shared" si="23"/>
        <v>3876.495</v>
      </c>
      <c r="W155" s="77">
        <v>0</v>
      </c>
      <c r="X155" s="77">
        <v>0</v>
      </c>
      <c r="Y155" s="116">
        <v>0</v>
      </c>
      <c r="Z155" s="77">
        <f>Y155*Valores!$C$2</f>
        <v>0</v>
      </c>
      <c r="AA155" s="77">
        <v>0</v>
      </c>
      <c r="AB155" s="89">
        <f>Valores!$C$29</f>
        <v>151.15</v>
      </c>
      <c r="AC155" s="77">
        <f t="shared" si="26"/>
        <v>0</v>
      </c>
      <c r="AD155" s="77">
        <f>Valores!$C$30</f>
        <v>151.15</v>
      </c>
      <c r="AE155" s="116">
        <v>0</v>
      </c>
      <c r="AF155" s="77">
        <f>INT(((AE155*Valores!$C$2)*100)+0.5)/100</f>
        <v>0</v>
      </c>
      <c r="AG155" s="77">
        <f>Valores!$C$58</f>
        <v>307.46</v>
      </c>
      <c r="AH155" s="77">
        <f>Valores!$C$60</f>
        <v>87.85</v>
      </c>
      <c r="AI155" s="77">
        <f>SUM(H155,J155,L155,N155,O155,P155,Q155,R155,S155,T155,V155,W155,X155,Z155,AA155,AB155,AC155,AD155,AF155,AG155,AH155)*Valores!$C$63</f>
        <v>0</v>
      </c>
      <c r="AJ155" s="140">
        <f t="shared" si="27"/>
        <v>31812.339999999997</v>
      </c>
      <c r="AK155" s="61">
        <f>Valores!$C$35</f>
        <v>415.59</v>
      </c>
      <c r="AL155" s="79">
        <f>Valores!$C$9</f>
        <v>351.39</v>
      </c>
      <c r="AM155" s="89">
        <f>Valores!$C$51</f>
        <v>128.84</v>
      </c>
      <c r="AN155" s="79">
        <f>IF($H$4="SI",SUM(AL155+AM155),AL155)*Valores!$C$63</f>
        <v>0</v>
      </c>
      <c r="AO155" s="12">
        <f t="shared" si="31"/>
        <v>895.82</v>
      </c>
      <c r="AP155" s="13">
        <f>AJ155*-Valores!$C$65</f>
        <v>-4135.6042</v>
      </c>
      <c r="AQ155" s="13">
        <f>AJ155*-Valores!$C$66</f>
        <v>-159.06169999999997</v>
      </c>
      <c r="AR155" s="78">
        <f>AJ155*-Valores!$C$67</f>
        <v>-1431.5552999999998</v>
      </c>
      <c r="AS155" s="78">
        <f>AJ155*-Valores!$C$68</f>
        <v>-858.93318</v>
      </c>
      <c r="AT155" s="78">
        <f>AJ155*-Valores!$C$69</f>
        <v>-95.43701999999999</v>
      </c>
      <c r="AU155" s="15">
        <f t="shared" si="28"/>
        <v>26981.938799999996</v>
      </c>
      <c r="AV155" s="15">
        <f t="shared" si="29"/>
        <v>27459.123899999995</v>
      </c>
      <c r="AW155" s="78">
        <f>AJ155*Valores!$C$70</f>
        <v>5089.974399999999</v>
      </c>
      <c r="AX155" s="78">
        <f>AJ155*Valores!$C$71</f>
        <v>1431.5552999999998</v>
      </c>
      <c r="AY155" s="78">
        <f>AJ155*Valores!$C$73</f>
        <v>318.12339999999995</v>
      </c>
      <c r="AZ155" s="78">
        <f>AJ155*Valores!$C$74</f>
        <v>1113.4319</v>
      </c>
      <c r="BA155" s="78">
        <f>AJ155*Valores!$C$75</f>
        <v>190.87403999999998</v>
      </c>
      <c r="BB155" s="78">
        <f t="shared" si="32"/>
        <v>1717.86636</v>
      </c>
      <c r="BC155" s="20"/>
      <c r="BD155" s="20"/>
      <c r="BE155" s="9" t="s">
        <v>462</v>
      </c>
    </row>
    <row r="156" spans="1:57" s="9" customFormat="1" ht="11.25" customHeight="1">
      <c r="A156" s="55">
        <v>155</v>
      </c>
      <c r="B156" s="55" t="s">
        <v>458</v>
      </c>
      <c r="C156" s="52" t="s">
        <v>288</v>
      </c>
      <c r="D156" s="52"/>
      <c r="E156" s="52">
        <f t="shared" si="30"/>
        <v>19</v>
      </c>
      <c r="F156" s="53" t="s">
        <v>289</v>
      </c>
      <c r="G156" s="124">
        <v>1278</v>
      </c>
      <c r="H156" s="129">
        <f>INT((G156*Valores!$C$2*100)+0.5)/100</f>
        <v>7667.11</v>
      </c>
      <c r="I156" s="133">
        <v>0</v>
      </c>
      <c r="J156" s="80">
        <f>INT((I156*Valores!$C$2*100)+0.5)/100</f>
        <v>0</v>
      </c>
      <c r="K156" s="147">
        <v>0</v>
      </c>
      <c r="L156" s="80">
        <f>INT((K156*Valores!$C$2*100)+0.5)/100</f>
        <v>0</v>
      </c>
      <c r="M156" s="121">
        <v>0</v>
      </c>
      <c r="N156" s="80">
        <f>INT((M156*Valores!$C$2*100)+0.5)/100</f>
        <v>0</v>
      </c>
      <c r="O156" s="80">
        <f t="shared" si="24"/>
        <v>0</v>
      </c>
      <c r="P156" s="80">
        <f t="shared" si="25"/>
        <v>4269.22</v>
      </c>
      <c r="Q156" s="85">
        <f>Valores!$C$15</f>
        <v>3695.48</v>
      </c>
      <c r="R156" s="85">
        <f>Valores!$D$4</f>
        <v>2683.49</v>
      </c>
      <c r="S156" s="85">
        <f>Valores!$C$26</f>
        <v>2700.67</v>
      </c>
      <c r="T156" s="88">
        <f>Valores!$C$42</f>
        <v>871.33</v>
      </c>
      <c r="U156" s="80">
        <f>Valores!$C$23</f>
        <v>2584.33</v>
      </c>
      <c r="V156" s="80">
        <f t="shared" si="23"/>
        <v>3876.495</v>
      </c>
      <c r="W156" s="80">
        <v>0</v>
      </c>
      <c r="X156" s="80">
        <v>0</v>
      </c>
      <c r="Y156" s="115">
        <v>0</v>
      </c>
      <c r="Z156" s="80">
        <f>Y156*Valores!$C$2</f>
        <v>0</v>
      </c>
      <c r="AA156" s="80">
        <v>0</v>
      </c>
      <c r="AB156" s="90">
        <f>Valores!$C$29</f>
        <v>151.15</v>
      </c>
      <c r="AC156" s="80">
        <f t="shared" si="26"/>
        <v>0</v>
      </c>
      <c r="AD156" s="80">
        <f>Valores!$C$30</f>
        <v>151.15</v>
      </c>
      <c r="AE156" s="115">
        <v>0</v>
      </c>
      <c r="AF156" s="80">
        <f>INT(((AE156*Valores!$C$2)*100)+0.5)/100</f>
        <v>0</v>
      </c>
      <c r="AG156" s="80">
        <f>Valores!$C$58</f>
        <v>307.46</v>
      </c>
      <c r="AH156" s="80">
        <f>Valores!$C$60</f>
        <v>87.85</v>
      </c>
      <c r="AI156" s="80">
        <f>SUM(H156,J156,L156,N156,O156,P156,Q156,R156,S156,T156,V156,W156,X156,Z156,AA156,AB156,AC156,AD156,AF156,AG156,AH156)*Valores!$C$63</f>
        <v>0</v>
      </c>
      <c r="AJ156" s="141">
        <f t="shared" si="27"/>
        <v>26461.405000000002</v>
      </c>
      <c r="AK156" s="85">
        <f>Valores!$C$35</f>
        <v>415.59</v>
      </c>
      <c r="AL156" s="82">
        <f>Valores!$C$8</f>
        <v>234.26</v>
      </c>
      <c r="AM156" s="89">
        <f>Valores!$C$51</f>
        <v>128.84</v>
      </c>
      <c r="AN156" s="82">
        <f>IF($H$4="SI",SUM(AL156+AM156),AL156)*Valores!$C$63</f>
        <v>0</v>
      </c>
      <c r="AO156" s="185">
        <f t="shared" si="31"/>
        <v>778.6899999999999</v>
      </c>
      <c r="AP156" s="154">
        <f>AJ156*-Valores!$C$65</f>
        <v>-3439.9826500000004</v>
      </c>
      <c r="AQ156" s="154">
        <f>AJ156*-Valores!$C$66</f>
        <v>-132.307025</v>
      </c>
      <c r="AR156" s="81">
        <f>AJ156*-Valores!$C$67</f>
        <v>-1190.7632250000001</v>
      </c>
      <c r="AS156" s="81">
        <f>AJ156*-Valores!$C$68</f>
        <v>-714.4579350000001</v>
      </c>
      <c r="AT156" s="81">
        <f>AJ156*-Valores!$C$69</f>
        <v>-79.38421500000001</v>
      </c>
      <c r="AU156" s="54">
        <f t="shared" si="28"/>
        <v>22477.042100000002</v>
      </c>
      <c r="AV156" s="54">
        <f t="shared" si="29"/>
        <v>22873.963175000004</v>
      </c>
      <c r="AW156" s="81">
        <f>AJ156*Valores!$C$70</f>
        <v>4233.8248</v>
      </c>
      <c r="AX156" s="81">
        <f>AJ156*Valores!$C$71</f>
        <v>1190.7632250000001</v>
      </c>
      <c r="AY156" s="81">
        <f>AJ156*Valores!$C$73</f>
        <v>264.61405</v>
      </c>
      <c r="AZ156" s="81">
        <f>AJ156*Valores!$C$74</f>
        <v>926.1491750000001</v>
      </c>
      <c r="BA156" s="81">
        <f>AJ156*Valores!$C$75</f>
        <v>158.76843000000002</v>
      </c>
      <c r="BB156" s="81">
        <f t="shared" si="32"/>
        <v>1428.9158700000003</v>
      </c>
      <c r="BC156" s="55"/>
      <c r="BD156" s="55">
        <v>27</v>
      </c>
      <c r="BE156" s="52" t="s">
        <v>462</v>
      </c>
    </row>
    <row r="157" spans="1:57" s="9" customFormat="1" ht="11.25" customHeight="1">
      <c r="A157" s="20">
        <v>156</v>
      </c>
      <c r="B157" s="20"/>
      <c r="C157" s="9" t="s">
        <v>290</v>
      </c>
      <c r="E157" s="9">
        <f t="shared" si="30"/>
        <v>28</v>
      </c>
      <c r="F157" s="10" t="s">
        <v>291</v>
      </c>
      <c r="G157" s="123">
        <v>1214</v>
      </c>
      <c r="H157" s="7">
        <f>INT((G157*Valores!$C$2*100)+0.5)/100</f>
        <v>7283.16</v>
      </c>
      <c r="I157" s="134">
        <v>0</v>
      </c>
      <c r="J157" s="77">
        <f>INT((I157*Valores!$C$2*100)+0.5)/100</f>
        <v>0</v>
      </c>
      <c r="K157" s="146">
        <v>0</v>
      </c>
      <c r="L157" s="77">
        <f>INT((K157*Valores!$C$2*100)+0.5)/100</f>
        <v>0</v>
      </c>
      <c r="M157" s="120">
        <v>0</v>
      </c>
      <c r="N157" s="77">
        <f>INT((M157*Valores!$C$2*100)+0.5)/100</f>
        <v>0</v>
      </c>
      <c r="O157" s="77">
        <f t="shared" si="24"/>
        <v>0</v>
      </c>
      <c r="P157" s="77">
        <f t="shared" si="25"/>
        <v>4077.245</v>
      </c>
      <c r="Q157" s="61">
        <f>Valores!$C$20</f>
        <v>3519.79</v>
      </c>
      <c r="R157" s="61">
        <f>Valores!$D$4</f>
        <v>2683.49</v>
      </c>
      <c r="S157" s="77">
        <f>Valores!$C$26</f>
        <v>2700.67</v>
      </c>
      <c r="T157" s="79">
        <f>Valores!$C$42</f>
        <v>871.33</v>
      </c>
      <c r="U157" s="77">
        <f>Valores!$C$23</f>
        <v>2584.33</v>
      </c>
      <c r="V157" s="77">
        <f t="shared" si="23"/>
        <v>3876.495</v>
      </c>
      <c r="W157" s="77">
        <v>0</v>
      </c>
      <c r="X157" s="77">
        <v>0</v>
      </c>
      <c r="Y157" s="116">
        <v>0</v>
      </c>
      <c r="Z157" s="77">
        <f>Y157*Valores!$C$2</f>
        <v>0</v>
      </c>
      <c r="AA157" s="77">
        <v>0</v>
      </c>
      <c r="AB157" s="89">
        <f>Valores!$C$29</f>
        <v>151.15</v>
      </c>
      <c r="AC157" s="77">
        <f t="shared" si="26"/>
        <v>0</v>
      </c>
      <c r="AD157" s="77">
        <f>Valores!$C$30</f>
        <v>151.15</v>
      </c>
      <c r="AE157" s="116">
        <v>0</v>
      </c>
      <c r="AF157" s="77">
        <f>INT(((AE157*Valores!$C$2)*100)+0.5)/100</f>
        <v>0</v>
      </c>
      <c r="AG157" s="77">
        <f>Valores!$C$58</f>
        <v>307.46</v>
      </c>
      <c r="AH157" s="77">
        <f>Valores!$C$60</f>
        <v>87.85</v>
      </c>
      <c r="AI157" s="77">
        <f>SUM(H157,J157,L157,N157,O157,P157,Q157,R157,S157,T157,V157,W157,X157,Z157,AA157,AB157,AC157,AD157,AF157,AG157,AH157)*Valores!$C$63</f>
        <v>0</v>
      </c>
      <c r="AJ157" s="140">
        <f t="shared" si="27"/>
        <v>25709.789999999997</v>
      </c>
      <c r="AK157" s="61">
        <f>Valores!$C$35</f>
        <v>415.59</v>
      </c>
      <c r="AL157" s="79">
        <f>Valores!$C$8</f>
        <v>234.26</v>
      </c>
      <c r="AM157" s="89">
        <f>Valores!$C$51</f>
        <v>128.84</v>
      </c>
      <c r="AN157" s="79">
        <f>IF($H$4="SI",SUM(AL157+AM157),AL157)*Valores!$C$63</f>
        <v>0</v>
      </c>
      <c r="AO157" s="12">
        <f t="shared" si="31"/>
        <v>778.6899999999999</v>
      </c>
      <c r="AP157" s="13">
        <f>AJ157*-Valores!$C$65</f>
        <v>-3342.2726999999995</v>
      </c>
      <c r="AQ157" s="13">
        <f>AJ157*-Valores!$C$66</f>
        <v>-128.54895</v>
      </c>
      <c r="AR157" s="78">
        <f>AJ157*-Valores!$C$67</f>
        <v>-1156.9405499999998</v>
      </c>
      <c r="AS157" s="78">
        <f>AJ157*-Valores!$C$68</f>
        <v>-694.16433</v>
      </c>
      <c r="AT157" s="78">
        <f>AJ157*-Valores!$C$69</f>
        <v>-77.12937</v>
      </c>
      <c r="AU157" s="15">
        <f t="shared" si="28"/>
        <v>21860.7178</v>
      </c>
      <c r="AV157" s="15">
        <f t="shared" si="29"/>
        <v>22246.36465</v>
      </c>
      <c r="AW157" s="78">
        <f>AJ157*Valores!$C$70</f>
        <v>4113.5664</v>
      </c>
      <c r="AX157" s="78">
        <f>AJ157*Valores!$C$71</f>
        <v>1156.9405499999998</v>
      </c>
      <c r="AY157" s="78">
        <f>AJ157*Valores!$C$73</f>
        <v>257.0979</v>
      </c>
      <c r="AZ157" s="78">
        <f>AJ157*Valores!$C$74</f>
        <v>899.8426499999999</v>
      </c>
      <c r="BA157" s="78">
        <f>AJ157*Valores!$C$75</f>
        <v>154.25874</v>
      </c>
      <c r="BB157" s="78">
        <f t="shared" si="32"/>
        <v>1388.32866</v>
      </c>
      <c r="BC157" s="20"/>
      <c r="BD157" s="20"/>
      <c r="BE157" s="9" t="s">
        <v>462</v>
      </c>
    </row>
    <row r="158" spans="1:57" s="9" customFormat="1" ht="11.25" customHeight="1">
      <c r="A158" s="20">
        <v>157</v>
      </c>
      <c r="B158" s="20"/>
      <c r="C158" s="9" t="s">
        <v>292</v>
      </c>
      <c r="E158" s="9">
        <f t="shared" si="30"/>
        <v>25</v>
      </c>
      <c r="F158" s="10" t="s">
        <v>293</v>
      </c>
      <c r="G158" s="123">
        <f>1106+78</f>
        <v>1184</v>
      </c>
      <c r="H158" s="7">
        <f>INT((G158*Valores!$C$2*100)+0.5)/100</f>
        <v>7103.18</v>
      </c>
      <c r="I158" s="134">
        <v>0</v>
      </c>
      <c r="J158" s="77">
        <f>INT((I158*Valores!$C$2*100)+0.5)/100</f>
        <v>0</v>
      </c>
      <c r="K158" s="146">
        <v>0</v>
      </c>
      <c r="L158" s="77">
        <f>INT((K158*Valores!$C$2*100)+0.5)/100</f>
        <v>0</v>
      </c>
      <c r="M158" s="120">
        <v>0</v>
      </c>
      <c r="N158" s="77">
        <f>INT((M158*Valores!$C$2*100)+0.5)/100</f>
        <v>0</v>
      </c>
      <c r="O158" s="77">
        <f t="shared" si="24"/>
        <v>0</v>
      </c>
      <c r="P158" s="77">
        <f t="shared" si="25"/>
        <v>3987.255</v>
      </c>
      <c r="Q158" s="61">
        <f>Valores!$C$20</f>
        <v>3519.79</v>
      </c>
      <c r="R158" s="61">
        <f>Valores!$D$4</f>
        <v>2683.49</v>
      </c>
      <c r="S158" s="77">
        <v>0</v>
      </c>
      <c r="T158" s="79">
        <f>Valores!$C$42</f>
        <v>871.33</v>
      </c>
      <c r="U158" s="61">
        <f>Valores!$C$24</f>
        <v>2549.17</v>
      </c>
      <c r="V158" s="77">
        <f t="shared" si="23"/>
        <v>3823.755</v>
      </c>
      <c r="W158" s="77">
        <v>0</v>
      </c>
      <c r="X158" s="77">
        <v>0</v>
      </c>
      <c r="Y158" s="116">
        <v>0</v>
      </c>
      <c r="Z158" s="77">
        <f>Y158*Valores!$C$2</f>
        <v>0</v>
      </c>
      <c r="AA158" s="77">
        <v>0</v>
      </c>
      <c r="AB158" s="89">
        <f>Valores!$C$29</f>
        <v>151.15</v>
      </c>
      <c r="AC158" s="77">
        <f t="shared" si="26"/>
        <v>0</v>
      </c>
      <c r="AD158" s="77">
        <f>Valores!$C$30</f>
        <v>151.15</v>
      </c>
      <c r="AE158" s="116">
        <v>0</v>
      </c>
      <c r="AF158" s="77">
        <f>INT(((AE158*Valores!$C$2)*100)+0.5)/100</f>
        <v>0</v>
      </c>
      <c r="AG158" s="77">
        <f>Valores!$C$58</f>
        <v>307.46</v>
      </c>
      <c r="AH158" s="77">
        <f>Valores!$C$60</f>
        <v>87.85</v>
      </c>
      <c r="AI158" s="77">
        <f>SUM(H158,J158,L158,N158,O158,P158,Q158,R158,S158,T158,V158,W158,X158,Z158,AA158,AB158,AC158,AD158,AF158,AG158,AH158)*Valores!$C$63</f>
        <v>0</v>
      </c>
      <c r="AJ158" s="140">
        <f t="shared" si="27"/>
        <v>22686.410000000007</v>
      </c>
      <c r="AK158" s="61">
        <f>Valores!$C$35</f>
        <v>415.59</v>
      </c>
      <c r="AL158" s="79">
        <f>Valores!$C$8</f>
        <v>234.26</v>
      </c>
      <c r="AM158" s="89">
        <f>Valores!$C$51</f>
        <v>128.84</v>
      </c>
      <c r="AN158" s="79">
        <f>IF($H$4="SI",SUM(AL158+AM158),AL158)*Valores!$C$63</f>
        <v>0</v>
      </c>
      <c r="AO158" s="12">
        <f t="shared" si="31"/>
        <v>778.6899999999999</v>
      </c>
      <c r="AP158" s="13">
        <f>AJ158*-Valores!$C$65</f>
        <v>-2949.2333000000012</v>
      </c>
      <c r="AQ158" s="13">
        <f>AJ158*-Valores!$C$66</f>
        <v>-113.43205000000003</v>
      </c>
      <c r="AR158" s="78">
        <f>AJ158*-Valores!$C$67</f>
        <v>-1020.8884500000003</v>
      </c>
      <c r="AS158" s="78">
        <f>AJ158*-Valores!$C$68</f>
        <v>-612.5330700000003</v>
      </c>
      <c r="AT158" s="78">
        <f>AJ158*-Valores!$C$69</f>
        <v>-68.05923000000003</v>
      </c>
      <c r="AU158" s="15">
        <f t="shared" si="28"/>
        <v>19381.546200000008</v>
      </c>
      <c r="AV158" s="15">
        <f t="shared" si="29"/>
        <v>19721.842350000006</v>
      </c>
      <c r="AW158" s="78">
        <f>AJ158*Valores!$C$70</f>
        <v>3629.825600000001</v>
      </c>
      <c r="AX158" s="78">
        <f>AJ158*Valores!$C$71</f>
        <v>1020.8884500000003</v>
      </c>
      <c r="AY158" s="78">
        <f>AJ158*Valores!$C$73</f>
        <v>226.86410000000006</v>
      </c>
      <c r="AZ158" s="78">
        <f>AJ158*Valores!$C$74</f>
        <v>794.0243500000004</v>
      </c>
      <c r="BA158" s="78">
        <f>AJ158*Valores!$C$75</f>
        <v>136.11846000000006</v>
      </c>
      <c r="BB158" s="78">
        <f t="shared" si="32"/>
        <v>1225.0661400000004</v>
      </c>
      <c r="BC158" s="20"/>
      <c r="BD158" s="20"/>
      <c r="BE158" s="9" t="s">
        <v>461</v>
      </c>
    </row>
    <row r="159" spans="1:57" s="9" customFormat="1" ht="11.25" customHeight="1">
      <c r="A159" s="20">
        <v>158</v>
      </c>
      <c r="B159" s="20"/>
      <c r="C159" s="9" t="s">
        <v>294</v>
      </c>
      <c r="E159" s="9">
        <f t="shared" si="30"/>
        <v>24</v>
      </c>
      <c r="F159" s="10" t="s">
        <v>295</v>
      </c>
      <c r="G159" s="123">
        <v>971</v>
      </c>
      <c r="H159" s="7">
        <f>INT((G159*Valores!$C$2*100)+0.5)/100</f>
        <v>5825.32</v>
      </c>
      <c r="I159" s="134">
        <v>0</v>
      </c>
      <c r="J159" s="77">
        <f>INT((I159*Valores!$C$2*100)+0.5)/100</f>
        <v>0</v>
      </c>
      <c r="K159" s="146">
        <v>0</v>
      </c>
      <c r="L159" s="77">
        <f>INT((K159*Valores!$C$2*100)+0.5)/100</f>
        <v>0</v>
      </c>
      <c r="M159" s="120">
        <v>0</v>
      </c>
      <c r="N159" s="77">
        <f>INT((M159*Valores!$C$2*100)+0.5)/100</f>
        <v>0</v>
      </c>
      <c r="O159" s="77">
        <f t="shared" si="24"/>
        <v>0</v>
      </c>
      <c r="P159" s="77">
        <f t="shared" si="25"/>
        <v>3293.8599999999997</v>
      </c>
      <c r="Q159" s="61">
        <f>Valores!$C$20</f>
        <v>3519.79</v>
      </c>
      <c r="R159" s="61">
        <f>Valores!$D$4</f>
        <v>2683.49</v>
      </c>
      <c r="S159" s="61">
        <f>Valores!$C$27</f>
        <v>2472.27</v>
      </c>
      <c r="T159" s="87">
        <f>Valores!$C$41</f>
        <v>762.4</v>
      </c>
      <c r="U159" s="77">
        <f>Valores!$C$23</f>
        <v>2584.33</v>
      </c>
      <c r="V159" s="77">
        <f t="shared" si="23"/>
        <v>3876.495</v>
      </c>
      <c r="W159" s="77">
        <v>0</v>
      </c>
      <c r="X159" s="77">
        <v>0</v>
      </c>
      <c r="Y159" s="116">
        <v>0</v>
      </c>
      <c r="Z159" s="77">
        <f>Y159*Valores!$C$2</f>
        <v>0</v>
      </c>
      <c r="AA159" s="77">
        <v>0</v>
      </c>
      <c r="AB159" s="89">
        <f>Valores!$C$29</f>
        <v>151.15</v>
      </c>
      <c r="AC159" s="77">
        <f t="shared" si="26"/>
        <v>0</v>
      </c>
      <c r="AD159" s="77">
        <f>Valores!$C$29</f>
        <v>151.15</v>
      </c>
      <c r="AE159" s="116">
        <v>0</v>
      </c>
      <c r="AF159" s="77">
        <f>INT(((AE159*Valores!$C$2)*100)+0.5)/100</f>
        <v>0</v>
      </c>
      <c r="AG159" s="77">
        <f>Valores!$C$58</f>
        <v>307.46</v>
      </c>
      <c r="AH159" s="77">
        <f>Valores!$C$60</f>
        <v>87.85</v>
      </c>
      <c r="AI159" s="77">
        <f>SUM(H159,J159,L159,N159,O159,P159,Q159,R159,S159,T159,V159,W159,X159,Z159,AA159,AB159,AC159,AD159,AF159,AG159,AH159)*Valores!$C$63</f>
        <v>0</v>
      </c>
      <c r="AJ159" s="140">
        <f t="shared" si="27"/>
        <v>23131.235</v>
      </c>
      <c r="AK159" s="61">
        <f>Valores!$C$35</f>
        <v>415.59</v>
      </c>
      <c r="AL159" s="79">
        <f>Valores!$C$7</f>
        <v>204.98</v>
      </c>
      <c r="AM159" s="89">
        <f>Valores!$C$53</f>
        <v>117.37</v>
      </c>
      <c r="AN159" s="79">
        <f>IF($H$4="SI",SUM(AL159+AM159),AL159)*Valores!$C$63</f>
        <v>0</v>
      </c>
      <c r="AO159" s="12">
        <f t="shared" si="31"/>
        <v>737.9399999999999</v>
      </c>
      <c r="AP159" s="13">
        <f>AJ159*-Valores!$C$65</f>
        <v>-3007.06055</v>
      </c>
      <c r="AQ159" s="13">
        <f>AJ159*-Valores!$C$66</f>
        <v>-115.656175</v>
      </c>
      <c r="AR159" s="78">
        <f>AJ159*-Valores!$C$67</f>
        <v>-1040.905575</v>
      </c>
      <c r="AS159" s="78">
        <f>AJ159*-Valores!$C$68</f>
        <v>-624.543345</v>
      </c>
      <c r="AT159" s="78">
        <f>AJ159*-Valores!$C$69</f>
        <v>-69.393705</v>
      </c>
      <c r="AU159" s="15">
        <f t="shared" si="28"/>
        <v>19705.5527</v>
      </c>
      <c r="AV159" s="15">
        <f t="shared" si="29"/>
        <v>20052.521225</v>
      </c>
      <c r="AW159" s="78">
        <f>AJ159*Valores!$C$70</f>
        <v>3700.9976</v>
      </c>
      <c r="AX159" s="78">
        <f>AJ159*Valores!$C$71</f>
        <v>1040.905575</v>
      </c>
      <c r="AY159" s="78">
        <f>AJ159*Valores!$C$73</f>
        <v>231.31235</v>
      </c>
      <c r="AZ159" s="78">
        <f>AJ159*Valores!$C$74</f>
        <v>809.5932250000001</v>
      </c>
      <c r="BA159" s="78">
        <f>AJ159*Valores!$C$75</f>
        <v>138.78741</v>
      </c>
      <c r="BB159" s="78">
        <f t="shared" si="32"/>
        <v>1249.08669</v>
      </c>
      <c r="BC159" s="20">
        <v>12</v>
      </c>
      <c r="BD159" s="55">
        <v>12</v>
      </c>
      <c r="BE159" s="9" t="s">
        <v>462</v>
      </c>
    </row>
    <row r="160" spans="1:57" s="9" customFormat="1" ht="11.25" customHeight="1">
      <c r="A160" s="20">
        <v>159</v>
      </c>
      <c r="B160" s="20"/>
      <c r="C160" s="9" t="s">
        <v>294</v>
      </c>
      <c r="E160" s="9">
        <f t="shared" si="30"/>
        <v>35</v>
      </c>
      <c r="F160" s="10" t="s">
        <v>386</v>
      </c>
      <c r="G160" s="123">
        <v>971</v>
      </c>
      <c r="H160" s="7">
        <f>INT((G160*Valores!$C$2*100)+0.5)/100</f>
        <v>5825.32</v>
      </c>
      <c r="I160" s="134">
        <v>0</v>
      </c>
      <c r="J160" s="77">
        <f>INT((I160*Valores!$C$2*100)+0.5)/100</f>
        <v>0</v>
      </c>
      <c r="K160" s="146">
        <v>0</v>
      </c>
      <c r="L160" s="77">
        <f>INT((K160*Valores!$C$2*100)+0.5)/100</f>
        <v>0</v>
      </c>
      <c r="M160" s="120">
        <v>0</v>
      </c>
      <c r="N160" s="77">
        <f>INT((M160*Valores!$C$2*100)+0.5)/100</f>
        <v>0</v>
      </c>
      <c r="O160" s="77">
        <f t="shared" si="24"/>
        <v>0</v>
      </c>
      <c r="P160" s="77">
        <f t="shared" si="25"/>
        <v>4766.0108</v>
      </c>
      <c r="Q160" s="61">
        <f>Valores!$C$20</f>
        <v>3519.79</v>
      </c>
      <c r="R160" s="61">
        <f>Valores!$D$4</f>
        <v>2683.49</v>
      </c>
      <c r="S160" s="61">
        <f>Valores!$C$27</f>
        <v>2472.27</v>
      </c>
      <c r="T160" s="87">
        <f>Valores!$C$43</f>
        <v>1306.98</v>
      </c>
      <c r="U160" s="77">
        <f>Valores!$C$23</f>
        <v>2584.33</v>
      </c>
      <c r="V160" s="77">
        <f t="shared" si="23"/>
        <v>3876.495</v>
      </c>
      <c r="W160" s="77">
        <v>0</v>
      </c>
      <c r="X160" s="77">
        <v>0</v>
      </c>
      <c r="Y160" s="113">
        <v>400</v>
      </c>
      <c r="Z160" s="77">
        <f>Y160*Valores!$C$2</f>
        <v>2399.7216000000003</v>
      </c>
      <c r="AA160" s="61">
        <f>SUM(L160,J160,H160,T160)*Valores!$C$3</f>
        <v>1069.8449999999998</v>
      </c>
      <c r="AB160" s="89">
        <f>Valores!$C$29</f>
        <v>151.15</v>
      </c>
      <c r="AC160" s="77">
        <f t="shared" si="26"/>
        <v>0</v>
      </c>
      <c r="AD160" s="77">
        <f>Valores!$C$29</f>
        <v>151.15</v>
      </c>
      <c r="AE160" s="116">
        <v>94</v>
      </c>
      <c r="AF160" s="77">
        <f>INT(((AE160*Valores!$C$2)*100)+0.5)/100</f>
        <v>563.93</v>
      </c>
      <c r="AG160" s="77">
        <f>Valores!$C$58</f>
        <v>307.46</v>
      </c>
      <c r="AH160" s="77">
        <f>Valores!$C$60</f>
        <v>87.85</v>
      </c>
      <c r="AI160" s="77">
        <f>SUM(H160,J160,L160,N160,O160,P160,Q160,R160,S160,T160,V160,W160,X160,Z160,AA160,AB160,AC160,AD160,AF160,AG160,AH160)*Valores!$C$63</f>
        <v>0</v>
      </c>
      <c r="AJ160" s="140">
        <f t="shared" si="27"/>
        <v>29181.462400000004</v>
      </c>
      <c r="AK160" s="61">
        <f>Valores!$C$35</f>
        <v>415.59</v>
      </c>
      <c r="AL160" s="79">
        <f>Valores!$C$9</f>
        <v>351.39</v>
      </c>
      <c r="AM160" s="89">
        <f>Valores!$C$53</f>
        <v>117.37</v>
      </c>
      <c r="AN160" s="79">
        <f>IF($H$4="SI",SUM(AL160+AM160),AL160)*Valores!$C$63</f>
        <v>0</v>
      </c>
      <c r="AO160" s="12">
        <f t="shared" si="31"/>
        <v>884.35</v>
      </c>
      <c r="AP160" s="13">
        <f>AJ160*-Valores!$C$65</f>
        <v>-3793.5901120000008</v>
      </c>
      <c r="AQ160" s="13">
        <f>AJ160*-Valores!$C$66</f>
        <v>-145.90731200000002</v>
      </c>
      <c r="AR160" s="78">
        <f>AJ160*-Valores!$C$67</f>
        <v>-1313.1658080000002</v>
      </c>
      <c r="AS160" s="78">
        <f>AJ160*-Valores!$C$68</f>
        <v>-787.8994848000002</v>
      </c>
      <c r="AT160" s="78">
        <f>AJ160*-Valores!$C$69</f>
        <v>-87.54438720000002</v>
      </c>
      <c r="AU160" s="15">
        <f t="shared" si="28"/>
        <v>24813.149168</v>
      </c>
      <c r="AV160" s="15">
        <f t="shared" si="29"/>
        <v>25250.871104</v>
      </c>
      <c r="AW160" s="78">
        <f>AJ160*Valores!$C$70</f>
        <v>4669.033984000001</v>
      </c>
      <c r="AX160" s="78">
        <f>AJ160*Valores!$C$71</f>
        <v>1313.1658080000002</v>
      </c>
      <c r="AY160" s="78">
        <f>AJ160*Valores!$C$73</f>
        <v>291.81462400000004</v>
      </c>
      <c r="AZ160" s="78">
        <f>AJ160*Valores!$C$74</f>
        <v>1021.3511840000002</v>
      </c>
      <c r="BA160" s="78">
        <f>AJ160*Valores!$C$75</f>
        <v>175.08877440000003</v>
      </c>
      <c r="BB160" s="78">
        <f t="shared" si="32"/>
        <v>1575.7989696000004</v>
      </c>
      <c r="BC160" s="20">
        <v>12</v>
      </c>
      <c r="BD160" s="20">
        <v>18</v>
      </c>
      <c r="BE160" s="9" t="s">
        <v>462</v>
      </c>
    </row>
    <row r="161" spans="1:57" s="9" customFormat="1" ht="11.25" customHeight="1">
      <c r="A161" s="55">
        <v>160</v>
      </c>
      <c r="B161" s="55" t="s">
        <v>458</v>
      </c>
      <c r="C161" s="52" t="s">
        <v>294</v>
      </c>
      <c r="D161" s="52"/>
      <c r="E161" s="52">
        <f t="shared" si="30"/>
        <v>44</v>
      </c>
      <c r="F161" s="53" t="s">
        <v>459</v>
      </c>
      <c r="G161" s="124">
        <v>971</v>
      </c>
      <c r="H161" s="129">
        <f>INT((G161*Valores!$C$2*100)+0.5)/100</f>
        <v>5825.32</v>
      </c>
      <c r="I161" s="133">
        <v>0</v>
      </c>
      <c r="J161" s="80">
        <f>INT((I161*Valores!$C$2*100)+0.5)/100</f>
        <v>0</v>
      </c>
      <c r="K161" s="147">
        <v>0</v>
      </c>
      <c r="L161" s="80">
        <f>INT((K161*Valores!$C$2*100)+0.5)/100</f>
        <v>0</v>
      </c>
      <c r="M161" s="121">
        <v>0</v>
      </c>
      <c r="N161" s="80">
        <f>INT((M161*Valores!$C$2*100)+0.5)/100</f>
        <v>0</v>
      </c>
      <c r="O161" s="80">
        <f t="shared" si="24"/>
        <v>0</v>
      </c>
      <c r="P161" s="80">
        <f t="shared" si="25"/>
        <v>4222.426148</v>
      </c>
      <c r="Q161" s="85">
        <f>Valores!$C$20</f>
        <v>3519.79</v>
      </c>
      <c r="R161" s="85">
        <f>Valores!$D$4</f>
        <v>2683.49</v>
      </c>
      <c r="S161" s="85">
        <f>Valores!$C$27</f>
        <v>2472.27</v>
      </c>
      <c r="T161" s="88">
        <v>225.81</v>
      </c>
      <c r="U161" s="80">
        <f>Valores!$C$23</f>
        <v>2584.33</v>
      </c>
      <c r="V161" s="80">
        <f t="shared" si="23"/>
        <v>3876.495</v>
      </c>
      <c r="W161" s="80">
        <v>0</v>
      </c>
      <c r="X161" s="80">
        <v>0</v>
      </c>
      <c r="Y161" s="114">
        <v>399</v>
      </c>
      <c r="Z161" s="80">
        <f>Y161*Valores!$C$2</f>
        <v>2393.7222960000004</v>
      </c>
      <c r="AA161" s="85">
        <f>SUM(L161,J161,H161,T161)*Valores!$C$3</f>
        <v>907.6695</v>
      </c>
      <c r="AB161" s="90">
        <f>Valores!$C$29</f>
        <v>151.15</v>
      </c>
      <c r="AC161" s="80">
        <f t="shared" si="26"/>
        <v>0</v>
      </c>
      <c r="AD161" s="80">
        <f>Valores!$C$29</f>
        <v>151.15</v>
      </c>
      <c r="AE161" s="115">
        <v>94</v>
      </c>
      <c r="AF161" s="80">
        <f>INT(((AE161*Valores!$C$2)*100)+0.5)/100</f>
        <v>563.93</v>
      </c>
      <c r="AG161" s="80">
        <f>Valores!$C$58</f>
        <v>307.46</v>
      </c>
      <c r="AH161" s="80">
        <f>Valores!$C$60</f>
        <v>87.85</v>
      </c>
      <c r="AI161" s="80">
        <f>SUM(H161,J161,L161,N161,O161,P161,Q161,R161,S161,T161,V161,W161,X161,Z161,AA161,AB161,AC161,AD161,AF161,AG161,AH161)*Valores!$C$63</f>
        <v>0</v>
      </c>
      <c r="AJ161" s="141">
        <f t="shared" si="27"/>
        <v>27388.532944</v>
      </c>
      <c r="AK161" s="85">
        <v>0</v>
      </c>
      <c r="AL161" s="82">
        <v>0</v>
      </c>
      <c r="AM161" s="90">
        <v>0</v>
      </c>
      <c r="AN161" s="82">
        <f>IF($H$4="SI",SUM(AL161+AM161),AL161)*Valores!$C$63</f>
        <v>0</v>
      </c>
      <c r="AO161" s="185">
        <f t="shared" si="31"/>
        <v>0</v>
      </c>
      <c r="AP161" s="154">
        <f>AJ161*-Valores!$C$65</f>
        <v>-3560.50928272</v>
      </c>
      <c r="AQ161" s="154">
        <f>AJ161*-Valores!$C$66</f>
        <v>-136.94266472</v>
      </c>
      <c r="AR161" s="81">
        <f>AJ161*-Valores!$C$67</f>
        <v>-1232.48398248</v>
      </c>
      <c r="AS161" s="81">
        <f>AJ161*-Valores!$C$68</f>
        <v>-739.490389488</v>
      </c>
      <c r="AT161" s="81">
        <f>AJ161*-Valores!$C$69</f>
        <v>-82.165598832</v>
      </c>
      <c r="AU161" s="54">
        <f t="shared" si="28"/>
        <v>22458.59701408</v>
      </c>
      <c r="AV161" s="54">
        <f t="shared" si="29"/>
        <v>22869.425008239996</v>
      </c>
      <c r="AW161" s="81">
        <f>AJ161*Valores!$C$70</f>
        <v>4382.16527104</v>
      </c>
      <c r="AX161" s="81">
        <f>AJ161*Valores!$C$71</f>
        <v>1232.48398248</v>
      </c>
      <c r="AY161" s="81">
        <f>AJ161*Valores!$C$73</f>
        <v>273.88532944</v>
      </c>
      <c r="AZ161" s="81">
        <f>AJ161*Valores!$C$74</f>
        <v>958.59865304</v>
      </c>
      <c r="BA161" s="81">
        <f>AJ161*Valores!$C$75</f>
        <v>164.331197664</v>
      </c>
      <c r="BB161" s="81">
        <f t="shared" si="32"/>
        <v>1478.9807789760002</v>
      </c>
      <c r="BC161" s="55">
        <v>12</v>
      </c>
      <c r="BD161" s="55">
        <v>18</v>
      </c>
      <c r="BE161" s="52" t="s">
        <v>461</v>
      </c>
    </row>
    <row r="162" spans="1:57" s="9" customFormat="1" ht="11.25" customHeight="1">
      <c r="A162" s="20">
        <v>161</v>
      </c>
      <c r="B162" s="20"/>
      <c r="C162" s="9" t="s">
        <v>296</v>
      </c>
      <c r="E162" s="9">
        <f t="shared" si="30"/>
        <v>21</v>
      </c>
      <c r="F162" s="10" t="s">
        <v>297</v>
      </c>
      <c r="G162" s="123">
        <v>810</v>
      </c>
      <c r="H162" s="7">
        <f>INT((G162*Valores!$C$2*100)+0.5)/100</f>
        <v>4859.44</v>
      </c>
      <c r="I162" s="134">
        <v>0</v>
      </c>
      <c r="J162" s="77">
        <f>INT((I162*Valores!$C$2*100)+0.5)/100</f>
        <v>0</v>
      </c>
      <c r="K162" s="146">
        <v>0</v>
      </c>
      <c r="L162" s="77">
        <f>INT((K162*Valores!$C$2*100)+0.5)/100</f>
        <v>0</v>
      </c>
      <c r="M162" s="120">
        <v>0</v>
      </c>
      <c r="N162" s="77">
        <f>INT((M162*Valores!$C$2*100)+0.5)/100</f>
        <v>0</v>
      </c>
      <c r="O162" s="77">
        <f t="shared" si="24"/>
        <v>0</v>
      </c>
      <c r="P162" s="77">
        <f t="shared" si="25"/>
        <v>2810.9199999999996</v>
      </c>
      <c r="Q162" s="61">
        <f>Valores!$C$20</f>
        <v>3519.79</v>
      </c>
      <c r="R162" s="61">
        <f>Valores!$D$4</f>
        <v>2683.49</v>
      </c>
      <c r="S162" s="61">
        <f>Valores!$C$27</f>
        <v>2472.27</v>
      </c>
      <c r="T162" s="87">
        <f>Valores!$C$41</f>
        <v>762.4</v>
      </c>
      <c r="U162" s="61">
        <f>Valores!$C$24</f>
        <v>2549.17</v>
      </c>
      <c r="V162" s="77">
        <f t="shared" si="23"/>
        <v>3823.755</v>
      </c>
      <c r="W162" s="77">
        <v>0</v>
      </c>
      <c r="X162" s="77">
        <v>0</v>
      </c>
      <c r="Y162" s="116">
        <v>0</v>
      </c>
      <c r="Z162" s="77">
        <f>Y162*Valores!$C$2</f>
        <v>0</v>
      </c>
      <c r="AA162" s="77">
        <v>0</v>
      </c>
      <c r="AB162" s="89">
        <f>Valores!$C$29</f>
        <v>151.15</v>
      </c>
      <c r="AC162" s="77">
        <f t="shared" si="26"/>
        <v>0</v>
      </c>
      <c r="AD162" s="77">
        <f>Valores!$C$30</f>
        <v>151.15</v>
      </c>
      <c r="AE162" s="116">
        <v>0</v>
      </c>
      <c r="AF162" s="77">
        <f>INT(((AE162*Valores!$C$2)*100)+0.5)/100</f>
        <v>0</v>
      </c>
      <c r="AG162" s="77">
        <f>Valores!$C$58</f>
        <v>307.46</v>
      </c>
      <c r="AH162" s="77">
        <f>Valores!$C$60</f>
        <v>87.85</v>
      </c>
      <c r="AI162" s="77">
        <f>SUM(H162,J162,L162,N162,O162,P162,Q162,R162,S162,T162,V162,W162,X162,Z162,AA162,AB162,AC162,AD162,AF162,AG162,AH162)*Valores!$C$63</f>
        <v>0</v>
      </c>
      <c r="AJ162" s="140">
        <f t="shared" si="27"/>
        <v>21629.675</v>
      </c>
      <c r="AK162" s="61">
        <f>Valores!$C$35</f>
        <v>415.59</v>
      </c>
      <c r="AL162" s="79">
        <f>Valores!$C$7</f>
        <v>204.98</v>
      </c>
      <c r="AM162" s="89">
        <f>Valores!$C$51</f>
        <v>128.84</v>
      </c>
      <c r="AN162" s="79">
        <f>IF($H$4="SI",SUM(AL162+AM162),AL162)*Valores!$C$63</f>
        <v>0</v>
      </c>
      <c r="AO162" s="12">
        <f t="shared" si="31"/>
        <v>749.41</v>
      </c>
      <c r="AP162" s="13">
        <f>AJ162*-Valores!$C$65</f>
        <v>-2811.85775</v>
      </c>
      <c r="AQ162" s="13">
        <f>AJ162*-Valores!$C$66</f>
        <v>-108.148375</v>
      </c>
      <c r="AR162" s="78">
        <f>AJ162*-Valores!$C$67</f>
        <v>-973.3353749999999</v>
      </c>
      <c r="AS162" s="78">
        <f>AJ162*-Valores!$C$68</f>
        <v>-584.0012250000001</v>
      </c>
      <c r="AT162" s="78">
        <f>AJ162*-Valores!$C$69</f>
        <v>-64.889025</v>
      </c>
      <c r="AU162" s="15">
        <f t="shared" si="28"/>
        <v>18485.7435</v>
      </c>
      <c r="AV162" s="15">
        <f t="shared" si="29"/>
        <v>18810.188625</v>
      </c>
      <c r="AW162" s="78">
        <f>AJ162*Valores!$C$70</f>
        <v>3460.748</v>
      </c>
      <c r="AX162" s="78">
        <f>AJ162*Valores!$C$71</f>
        <v>973.3353749999999</v>
      </c>
      <c r="AY162" s="78">
        <f>AJ162*Valores!$C$73</f>
        <v>216.29675</v>
      </c>
      <c r="AZ162" s="78">
        <f>AJ162*Valores!$C$74</f>
        <v>757.038625</v>
      </c>
      <c r="BA162" s="78">
        <f>AJ162*Valores!$C$75</f>
        <v>129.77805</v>
      </c>
      <c r="BB162" s="78">
        <f t="shared" si="32"/>
        <v>1168.0024500000002</v>
      </c>
      <c r="BC162" s="20"/>
      <c r="BD162" s="20"/>
      <c r="BE162" s="9" t="s">
        <v>462</v>
      </c>
    </row>
    <row r="163" spans="1:57" s="9" customFormat="1" ht="11.25" customHeight="1">
      <c r="A163" s="20">
        <v>162</v>
      </c>
      <c r="B163" s="20"/>
      <c r="C163" s="9" t="s">
        <v>298</v>
      </c>
      <c r="E163" s="9">
        <f t="shared" si="30"/>
        <v>9</v>
      </c>
      <c r="F163" s="10" t="s">
        <v>299</v>
      </c>
      <c r="G163" s="123">
        <v>1065</v>
      </c>
      <c r="H163" s="7">
        <f>INT((G163*Valores!$C$2*100)+0.5)/100</f>
        <v>6389.26</v>
      </c>
      <c r="I163" s="134">
        <v>0</v>
      </c>
      <c r="J163" s="77">
        <f>INT((I163*Valores!$C$2*100)+0.5)/100</f>
        <v>0</v>
      </c>
      <c r="K163" s="146">
        <v>0</v>
      </c>
      <c r="L163" s="77">
        <f>INT((K163*Valores!$C$2*100)+0.5)/100</f>
        <v>0</v>
      </c>
      <c r="M163" s="120">
        <v>0</v>
      </c>
      <c r="N163" s="77">
        <f>INT((M163*Valores!$C$2*100)+0.5)/100</f>
        <v>0</v>
      </c>
      <c r="O163" s="77">
        <f t="shared" si="24"/>
        <v>0</v>
      </c>
      <c r="P163" s="77">
        <f t="shared" si="25"/>
        <v>3575.83</v>
      </c>
      <c r="Q163" s="61">
        <f>Valores!$C$20</f>
        <v>3519.79</v>
      </c>
      <c r="R163" s="61">
        <f>Valores!$D$4</f>
        <v>2683.49</v>
      </c>
      <c r="S163" s="79">
        <f>Valores!$C$27</f>
        <v>2472.27</v>
      </c>
      <c r="T163" s="79">
        <f>Valores!$C$41</f>
        <v>762.4</v>
      </c>
      <c r="U163" s="61">
        <f>Valores!$C$23</f>
        <v>2584.33</v>
      </c>
      <c r="V163" s="77">
        <f t="shared" si="23"/>
        <v>3876.495</v>
      </c>
      <c r="W163" s="77">
        <v>0</v>
      </c>
      <c r="X163" s="77">
        <v>0</v>
      </c>
      <c r="Y163" s="116">
        <v>0</v>
      </c>
      <c r="Z163" s="77">
        <f>Y163*Valores!$C$2</f>
        <v>0</v>
      </c>
      <c r="AA163" s="77">
        <v>0</v>
      </c>
      <c r="AB163" s="89">
        <f>Valores!$C$29</f>
        <v>151.15</v>
      </c>
      <c r="AC163" s="77">
        <f t="shared" si="26"/>
        <v>0</v>
      </c>
      <c r="AD163" s="77">
        <f>Valores!$C$30</f>
        <v>151.15</v>
      </c>
      <c r="AE163" s="116">
        <v>0</v>
      </c>
      <c r="AF163" s="77">
        <f>INT(((AE163*Valores!$C$2)*100)+0.5)/100</f>
        <v>0</v>
      </c>
      <c r="AG163" s="77">
        <f>Valores!$C$58</f>
        <v>307.46</v>
      </c>
      <c r="AH163" s="77">
        <f>Valores!$C$60</f>
        <v>87.85</v>
      </c>
      <c r="AI163" s="77">
        <f>SUM(H163,J163,L163,N163,O163,P163,Q163,R163,S163,T163,V163,W163,X163,Z163,AA163,AB163,AC163,AD163,AF163,AG163,AH163)*Valores!$C$63</f>
        <v>0</v>
      </c>
      <c r="AJ163" s="140">
        <f t="shared" si="27"/>
        <v>23977.145</v>
      </c>
      <c r="AK163" s="61">
        <f>Valores!$C$35</f>
        <v>415.59</v>
      </c>
      <c r="AL163" s="79">
        <f>Valores!$C$7</f>
        <v>204.98</v>
      </c>
      <c r="AM163" s="89">
        <f>Valores!$C$51</f>
        <v>128.84</v>
      </c>
      <c r="AN163" s="79">
        <f>IF($H$4="SI",SUM(AL163+AM163),AL163)*Valores!$C$63</f>
        <v>0</v>
      </c>
      <c r="AO163" s="12">
        <f t="shared" si="31"/>
        <v>749.41</v>
      </c>
      <c r="AP163" s="13">
        <f>AJ163*-Valores!$C$65</f>
        <v>-3117.02885</v>
      </c>
      <c r="AQ163" s="13">
        <f>AJ163*-Valores!$C$66</f>
        <v>-119.88572500000001</v>
      </c>
      <c r="AR163" s="78">
        <f>AJ163*-Valores!$C$67</f>
        <v>-1078.971525</v>
      </c>
      <c r="AS163" s="78">
        <f>AJ163*-Valores!$C$68</f>
        <v>-647.3829150000001</v>
      </c>
      <c r="AT163" s="78">
        <f>AJ163*-Valores!$C$69</f>
        <v>-71.93143500000001</v>
      </c>
      <c r="AU163" s="15">
        <f t="shared" si="28"/>
        <v>20410.6689</v>
      </c>
      <c r="AV163" s="15">
        <f t="shared" si="29"/>
        <v>20770.326075</v>
      </c>
      <c r="AW163" s="78">
        <f>AJ163*Valores!$C$70</f>
        <v>3836.3432000000003</v>
      </c>
      <c r="AX163" s="78">
        <f>AJ163*Valores!$C$71</f>
        <v>1078.971525</v>
      </c>
      <c r="AY163" s="78">
        <f>AJ163*Valores!$C$73</f>
        <v>239.77145000000002</v>
      </c>
      <c r="AZ163" s="78">
        <f>AJ163*Valores!$C$74</f>
        <v>839.2000750000001</v>
      </c>
      <c r="BA163" s="78">
        <f>AJ163*Valores!$C$75</f>
        <v>143.86287000000002</v>
      </c>
      <c r="BB163" s="78">
        <f t="shared" si="32"/>
        <v>1294.76583</v>
      </c>
      <c r="BC163" s="20"/>
      <c r="BD163" s="20">
        <v>27</v>
      </c>
      <c r="BE163" s="9" t="s">
        <v>462</v>
      </c>
    </row>
    <row r="164" spans="1:57" s="9" customFormat="1" ht="11.25" customHeight="1">
      <c r="A164" s="20">
        <v>163</v>
      </c>
      <c r="B164" s="20"/>
      <c r="C164" s="9" t="s">
        <v>298</v>
      </c>
      <c r="E164" s="9">
        <f t="shared" si="30"/>
        <v>33</v>
      </c>
      <c r="F164" s="10" t="s">
        <v>440</v>
      </c>
      <c r="G164" s="123">
        <v>1065</v>
      </c>
      <c r="H164" s="7">
        <f>INT((G164*Valores!$C$2*100)+0.5)/100</f>
        <v>6389.26</v>
      </c>
      <c r="I164" s="134">
        <v>0</v>
      </c>
      <c r="J164" s="77">
        <f>INT((I164*Valores!$C$2*100)+0.5)/100</f>
        <v>0</v>
      </c>
      <c r="K164" s="146">
        <v>0</v>
      </c>
      <c r="L164" s="77">
        <f>INT((K164*Valores!$C$2*100)+0.5)/100</f>
        <v>0</v>
      </c>
      <c r="M164" s="120">
        <v>0</v>
      </c>
      <c r="N164" s="77">
        <f>INT((M164*Valores!$C$2*100)+0.5)/100</f>
        <v>0</v>
      </c>
      <c r="O164" s="77">
        <f t="shared" si="24"/>
        <v>0</v>
      </c>
      <c r="P164" s="77">
        <f t="shared" si="25"/>
        <v>3575.83</v>
      </c>
      <c r="Q164" s="61">
        <f>Valores!$C$20</f>
        <v>3519.79</v>
      </c>
      <c r="R164" s="61">
        <f>Valores!$D$4</f>
        <v>2683.49</v>
      </c>
      <c r="S164" s="79">
        <f>Valores!$C$27</f>
        <v>2472.27</v>
      </c>
      <c r="T164" s="139">
        <f>Valores!$C$41</f>
        <v>762.4</v>
      </c>
      <c r="U164" s="77">
        <f>Valores!$C$23</f>
        <v>2584.33</v>
      </c>
      <c r="V164" s="77">
        <f t="shared" si="23"/>
        <v>3876.495</v>
      </c>
      <c r="W164" s="77">
        <v>0</v>
      </c>
      <c r="X164" s="77">
        <v>0</v>
      </c>
      <c r="Y164" s="116">
        <v>0</v>
      </c>
      <c r="Z164" s="77">
        <f>Y164*Valores!$C$2</f>
        <v>0</v>
      </c>
      <c r="AA164" s="77">
        <v>0</v>
      </c>
      <c r="AB164" s="89">
        <f>Valores!$C$29</f>
        <v>151.15</v>
      </c>
      <c r="AC164" s="77">
        <f t="shared" si="26"/>
        <v>0</v>
      </c>
      <c r="AD164" s="77">
        <f>Valores!$C$30</f>
        <v>151.15</v>
      </c>
      <c r="AE164" s="116">
        <v>94</v>
      </c>
      <c r="AF164" s="77">
        <f>INT(((AE164*Valores!$C$2)*100)+0.5)/100</f>
        <v>563.93</v>
      </c>
      <c r="AG164" s="77">
        <f>Valores!$C$58</f>
        <v>307.46</v>
      </c>
      <c r="AH164" s="77">
        <f>Valores!$C$60</f>
        <v>87.85</v>
      </c>
      <c r="AI164" s="77">
        <f>SUM(H164,J164,L164,N164,O164,P164,Q164,R164,S164,T164,V164,W164,X164,Z164,AA164,AB164,AC164,AD164,AF164,AG164,AH164)*Valores!$C$63</f>
        <v>0</v>
      </c>
      <c r="AJ164" s="140">
        <f t="shared" si="27"/>
        <v>24541.075</v>
      </c>
      <c r="AK164" s="61">
        <f>Valores!$C$35</f>
        <v>415.59</v>
      </c>
      <c r="AL164" s="79">
        <f>Valores!$C$7</f>
        <v>204.98</v>
      </c>
      <c r="AM164" s="89">
        <f>Valores!$C$51</f>
        <v>128.84</v>
      </c>
      <c r="AN164" s="79">
        <f>IF($H$4="SI",SUM(AL164+AM164),AL164)*Valores!$C$63</f>
        <v>0</v>
      </c>
      <c r="AO164" s="12">
        <f t="shared" si="31"/>
        <v>749.41</v>
      </c>
      <c r="AP164" s="13">
        <f>AJ164*-Valores!$C$65</f>
        <v>-3190.33975</v>
      </c>
      <c r="AQ164" s="13">
        <f>AJ164*-Valores!$C$66</f>
        <v>-122.705375</v>
      </c>
      <c r="AR164" s="78">
        <f>AJ164*-Valores!$C$67</f>
        <v>-1104.348375</v>
      </c>
      <c r="AS164" s="78">
        <f>AJ164*-Valores!$C$68</f>
        <v>-662.6090250000001</v>
      </c>
      <c r="AT164" s="78">
        <f>AJ164*-Valores!$C$69</f>
        <v>-73.623225</v>
      </c>
      <c r="AU164" s="15">
        <f t="shared" si="28"/>
        <v>20873.0915</v>
      </c>
      <c r="AV164" s="15">
        <f t="shared" si="29"/>
        <v>21241.207625</v>
      </c>
      <c r="AW164" s="78">
        <f>AJ164*Valores!$C$70</f>
        <v>3926.572</v>
      </c>
      <c r="AX164" s="78">
        <f>AJ164*Valores!$C$71</f>
        <v>1104.348375</v>
      </c>
      <c r="AY164" s="78">
        <f>AJ164*Valores!$C$73</f>
        <v>245.41075</v>
      </c>
      <c r="AZ164" s="78">
        <f>AJ164*Valores!$C$74</f>
        <v>858.9376250000001</v>
      </c>
      <c r="BA164" s="78">
        <f>AJ164*Valores!$C$75</f>
        <v>147.24645</v>
      </c>
      <c r="BB164" s="78">
        <f t="shared" si="32"/>
        <v>1325.2180500000002</v>
      </c>
      <c r="BC164" s="20"/>
      <c r="BD164" s="55">
        <v>27</v>
      </c>
      <c r="BE164" s="9" t="s">
        <v>462</v>
      </c>
    </row>
    <row r="165" spans="1:57" s="9" customFormat="1" ht="11.25" customHeight="1">
      <c r="A165" s="20">
        <v>164</v>
      </c>
      <c r="B165" s="20"/>
      <c r="C165" s="9" t="s">
        <v>300</v>
      </c>
      <c r="E165" s="9">
        <f t="shared" si="30"/>
        <v>30</v>
      </c>
      <c r="F165" s="10" t="s">
        <v>301</v>
      </c>
      <c r="G165" s="123">
        <v>98</v>
      </c>
      <c r="H165" s="7">
        <f>INT((G165*Valores!$C$2*100)+0.5)/100</f>
        <v>587.93</v>
      </c>
      <c r="I165" s="134">
        <v>2686</v>
      </c>
      <c r="J165" s="77">
        <f>INT((I165*Valores!$C$2*100)+0.5)/100</f>
        <v>16114.13</v>
      </c>
      <c r="K165" s="146">
        <v>0</v>
      </c>
      <c r="L165" s="77">
        <f>INT((K165*Valores!$C$2*100)+0.5)/100</f>
        <v>0</v>
      </c>
      <c r="M165" s="120">
        <v>0</v>
      </c>
      <c r="N165" s="77">
        <f>INT((M165*Valores!$C$2*100)+0.5)/100</f>
        <v>0</v>
      </c>
      <c r="O165" s="77">
        <f t="shared" si="24"/>
        <v>0</v>
      </c>
      <c r="P165" s="77">
        <f t="shared" si="25"/>
        <v>11104.276399999999</v>
      </c>
      <c r="Q165" s="87">
        <f>Valores!$C$15</f>
        <v>3695.48</v>
      </c>
      <c r="R165" s="61">
        <f>Valores!$D$4</f>
        <v>2683.49</v>
      </c>
      <c r="S165" s="61">
        <f>Valores!$C$26</f>
        <v>2700.67</v>
      </c>
      <c r="T165" s="87">
        <f>Valores!$C$43</f>
        <v>1306.98</v>
      </c>
      <c r="U165" s="77">
        <f>Valores!$C$23</f>
        <v>2584.33</v>
      </c>
      <c r="V165" s="77">
        <f t="shared" si="23"/>
        <v>3876.495</v>
      </c>
      <c r="W165" s="77">
        <v>0</v>
      </c>
      <c r="X165" s="77">
        <v>0</v>
      </c>
      <c r="Y165" s="113">
        <v>700</v>
      </c>
      <c r="Z165" s="77">
        <f>Y165*Valores!$C$2</f>
        <v>4199.5128</v>
      </c>
      <c r="AA165" s="61">
        <f>SUM(L165,J165,H165,T165)*Valores!$C$3</f>
        <v>2701.3559999999993</v>
      </c>
      <c r="AB165" s="89">
        <f>Valores!$C$29</f>
        <v>151.15</v>
      </c>
      <c r="AC165" s="77">
        <f t="shared" si="26"/>
        <v>0</v>
      </c>
      <c r="AD165" s="77">
        <f>Valores!$C$30</f>
        <v>151.15</v>
      </c>
      <c r="AE165" s="116">
        <v>94</v>
      </c>
      <c r="AF165" s="77">
        <f>INT(((AE165*Valores!$C$2)*100)+0.5)/100</f>
        <v>563.93</v>
      </c>
      <c r="AG165" s="77">
        <f>Valores!$C$58</f>
        <v>307.46</v>
      </c>
      <c r="AH165" s="77">
        <f>Valores!$C$60</f>
        <v>87.85</v>
      </c>
      <c r="AI165" s="77">
        <f>SUM(H165,J165,L165,N165,O165,P165,Q165,R165,S165,T165,V165,W165,X165,Z165,AA165,AB165,AC165,AD165,AF165,AG165,AH165)*Valores!$C$63</f>
        <v>0</v>
      </c>
      <c r="AJ165" s="140">
        <f t="shared" si="27"/>
        <v>50231.860199999996</v>
      </c>
      <c r="AK165" s="61">
        <f>Valores!$C$35</f>
        <v>415.59</v>
      </c>
      <c r="AL165" s="79">
        <f>Valores!$C$9</f>
        <v>351.39</v>
      </c>
      <c r="AM165" s="89">
        <v>0</v>
      </c>
      <c r="AN165" s="79">
        <f>IF($H$4="SI",SUM(AL165+AM165),AL165)*Valores!$C$63</f>
        <v>0</v>
      </c>
      <c r="AO165" s="12">
        <f t="shared" si="31"/>
        <v>766.98</v>
      </c>
      <c r="AP165" s="13">
        <f>AJ165*-Valores!$C$65</f>
        <v>-6530.141826</v>
      </c>
      <c r="AQ165" s="13">
        <f>AJ165*-Valores!$C$66</f>
        <v>-251.15930099999997</v>
      </c>
      <c r="AR165" s="78">
        <f>AJ165*-Valores!$C$67</f>
        <v>-2260.433709</v>
      </c>
      <c r="AS165" s="78">
        <f>AJ165*-Valores!$C$68</f>
        <v>-1356.2602254</v>
      </c>
      <c r="AT165" s="78">
        <f>AJ165*-Valores!$C$69</f>
        <v>-150.6955806</v>
      </c>
      <c r="AU165" s="15">
        <f t="shared" si="28"/>
        <v>41957.105364</v>
      </c>
      <c r="AV165" s="15">
        <f t="shared" si="29"/>
        <v>42710.583267</v>
      </c>
      <c r="AW165" s="78">
        <f>AJ165*Valores!$C$70</f>
        <v>8037.097631999999</v>
      </c>
      <c r="AX165" s="78">
        <f>AJ165*Valores!$C$71</f>
        <v>2260.433709</v>
      </c>
      <c r="AY165" s="78">
        <f>AJ165*Valores!$C$73</f>
        <v>502.31860199999994</v>
      </c>
      <c r="AZ165" s="78">
        <f>AJ165*Valores!$C$74</f>
        <v>1758.115107</v>
      </c>
      <c r="BA165" s="78">
        <f>AJ165*Valores!$C$75</f>
        <v>301.3911612</v>
      </c>
      <c r="BB165" s="78">
        <f t="shared" si="32"/>
        <v>2712.5204508</v>
      </c>
      <c r="BC165" s="20"/>
      <c r="BD165" s="20">
        <v>45</v>
      </c>
      <c r="BE165" s="9" t="s">
        <v>462</v>
      </c>
    </row>
    <row r="166" spans="1:57" s="9" customFormat="1" ht="11.25" customHeight="1">
      <c r="A166" s="55">
        <v>165</v>
      </c>
      <c r="B166" s="55" t="s">
        <v>458</v>
      </c>
      <c r="C166" s="52" t="s">
        <v>302</v>
      </c>
      <c r="D166" s="52"/>
      <c r="E166" s="52">
        <f t="shared" si="30"/>
        <v>30</v>
      </c>
      <c r="F166" s="53" t="s">
        <v>303</v>
      </c>
      <c r="G166" s="124">
        <v>93</v>
      </c>
      <c r="H166" s="129">
        <f>INT((G166*Valores!$C$2*100)+0.5)/100</f>
        <v>557.94</v>
      </c>
      <c r="I166" s="114">
        <v>2547</v>
      </c>
      <c r="J166" s="80">
        <f>INT((I166*Valores!$C$2*100)+0.5)/100</f>
        <v>15280.23</v>
      </c>
      <c r="K166" s="147">
        <v>0</v>
      </c>
      <c r="L166" s="80">
        <f>INT((K166*Valores!$C$2*100)+0.5)/100</f>
        <v>0</v>
      </c>
      <c r="M166" s="121">
        <v>0</v>
      </c>
      <c r="N166" s="80">
        <f>INT((M166*Valores!$C$2*100)+0.5)/100</f>
        <v>0</v>
      </c>
      <c r="O166" s="80">
        <f t="shared" si="24"/>
        <v>0</v>
      </c>
      <c r="P166" s="80">
        <f t="shared" si="25"/>
        <v>10672.331400000001</v>
      </c>
      <c r="Q166" s="88">
        <f>Valores!$C$20</f>
        <v>3519.79</v>
      </c>
      <c r="R166" s="85">
        <f>Valores!$D$4</f>
        <v>2683.49</v>
      </c>
      <c r="S166" s="85">
        <f>Valores!$C$26</f>
        <v>2700.67</v>
      </c>
      <c r="T166" s="88">
        <f>Valores!$C$43</f>
        <v>1306.98</v>
      </c>
      <c r="U166" s="80">
        <f>Valores!$C$23</f>
        <v>2584.33</v>
      </c>
      <c r="V166" s="80">
        <f t="shared" si="23"/>
        <v>3876.495</v>
      </c>
      <c r="W166" s="80">
        <v>0</v>
      </c>
      <c r="X166" s="80">
        <v>0</v>
      </c>
      <c r="Y166" s="114">
        <v>700</v>
      </c>
      <c r="Z166" s="80">
        <f>Y166*Valores!$C$2</f>
        <v>4199.5128</v>
      </c>
      <c r="AA166" s="85">
        <f>SUM(L166,J166,H166,T166)*Valores!$C$3</f>
        <v>2571.7725</v>
      </c>
      <c r="AB166" s="90">
        <f>Valores!$C$29</f>
        <v>151.15</v>
      </c>
      <c r="AC166" s="80">
        <f t="shared" si="26"/>
        <v>0</v>
      </c>
      <c r="AD166" s="80">
        <f>Valores!$C$30</f>
        <v>151.15</v>
      </c>
      <c r="AE166" s="115">
        <v>94</v>
      </c>
      <c r="AF166" s="80">
        <f>INT(((AE166*Valores!$C$2)*100)+0.5)/100</f>
        <v>563.93</v>
      </c>
      <c r="AG166" s="80">
        <f>Valores!$C$58</f>
        <v>307.46</v>
      </c>
      <c r="AH166" s="80">
        <f>Valores!$C$60</f>
        <v>87.85</v>
      </c>
      <c r="AI166" s="80">
        <f>SUM(H166,J166,L166,N166,O166,P166,Q166,R166,S166,T166,V166,W166,X166,Z166,AA166,AB166,AC166,AD166,AF166,AG166,AH166)*Valores!$C$63</f>
        <v>0</v>
      </c>
      <c r="AJ166" s="141">
        <f t="shared" si="27"/>
        <v>48630.7517</v>
      </c>
      <c r="AK166" s="85">
        <f>Valores!$C$35</f>
        <v>415.59</v>
      </c>
      <c r="AL166" s="82">
        <f>Valores!$C$9</f>
        <v>351.39</v>
      </c>
      <c r="AM166" s="90">
        <v>0</v>
      </c>
      <c r="AN166" s="82">
        <f>IF($H$4="SI",SUM(AL166+AM166),AL166)*Valores!$C$63</f>
        <v>0</v>
      </c>
      <c r="AO166" s="185">
        <f t="shared" si="31"/>
        <v>766.98</v>
      </c>
      <c r="AP166" s="154">
        <f>AJ166*-Valores!$C$65</f>
        <v>-6321.997721000001</v>
      </c>
      <c r="AQ166" s="154">
        <f>AJ166*-Valores!$C$66</f>
        <v>-243.1537585</v>
      </c>
      <c r="AR166" s="81">
        <f>AJ166*-Valores!$C$67</f>
        <v>-2188.3838265</v>
      </c>
      <c r="AS166" s="81">
        <f>AJ166*-Valores!$C$68</f>
        <v>-1313.0302959000003</v>
      </c>
      <c r="AT166" s="81">
        <f>AJ166*-Valores!$C$69</f>
        <v>-145.8922551</v>
      </c>
      <c r="AU166" s="54">
        <f t="shared" si="28"/>
        <v>40644.196394000006</v>
      </c>
      <c r="AV166" s="54">
        <f t="shared" si="29"/>
        <v>41373.657669500004</v>
      </c>
      <c r="AW166" s="81">
        <f>AJ166*Valores!$C$70</f>
        <v>7780.920272</v>
      </c>
      <c r="AX166" s="81">
        <f>AJ166*Valores!$C$71</f>
        <v>2188.3838265</v>
      </c>
      <c r="AY166" s="81">
        <f>AJ166*Valores!$C$73</f>
        <v>486.307517</v>
      </c>
      <c r="AZ166" s="81">
        <f>AJ166*Valores!$C$74</f>
        <v>1702.0763095000002</v>
      </c>
      <c r="BA166" s="81">
        <f>AJ166*Valores!$C$75</f>
        <v>291.7845102</v>
      </c>
      <c r="BB166" s="81">
        <f t="shared" si="32"/>
        <v>2626.0605918000006</v>
      </c>
      <c r="BC166" s="55"/>
      <c r="BD166" s="55">
        <v>45</v>
      </c>
      <c r="BE166" s="52" t="s">
        <v>462</v>
      </c>
    </row>
    <row r="167" spans="1:57" s="9" customFormat="1" ht="11.25" customHeight="1">
      <c r="A167" s="20">
        <v>166</v>
      </c>
      <c r="B167" s="20"/>
      <c r="C167" s="9" t="s">
        <v>304</v>
      </c>
      <c r="E167" s="9">
        <f t="shared" si="30"/>
        <v>30</v>
      </c>
      <c r="F167" s="10" t="s">
        <v>305</v>
      </c>
      <c r="G167" s="123">
        <v>89</v>
      </c>
      <c r="H167" s="7">
        <f>INT((G167*Valores!$C$2*100)+0.5)/100</f>
        <v>533.94</v>
      </c>
      <c r="I167" s="134">
        <v>2251</v>
      </c>
      <c r="J167" s="77">
        <f>INT((I167*Valores!$C$2*100)+0.5)/100</f>
        <v>13504.43</v>
      </c>
      <c r="K167" s="146">
        <v>0</v>
      </c>
      <c r="L167" s="77">
        <f>INT((K167*Valores!$C$2*100)+0.5)/100</f>
        <v>0</v>
      </c>
      <c r="M167" s="120">
        <v>0</v>
      </c>
      <c r="N167" s="77">
        <f>INT((M167*Valores!$C$2*100)+0.5)/100</f>
        <v>0</v>
      </c>
      <c r="O167" s="77">
        <f t="shared" si="24"/>
        <v>0</v>
      </c>
      <c r="P167" s="77">
        <f t="shared" si="25"/>
        <v>9772.4314</v>
      </c>
      <c r="Q167" s="87">
        <f>Valores!$C$20</f>
        <v>3519.79</v>
      </c>
      <c r="R167" s="61">
        <f>Valores!$D$4</f>
        <v>2683.49</v>
      </c>
      <c r="S167" s="61">
        <f>Valores!$C$26</f>
        <v>2700.67</v>
      </c>
      <c r="T167" s="87">
        <f>Valores!$C$43</f>
        <v>1306.98</v>
      </c>
      <c r="U167" s="77">
        <f>Valores!$C$23</f>
        <v>2584.33</v>
      </c>
      <c r="V167" s="77">
        <f t="shared" si="23"/>
        <v>3876.495</v>
      </c>
      <c r="W167" s="77">
        <v>0</v>
      </c>
      <c r="X167" s="77">
        <v>0</v>
      </c>
      <c r="Y167" s="113">
        <v>700</v>
      </c>
      <c r="Z167" s="77">
        <f>Y167*Valores!$C$2</f>
        <v>4199.5128</v>
      </c>
      <c r="AA167" s="61">
        <f>SUM(L167,J167,H167,T167)*Valores!$C$3</f>
        <v>2301.8025</v>
      </c>
      <c r="AB167" s="89">
        <f>Valores!$C$29</f>
        <v>151.15</v>
      </c>
      <c r="AC167" s="77">
        <f t="shared" si="26"/>
        <v>0</v>
      </c>
      <c r="AD167" s="77">
        <f>Valores!$C$30</f>
        <v>151.15</v>
      </c>
      <c r="AE167" s="116">
        <v>94</v>
      </c>
      <c r="AF167" s="77">
        <f>INT(((AE167*Valores!$C$2)*100)+0.5)/100</f>
        <v>563.93</v>
      </c>
      <c r="AG167" s="77">
        <f>Valores!$C$58</f>
        <v>307.46</v>
      </c>
      <c r="AH167" s="77">
        <f>Valores!$C$60</f>
        <v>87.85</v>
      </c>
      <c r="AI167" s="77">
        <f>SUM(H167,J167,L167,N167,O167,P167,Q167,R167,S167,T167,V167,W167,X167,Z167,AA167,AB167,AC167,AD167,AF167,AG167,AH167)*Valores!$C$63</f>
        <v>0</v>
      </c>
      <c r="AJ167" s="140">
        <f t="shared" si="27"/>
        <v>45661.0817</v>
      </c>
      <c r="AK167" s="61">
        <f>Valores!$C$35</f>
        <v>415.59</v>
      </c>
      <c r="AL167" s="79">
        <f>Valores!$C$9</f>
        <v>351.39</v>
      </c>
      <c r="AM167" s="89">
        <v>224.5</v>
      </c>
      <c r="AN167" s="79">
        <f>IF($H$4="SI",SUM(AL167+AM167),AL167)*Valores!$C$63</f>
        <v>0</v>
      </c>
      <c r="AO167" s="12">
        <f t="shared" si="31"/>
        <v>991.48</v>
      </c>
      <c r="AP167" s="13">
        <f>AJ167*-Valores!$C$65</f>
        <v>-5935.940621000001</v>
      </c>
      <c r="AQ167" s="13">
        <f>AJ167*-Valores!$C$66</f>
        <v>-228.30540850000003</v>
      </c>
      <c r="AR167" s="78">
        <f>AJ167*-Valores!$C$67</f>
        <v>-2054.7486765</v>
      </c>
      <c r="AS167" s="78">
        <f>AJ167*-Valores!$C$68</f>
        <v>-1232.8492059000002</v>
      </c>
      <c r="AT167" s="78">
        <f>AJ167*-Valores!$C$69</f>
        <v>-136.9832451</v>
      </c>
      <c r="AU167" s="15">
        <f t="shared" si="28"/>
        <v>38433.56699400001</v>
      </c>
      <c r="AV167" s="15">
        <f t="shared" si="29"/>
        <v>39118.48321950001</v>
      </c>
      <c r="AW167" s="78">
        <f>AJ167*Valores!$C$70</f>
        <v>7305.773072000001</v>
      </c>
      <c r="AX167" s="78">
        <f>AJ167*Valores!$C$71</f>
        <v>2054.7486765</v>
      </c>
      <c r="AY167" s="78">
        <f>AJ167*Valores!$C$73</f>
        <v>456.61081700000005</v>
      </c>
      <c r="AZ167" s="78">
        <f>AJ167*Valores!$C$74</f>
        <v>1598.1378595000003</v>
      </c>
      <c r="BA167" s="78">
        <f>AJ167*Valores!$C$75</f>
        <v>273.9664902</v>
      </c>
      <c r="BB167" s="78">
        <f t="shared" si="32"/>
        <v>2465.6984118</v>
      </c>
      <c r="BC167" s="20"/>
      <c r="BD167" s="20">
        <v>45</v>
      </c>
      <c r="BE167" s="9" t="s">
        <v>462</v>
      </c>
    </row>
    <row r="168" spans="1:57" s="9" customFormat="1" ht="11.25" customHeight="1">
      <c r="A168" s="20">
        <v>167</v>
      </c>
      <c r="B168" s="20"/>
      <c r="C168" s="9" t="s">
        <v>306</v>
      </c>
      <c r="E168" s="9">
        <f t="shared" si="30"/>
        <v>31</v>
      </c>
      <c r="F168" s="10" t="s">
        <v>307</v>
      </c>
      <c r="G168" s="123">
        <v>83</v>
      </c>
      <c r="H168" s="7">
        <f>INT((G168*Valores!$C$2*100)+0.5)/100</f>
        <v>497.94</v>
      </c>
      <c r="I168" s="134">
        <v>2352</v>
      </c>
      <c r="J168" s="77">
        <f>INT((I168*Valores!$C$2*100)+0.5)/100</f>
        <v>14110.36</v>
      </c>
      <c r="K168" s="146">
        <v>0</v>
      </c>
      <c r="L168" s="77">
        <f>INT((K168*Valores!$C$2*100)+0.5)/100</f>
        <v>0</v>
      </c>
      <c r="M168" s="120">
        <v>0</v>
      </c>
      <c r="N168" s="77">
        <f>INT((M168*Valores!$C$2*100)+0.5)/100</f>
        <v>0</v>
      </c>
      <c r="O168" s="77">
        <f t="shared" si="24"/>
        <v>0</v>
      </c>
      <c r="P168" s="77">
        <f t="shared" si="25"/>
        <v>10057.3964</v>
      </c>
      <c r="Q168" s="61">
        <f>Valores!$C$20</f>
        <v>3519.79</v>
      </c>
      <c r="R168" s="61">
        <f>Valores!$D$4</f>
        <v>2683.49</v>
      </c>
      <c r="S168" s="77">
        <v>0</v>
      </c>
      <c r="T168" s="79">
        <f>Valores!$C$43</f>
        <v>1306.98</v>
      </c>
      <c r="U168" s="77">
        <f>Valores!$C$23</f>
        <v>2584.33</v>
      </c>
      <c r="V168" s="77">
        <f t="shared" si="23"/>
        <v>3876.495</v>
      </c>
      <c r="W168" s="77">
        <v>0</v>
      </c>
      <c r="X168" s="77">
        <v>0</v>
      </c>
      <c r="Y168" s="113">
        <v>700</v>
      </c>
      <c r="Z168" s="77">
        <f>Y168*Valores!$C$2</f>
        <v>4199.5128</v>
      </c>
      <c r="AA168" s="61">
        <f>SUM(L168,J168,H168,T168)*Valores!$C$3</f>
        <v>2387.292</v>
      </c>
      <c r="AB168" s="89">
        <f>Valores!$C$29</f>
        <v>151.15</v>
      </c>
      <c r="AC168" s="77">
        <f t="shared" si="26"/>
        <v>0</v>
      </c>
      <c r="AD168" s="77">
        <f>Valores!$C$30</f>
        <v>151.15</v>
      </c>
      <c r="AE168" s="116">
        <v>94</v>
      </c>
      <c r="AF168" s="77">
        <f>INT(((AE168*Valores!$C$2)*100)+0.5)/100</f>
        <v>563.93</v>
      </c>
      <c r="AG168" s="77">
        <f>Valores!$C$58</f>
        <v>307.46</v>
      </c>
      <c r="AH168" s="77">
        <f>Valores!$C$60</f>
        <v>87.85</v>
      </c>
      <c r="AI168" s="77">
        <f>SUM(H168,J168,L168,N168,O168,P168,Q168,R168,S168,T168,V168,W168,X168,Z168,AA168,AB168,AC168,AD168,AF168,AG168,AH168)*Valores!$C$63</f>
        <v>0</v>
      </c>
      <c r="AJ168" s="140">
        <f t="shared" si="27"/>
        <v>43900.79620000001</v>
      </c>
      <c r="AK168" s="61">
        <f>Valores!$C$35</f>
        <v>415.59</v>
      </c>
      <c r="AL168" s="79">
        <f>Valores!$C$9</f>
        <v>351.39</v>
      </c>
      <c r="AM168" s="89">
        <v>0</v>
      </c>
      <c r="AN168" s="79">
        <f>IF($H$4="SI",SUM(AL168+AM168),AL168)*Valores!$C$63</f>
        <v>0</v>
      </c>
      <c r="AO168" s="12">
        <f t="shared" si="31"/>
        <v>766.98</v>
      </c>
      <c r="AP168" s="13">
        <f>AJ168*-Valores!$C$65</f>
        <v>-5707.103506000001</v>
      </c>
      <c r="AQ168" s="13">
        <f>AJ168*-Valores!$C$66</f>
        <v>-219.50398100000007</v>
      </c>
      <c r="AR168" s="78">
        <f>AJ168*-Valores!$C$67</f>
        <v>-1975.5358290000004</v>
      </c>
      <c r="AS168" s="78">
        <f>AJ168*-Valores!$C$68</f>
        <v>-1185.3214974000005</v>
      </c>
      <c r="AT168" s="78">
        <f>AJ168*-Valores!$C$69</f>
        <v>-131.70238860000003</v>
      </c>
      <c r="AU168" s="15">
        <f t="shared" si="28"/>
        <v>36765.63288400001</v>
      </c>
      <c r="AV168" s="15">
        <f t="shared" si="29"/>
        <v>37424.14482700001</v>
      </c>
      <c r="AW168" s="78">
        <f>AJ168*Valores!$C$70</f>
        <v>7024.127392000002</v>
      </c>
      <c r="AX168" s="78">
        <f>AJ168*Valores!$C$71</f>
        <v>1975.5358290000004</v>
      </c>
      <c r="AY168" s="78">
        <f>AJ168*Valores!$C$73</f>
        <v>439.00796200000013</v>
      </c>
      <c r="AZ168" s="78">
        <f>AJ168*Valores!$C$74</f>
        <v>1536.5278670000005</v>
      </c>
      <c r="BA168" s="78">
        <f>AJ168*Valores!$C$75</f>
        <v>263.40477720000007</v>
      </c>
      <c r="BB168" s="78">
        <f t="shared" si="32"/>
        <v>2370.642994800001</v>
      </c>
      <c r="BC168" s="20"/>
      <c r="BD168" s="20">
        <v>45</v>
      </c>
      <c r="BE168" s="9" t="s">
        <v>461</v>
      </c>
    </row>
    <row r="169" spans="1:57" s="9" customFormat="1" ht="11.25" customHeight="1">
      <c r="A169" s="20">
        <v>168</v>
      </c>
      <c r="B169" s="20"/>
      <c r="C169" s="9" t="s">
        <v>308</v>
      </c>
      <c r="E169" s="9">
        <f t="shared" si="30"/>
        <v>31</v>
      </c>
      <c r="F169" s="10" t="s">
        <v>309</v>
      </c>
      <c r="G169" s="123">
        <v>83</v>
      </c>
      <c r="H169" s="7">
        <f>INT((G169*Valores!$C$2*100)+0.5)/100</f>
        <v>497.94</v>
      </c>
      <c r="I169" s="134">
        <v>2092</v>
      </c>
      <c r="J169" s="77">
        <f>INT((I169*Valores!$C$2*100)+0.5)/100</f>
        <v>12550.54</v>
      </c>
      <c r="K169" s="146">
        <v>0</v>
      </c>
      <c r="L169" s="77">
        <f>INT((K169*Valores!$C$2*100)+0.5)/100</f>
        <v>0</v>
      </c>
      <c r="M169" s="120">
        <v>0</v>
      </c>
      <c r="N169" s="77">
        <f>INT((M169*Valores!$C$2*100)+0.5)/100</f>
        <v>0</v>
      </c>
      <c r="O169" s="77">
        <f t="shared" si="24"/>
        <v>0</v>
      </c>
      <c r="P169" s="77">
        <f t="shared" si="25"/>
        <v>9277.4864</v>
      </c>
      <c r="Q169" s="61">
        <f>Valores!$C$20</f>
        <v>3519.79</v>
      </c>
      <c r="R169" s="61">
        <f>Valores!$D$4</f>
        <v>2683.49</v>
      </c>
      <c r="S169" s="77">
        <v>0</v>
      </c>
      <c r="T169" s="79">
        <f>Valores!$C$43</f>
        <v>1306.98</v>
      </c>
      <c r="U169" s="77">
        <f>Valores!$C$23</f>
        <v>2584.33</v>
      </c>
      <c r="V169" s="77">
        <f t="shared" si="23"/>
        <v>3876.495</v>
      </c>
      <c r="W169" s="77">
        <v>0</v>
      </c>
      <c r="X169" s="77">
        <v>0</v>
      </c>
      <c r="Y169" s="113">
        <v>700</v>
      </c>
      <c r="Z169" s="77">
        <f>Y169*Valores!$C$2</f>
        <v>4199.5128</v>
      </c>
      <c r="AA169" s="61">
        <f>SUM(L169,J169,H169,T169)*Valores!$C$3</f>
        <v>2153.319</v>
      </c>
      <c r="AB169" s="89">
        <f>Valores!$C$29</f>
        <v>151.15</v>
      </c>
      <c r="AC169" s="77">
        <f t="shared" si="26"/>
        <v>0</v>
      </c>
      <c r="AD169" s="77">
        <f>Valores!$C$30</f>
        <v>151.15</v>
      </c>
      <c r="AE169" s="116">
        <v>94</v>
      </c>
      <c r="AF169" s="77">
        <f>INT(((AE169*Valores!$C$2)*100)+0.5)/100</f>
        <v>563.93</v>
      </c>
      <c r="AG169" s="77">
        <f>Valores!$C$58</f>
        <v>307.46</v>
      </c>
      <c r="AH169" s="77">
        <f>Valores!$C$60</f>
        <v>87.85</v>
      </c>
      <c r="AI169" s="77">
        <f>SUM(H169,J169,L169,N169,O169,P169,Q169,R169,S169,T169,V169,W169,X169,Z169,AA169,AB169,AC169,AD169,AF169,AG169,AH169)*Valores!$C$63</f>
        <v>0</v>
      </c>
      <c r="AJ169" s="140">
        <f t="shared" si="27"/>
        <v>41327.09320000001</v>
      </c>
      <c r="AK169" s="61">
        <f>Valores!$C$35</f>
        <v>415.59</v>
      </c>
      <c r="AL169" s="79">
        <f>Valores!$C$9</f>
        <v>351.39</v>
      </c>
      <c r="AM169" s="89">
        <v>0</v>
      </c>
      <c r="AN169" s="79">
        <f>IF($H$4="SI",SUM(AL169+AM169),AL169)*Valores!$C$63</f>
        <v>0</v>
      </c>
      <c r="AO169" s="12">
        <f t="shared" si="31"/>
        <v>766.98</v>
      </c>
      <c r="AP169" s="13">
        <f>AJ169*-Valores!$C$65</f>
        <v>-5372.522116000002</v>
      </c>
      <c r="AQ169" s="13">
        <f>AJ169*-Valores!$C$66</f>
        <v>-206.63546600000006</v>
      </c>
      <c r="AR169" s="78">
        <f>AJ169*-Valores!$C$67</f>
        <v>-1859.7191940000005</v>
      </c>
      <c r="AS169" s="78">
        <f>AJ169*-Valores!$C$68</f>
        <v>-1115.8315164000005</v>
      </c>
      <c r="AT169" s="78">
        <f>AJ169*-Valores!$C$69</f>
        <v>-123.98127960000004</v>
      </c>
      <c r="AU169" s="15">
        <f t="shared" si="28"/>
        <v>34655.196424000016</v>
      </c>
      <c r="AV169" s="15">
        <f t="shared" si="29"/>
        <v>35275.102822000015</v>
      </c>
      <c r="AW169" s="78">
        <f>AJ169*Valores!$C$70</f>
        <v>6612.334912000002</v>
      </c>
      <c r="AX169" s="78">
        <f>AJ169*Valores!$C$71</f>
        <v>1859.7191940000005</v>
      </c>
      <c r="AY169" s="78">
        <f>AJ169*Valores!$C$73</f>
        <v>413.27093200000013</v>
      </c>
      <c r="AZ169" s="78">
        <f>AJ169*Valores!$C$74</f>
        <v>1446.4482620000006</v>
      </c>
      <c r="BA169" s="78">
        <f>AJ169*Valores!$C$75</f>
        <v>247.96255920000007</v>
      </c>
      <c r="BB169" s="78">
        <f t="shared" si="32"/>
        <v>2231.663032800001</v>
      </c>
      <c r="BC169" s="20"/>
      <c r="BD169" s="55">
        <v>45</v>
      </c>
      <c r="BE169" s="9" t="s">
        <v>461</v>
      </c>
    </row>
    <row r="170" spans="1:57" s="9" customFormat="1" ht="11.25" customHeight="1">
      <c r="A170" s="20">
        <v>169</v>
      </c>
      <c r="B170" s="20"/>
      <c r="C170" s="9" t="s">
        <v>310</v>
      </c>
      <c r="E170" s="9">
        <f t="shared" si="30"/>
        <v>31</v>
      </c>
      <c r="F170" s="10" t="s">
        <v>311</v>
      </c>
      <c r="G170" s="123">
        <v>82</v>
      </c>
      <c r="H170" s="7">
        <f>INT((G170*Valores!$C$2*100)+0.5)/100</f>
        <v>491.94</v>
      </c>
      <c r="I170" s="134">
        <v>1941</v>
      </c>
      <c r="J170" s="77">
        <f>INT((I170*Valores!$C$2*100)+0.5)/100</f>
        <v>11644.65</v>
      </c>
      <c r="K170" s="146">
        <v>0</v>
      </c>
      <c r="L170" s="77">
        <f>INT((K170*Valores!$C$2*100)+0.5)/100</f>
        <v>0</v>
      </c>
      <c r="M170" s="120">
        <v>0</v>
      </c>
      <c r="N170" s="77">
        <f>INT((M170*Valores!$C$2*100)+0.5)/100</f>
        <v>0</v>
      </c>
      <c r="O170" s="77">
        <f t="shared" si="24"/>
        <v>0</v>
      </c>
      <c r="P170" s="77">
        <f t="shared" si="25"/>
        <v>8821.5414</v>
      </c>
      <c r="Q170" s="61">
        <f>Valores!$C$20</f>
        <v>3519.79</v>
      </c>
      <c r="R170" s="61">
        <f>Valores!$D$4</f>
        <v>2683.49</v>
      </c>
      <c r="S170" s="77">
        <v>0</v>
      </c>
      <c r="T170" s="79">
        <f>Valores!$C$43</f>
        <v>1306.98</v>
      </c>
      <c r="U170" s="77">
        <f>Valores!$C$23</f>
        <v>2584.33</v>
      </c>
      <c r="V170" s="77">
        <f t="shared" si="23"/>
        <v>3876.495</v>
      </c>
      <c r="W170" s="77">
        <v>0</v>
      </c>
      <c r="X170" s="77">
        <v>0</v>
      </c>
      <c r="Y170" s="113">
        <v>700</v>
      </c>
      <c r="Z170" s="77">
        <f>Y170*Valores!$C$2</f>
        <v>4199.5128</v>
      </c>
      <c r="AA170" s="61">
        <f>SUM(L170,J170,H170,T170)*Valores!$C$3</f>
        <v>2016.5355</v>
      </c>
      <c r="AB170" s="89">
        <f>Valores!$C$29</f>
        <v>151.15</v>
      </c>
      <c r="AC170" s="77">
        <f t="shared" si="26"/>
        <v>0</v>
      </c>
      <c r="AD170" s="77">
        <f>Valores!$C$30</f>
        <v>151.15</v>
      </c>
      <c r="AE170" s="116">
        <v>94</v>
      </c>
      <c r="AF170" s="77">
        <f>INT(((AE170*Valores!$C$2)*100)+0.5)/100</f>
        <v>563.93</v>
      </c>
      <c r="AG170" s="77">
        <f>Valores!$C$58</f>
        <v>307.46</v>
      </c>
      <c r="AH170" s="77">
        <f>Valores!$C$60</f>
        <v>87.85</v>
      </c>
      <c r="AI170" s="77">
        <f>SUM(H170,J170,L170,N170,O170,P170,Q170,R170,S170,T170,V170,W170,X170,Z170,AA170,AB170,AC170,AD170,AF170,AG170,AH170)*Valores!$C$63</f>
        <v>0</v>
      </c>
      <c r="AJ170" s="140">
        <f t="shared" si="27"/>
        <v>39822.4747</v>
      </c>
      <c r="AK170" s="61">
        <f>Valores!$C$35</f>
        <v>415.59</v>
      </c>
      <c r="AL170" s="79">
        <f>Valores!$C$9</f>
        <v>351.39</v>
      </c>
      <c r="AM170" s="89">
        <v>0</v>
      </c>
      <c r="AN170" s="79">
        <f>IF($H$4="SI",SUM(AL170+AM170),AL170)*Valores!$C$63</f>
        <v>0</v>
      </c>
      <c r="AO170" s="12">
        <f t="shared" si="31"/>
        <v>766.98</v>
      </c>
      <c r="AP170" s="13">
        <f>AJ170*-Valores!$C$65</f>
        <v>-5176.921711</v>
      </c>
      <c r="AQ170" s="13">
        <f>AJ170*-Valores!$C$66</f>
        <v>-199.1123735</v>
      </c>
      <c r="AR170" s="78">
        <f>AJ170*-Valores!$C$67</f>
        <v>-1792.0113614999998</v>
      </c>
      <c r="AS170" s="78">
        <f>AJ170*-Valores!$C$68</f>
        <v>-1075.2068169000001</v>
      </c>
      <c r="AT170" s="78">
        <f>AJ170*-Valores!$C$69</f>
        <v>-119.4674241</v>
      </c>
      <c r="AU170" s="15">
        <f t="shared" si="28"/>
        <v>33421.409254</v>
      </c>
      <c r="AV170" s="15">
        <f t="shared" si="29"/>
        <v>34018.7463745</v>
      </c>
      <c r="AW170" s="78">
        <f>AJ170*Valores!$C$70</f>
        <v>6371.595952</v>
      </c>
      <c r="AX170" s="78">
        <f>AJ170*Valores!$C$71</f>
        <v>1792.0113614999998</v>
      </c>
      <c r="AY170" s="78">
        <f>AJ170*Valores!$C$73</f>
        <v>398.224747</v>
      </c>
      <c r="AZ170" s="78">
        <f>AJ170*Valores!$C$74</f>
        <v>1393.7866145</v>
      </c>
      <c r="BA170" s="78">
        <f>AJ170*Valores!$C$75</f>
        <v>238.9348482</v>
      </c>
      <c r="BB170" s="78">
        <f t="shared" si="32"/>
        <v>2150.4136338</v>
      </c>
      <c r="BC170" s="20"/>
      <c r="BD170" s="20">
        <v>45</v>
      </c>
      <c r="BE170" s="9" t="s">
        <v>461</v>
      </c>
    </row>
    <row r="171" spans="1:57" s="9" customFormat="1" ht="11.25" customHeight="1">
      <c r="A171" s="55">
        <v>170</v>
      </c>
      <c r="B171" s="55" t="s">
        <v>458</v>
      </c>
      <c r="C171" s="52" t="s">
        <v>312</v>
      </c>
      <c r="D171" s="52"/>
      <c r="E171" s="52">
        <f t="shared" si="30"/>
        <v>30</v>
      </c>
      <c r="F171" s="53" t="s">
        <v>313</v>
      </c>
      <c r="G171" s="124">
        <v>79</v>
      </c>
      <c r="H171" s="129">
        <f>INT((G171*Valores!$C$2*100)+0.5)/100</f>
        <v>473.95</v>
      </c>
      <c r="I171" s="133">
        <v>2161</v>
      </c>
      <c r="J171" s="80">
        <f>INT((I171*Valores!$C$2*100)+0.5)/100</f>
        <v>12964.5</v>
      </c>
      <c r="K171" s="147">
        <v>0</v>
      </c>
      <c r="L171" s="80">
        <f>INT((K171*Valores!$C$2*100)+0.5)/100</f>
        <v>0</v>
      </c>
      <c r="M171" s="121">
        <v>0</v>
      </c>
      <c r="N171" s="80">
        <f>INT((M171*Valores!$C$2*100)+0.5)/100</f>
        <v>0</v>
      </c>
      <c r="O171" s="80">
        <f t="shared" si="24"/>
        <v>0</v>
      </c>
      <c r="P171" s="80">
        <f t="shared" si="25"/>
        <v>9472.4714</v>
      </c>
      <c r="Q171" s="85">
        <f>Valores!$C$20</f>
        <v>3519.79</v>
      </c>
      <c r="R171" s="85">
        <f>Valores!$D$4</f>
        <v>2683.49</v>
      </c>
      <c r="S171" s="80">
        <v>0</v>
      </c>
      <c r="T171" s="82">
        <f>Valores!$C$43</f>
        <v>1306.98</v>
      </c>
      <c r="U171" s="80">
        <f>Valores!$C$23</f>
        <v>2584.33</v>
      </c>
      <c r="V171" s="80">
        <f t="shared" si="23"/>
        <v>3876.495</v>
      </c>
      <c r="W171" s="80">
        <v>0</v>
      </c>
      <c r="X171" s="80">
        <v>0</v>
      </c>
      <c r="Y171" s="114">
        <v>700</v>
      </c>
      <c r="Z171" s="80">
        <f>Y171*Valores!$C$2</f>
        <v>4199.5128</v>
      </c>
      <c r="AA171" s="85">
        <f>SUM(L171,J171,H171,T171)*Valores!$C$3</f>
        <v>2211.8145</v>
      </c>
      <c r="AB171" s="90">
        <f>Valores!$C$29</f>
        <v>151.15</v>
      </c>
      <c r="AC171" s="80">
        <f t="shared" si="26"/>
        <v>0</v>
      </c>
      <c r="AD171" s="80">
        <f>Valores!$C$30</f>
        <v>151.15</v>
      </c>
      <c r="AE171" s="115">
        <v>94</v>
      </c>
      <c r="AF171" s="80">
        <f>INT(((AE171*Valores!$C$2)*100)+0.5)/100</f>
        <v>563.93</v>
      </c>
      <c r="AG171" s="80">
        <f>Valores!$C$58</f>
        <v>307.46</v>
      </c>
      <c r="AH171" s="80">
        <f>Valores!$C$60</f>
        <v>87.85</v>
      </c>
      <c r="AI171" s="80">
        <f>SUM(H171,J171,L171,N171,O171,P171,Q171,R171,S171,T171,V171,W171,X171,Z171,AA171,AB171,AC171,AD171,AF171,AG171,AH171)*Valores!$C$63</f>
        <v>0</v>
      </c>
      <c r="AJ171" s="141">
        <f t="shared" si="27"/>
        <v>41970.5437</v>
      </c>
      <c r="AK171" s="85">
        <f>Valores!$C$35</f>
        <v>415.59</v>
      </c>
      <c r="AL171" s="82">
        <f>Valores!$C$9</f>
        <v>351.39</v>
      </c>
      <c r="AM171" s="90">
        <v>0</v>
      </c>
      <c r="AN171" s="82">
        <f>IF($H$4="SI",SUM(AL171+AM171),AL171)*Valores!$C$63</f>
        <v>0</v>
      </c>
      <c r="AO171" s="185">
        <f t="shared" si="31"/>
        <v>766.98</v>
      </c>
      <c r="AP171" s="154">
        <f>AJ171*-Valores!$C$65</f>
        <v>-5456.1706810000005</v>
      </c>
      <c r="AQ171" s="154">
        <f>AJ171*-Valores!$C$66</f>
        <v>-209.8527185</v>
      </c>
      <c r="AR171" s="81">
        <f>AJ171*-Valores!$C$67</f>
        <v>-1888.6744665</v>
      </c>
      <c r="AS171" s="81">
        <f>AJ171*-Valores!$C$68</f>
        <v>-1133.2046799000002</v>
      </c>
      <c r="AT171" s="81">
        <f>AJ171*-Valores!$C$69</f>
        <v>-125.91163110000001</v>
      </c>
      <c r="AU171" s="54">
        <f t="shared" si="28"/>
        <v>35182.825834</v>
      </c>
      <c r="AV171" s="54">
        <f t="shared" si="29"/>
        <v>35812.3839895</v>
      </c>
      <c r="AW171" s="81">
        <f>AJ171*Valores!$C$70</f>
        <v>6715.286992</v>
      </c>
      <c r="AX171" s="81">
        <f>AJ171*Valores!$C$71</f>
        <v>1888.6744665</v>
      </c>
      <c r="AY171" s="81">
        <f>AJ171*Valores!$C$73</f>
        <v>419.705437</v>
      </c>
      <c r="AZ171" s="81">
        <f>AJ171*Valores!$C$74</f>
        <v>1468.9690295000003</v>
      </c>
      <c r="BA171" s="81">
        <f>AJ171*Valores!$C$75</f>
        <v>251.82326220000002</v>
      </c>
      <c r="BB171" s="81">
        <f t="shared" si="32"/>
        <v>2266.4093598000004</v>
      </c>
      <c r="BC171" s="55"/>
      <c r="BD171" s="55">
        <v>45</v>
      </c>
      <c r="BE171" s="52" t="s">
        <v>461</v>
      </c>
    </row>
    <row r="172" spans="1:57" s="9" customFormat="1" ht="11.25" customHeight="1">
      <c r="A172" s="20">
        <v>171</v>
      </c>
      <c r="B172" s="20"/>
      <c r="C172" s="9" t="s">
        <v>314</v>
      </c>
      <c r="E172" s="9">
        <f t="shared" si="30"/>
        <v>28</v>
      </c>
      <c r="F172" s="10" t="s">
        <v>315</v>
      </c>
      <c r="G172" s="123">
        <v>98</v>
      </c>
      <c r="H172" s="7">
        <f>INT((G172*Valores!$C$2*100)+0.5)/100</f>
        <v>587.93</v>
      </c>
      <c r="I172" s="134">
        <v>2686</v>
      </c>
      <c r="J172" s="77">
        <f>INT((I172*Valores!$C$2*100)+0.5)/100</f>
        <v>16114.13</v>
      </c>
      <c r="K172" s="146">
        <v>0</v>
      </c>
      <c r="L172" s="77">
        <f>INT((K172*Valores!$C$2*100)+0.5)/100</f>
        <v>0</v>
      </c>
      <c r="M172" s="120">
        <v>0</v>
      </c>
      <c r="N172" s="77">
        <f>INT((M172*Valores!$C$2*100)+0.5)/100</f>
        <v>0</v>
      </c>
      <c r="O172" s="77">
        <f t="shared" si="24"/>
        <v>0</v>
      </c>
      <c r="P172" s="77">
        <f t="shared" si="25"/>
        <v>11104.276399999999</v>
      </c>
      <c r="Q172" s="77">
        <f>Valores!$C$20</f>
        <v>3519.79</v>
      </c>
      <c r="R172" s="61">
        <f>Valores!$D$4</f>
        <v>2683.49</v>
      </c>
      <c r="S172" s="77">
        <v>0</v>
      </c>
      <c r="T172" s="79">
        <f>Valores!$C$43</f>
        <v>1306.98</v>
      </c>
      <c r="U172" s="77">
        <f>Valores!$C$23</f>
        <v>2584.33</v>
      </c>
      <c r="V172" s="77">
        <f t="shared" si="23"/>
        <v>3876.495</v>
      </c>
      <c r="W172" s="77">
        <v>0</v>
      </c>
      <c r="X172" s="77">
        <v>0</v>
      </c>
      <c r="Y172" s="113">
        <v>700</v>
      </c>
      <c r="Z172" s="77">
        <f>Y172*Valores!$C$2</f>
        <v>4199.5128</v>
      </c>
      <c r="AA172" s="61">
        <f>SUM(L172,J172,H172,T172)*Valores!$C$3</f>
        <v>2701.3559999999993</v>
      </c>
      <c r="AB172" s="89">
        <f>Valores!$C$29</f>
        <v>151.15</v>
      </c>
      <c r="AC172" s="77">
        <f t="shared" si="26"/>
        <v>0</v>
      </c>
      <c r="AD172" s="77">
        <f>Valores!$C$30</f>
        <v>151.15</v>
      </c>
      <c r="AE172" s="116">
        <v>0</v>
      </c>
      <c r="AF172" s="77">
        <f>INT(((AE172*Valores!$C$2)*100)+0.5)/100</f>
        <v>0</v>
      </c>
      <c r="AG172" s="77">
        <f>Valores!$C$58</f>
        <v>307.46</v>
      </c>
      <c r="AH172" s="77">
        <f>Valores!$C$60</f>
        <v>87.85</v>
      </c>
      <c r="AI172" s="77">
        <f>SUM(H172,J172,L172,N172,O172,P172,Q172,R172,S172,T172,V172,W172,X172,Z172,AA172,AB172,AC172,AD172,AF172,AG172,AH172)*Valores!$C$63</f>
        <v>0</v>
      </c>
      <c r="AJ172" s="140">
        <f t="shared" si="27"/>
        <v>46791.57020000001</v>
      </c>
      <c r="AK172" s="61">
        <f>Valores!$C$35</f>
        <v>415.59</v>
      </c>
      <c r="AL172" s="79">
        <f>Valores!$C$9</f>
        <v>351.39</v>
      </c>
      <c r="AM172" s="89">
        <v>0</v>
      </c>
      <c r="AN172" s="79">
        <f>IF($H$4="SI",SUM(AL172+AM172),AL172)*Valores!$C$63</f>
        <v>0</v>
      </c>
      <c r="AO172" s="12">
        <f t="shared" si="31"/>
        <v>766.98</v>
      </c>
      <c r="AP172" s="13">
        <f>AJ172*-Valores!$C$65</f>
        <v>-6082.904126000001</v>
      </c>
      <c r="AQ172" s="13">
        <f>AJ172*-Valores!$C$66</f>
        <v>-233.95785100000006</v>
      </c>
      <c r="AR172" s="78">
        <f>AJ172*-Valores!$C$67</f>
        <v>-2105.620659</v>
      </c>
      <c r="AS172" s="78">
        <f>AJ172*-Valores!$C$68</f>
        <v>-1263.3723954000004</v>
      </c>
      <c r="AT172" s="78">
        <f>AJ172*-Valores!$C$69</f>
        <v>-140.37471060000004</v>
      </c>
      <c r="AU172" s="15">
        <f t="shared" si="28"/>
        <v>39136.06756400001</v>
      </c>
      <c r="AV172" s="15">
        <f t="shared" si="29"/>
        <v>39837.94111700001</v>
      </c>
      <c r="AW172" s="78">
        <f>AJ172*Valores!$C$70</f>
        <v>7486.651232000002</v>
      </c>
      <c r="AX172" s="78">
        <f>AJ172*Valores!$C$71</f>
        <v>2105.620659</v>
      </c>
      <c r="AY172" s="78">
        <f>AJ172*Valores!$C$73</f>
        <v>467.9157020000001</v>
      </c>
      <c r="AZ172" s="78">
        <f>AJ172*Valores!$C$74</f>
        <v>1637.7049570000004</v>
      </c>
      <c r="BA172" s="78">
        <f>AJ172*Valores!$C$75</f>
        <v>280.7494212000001</v>
      </c>
      <c r="BB172" s="78">
        <f t="shared" si="32"/>
        <v>2526.744790800001</v>
      </c>
      <c r="BC172" s="20"/>
      <c r="BD172" s="20"/>
      <c r="BE172" s="9" t="s">
        <v>461</v>
      </c>
    </row>
    <row r="173" spans="1:57" s="9" customFormat="1" ht="11.25" customHeight="1">
      <c r="A173" s="20">
        <v>172</v>
      </c>
      <c r="B173" s="20"/>
      <c r="C173" s="9" t="s">
        <v>316</v>
      </c>
      <c r="E173" s="9">
        <f t="shared" si="30"/>
        <v>28</v>
      </c>
      <c r="F173" s="10" t="s">
        <v>317</v>
      </c>
      <c r="G173" s="123">
        <v>93</v>
      </c>
      <c r="H173" s="7">
        <f>INT((G173*Valores!$C$2*100)+0.5)/100</f>
        <v>557.94</v>
      </c>
      <c r="I173" s="134">
        <v>2547</v>
      </c>
      <c r="J173" s="77">
        <f>INT((I173*Valores!$C$2*100)+0.5)/100</f>
        <v>15280.23</v>
      </c>
      <c r="K173" s="146">
        <v>0</v>
      </c>
      <c r="L173" s="77">
        <f>INT((K173*Valores!$C$2*100)+0.5)/100</f>
        <v>0</v>
      </c>
      <c r="M173" s="120">
        <v>0</v>
      </c>
      <c r="N173" s="77">
        <f>INT((M173*Valores!$C$2*100)+0.5)/100</f>
        <v>0</v>
      </c>
      <c r="O173" s="77">
        <f t="shared" si="24"/>
        <v>0</v>
      </c>
      <c r="P173" s="77">
        <f t="shared" si="25"/>
        <v>10672.331400000001</v>
      </c>
      <c r="Q173" s="87">
        <f>Valores!$C$20</f>
        <v>3519.79</v>
      </c>
      <c r="R173" s="61">
        <f>Valores!$D$4</f>
        <v>2683.49</v>
      </c>
      <c r="S173" s="77">
        <v>0</v>
      </c>
      <c r="T173" s="79">
        <f>Valores!$C$43</f>
        <v>1306.98</v>
      </c>
      <c r="U173" s="77">
        <f>Valores!$C$23</f>
        <v>2584.33</v>
      </c>
      <c r="V173" s="77">
        <f t="shared" si="23"/>
        <v>3876.495</v>
      </c>
      <c r="W173" s="77">
        <v>0</v>
      </c>
      <c r="X173" s="77">
        <v>0</v>
      </c>
      <c r="Y173" s="113">
        <v>700</v>
      </c>
      <c r="Z173" s="77">
        <f>Y173*Valores!$C$2</f>
        <v>4199.5128</v>
      </c>
      <c r="AA173" s="61">
        <f>SUM(L173,J173,H173,T173)*Valores!$C$3</f>
        <v>2571.7725</v>
      </c>
      <c r="AB173" s="89">
        <f>Valores!$C$29</f>
        <v>151.15</v>
      </c>
      <c r="AC173" s="77">
        <f t="shared" si="26"/>
        <v>0</v>
      </c>
      <c r="AD173" s="77">
        <f>Valores!$C$30</f>
        <v>151.15</v>
      </c>
      <c r="AE173" s="116">
        <v>0</v>
      </c>
      <c r="AF173" s="77">
        <f>INT(((AE173*Valores!$C$2)*100)+0.5)/100</f>
        <v>0</v>
      </c>
      <c r="AG173" s="77">
        <f>Valores!$C$58</f>
        <v>307.46</v>
      </c>
      <c r="AH173" s="77">
        <f>Valores!$C$60</f>
        <v>87.85</v>
      </c>
      <c r="AI173" s="77">
        <f>SUM(H173,J173,L173,N173,O173,P173,Q173,R173,S173,T173,V173,W173,X173,Z173,AA173,AB173,AC173,AD173,AF173,AG173,AH173)*Valores!$C$63</f>
        <v>0</v>
      </c>
      <c r="AJ173" s="140">
        <f t="shared" si="27"/>
        <v>45366.1517</v>
      </c>
      <c r="AK173" s="61">
        <f>Valores!$C$35</f>
        <v>415.59</v>
      </c>
      <c r="AL173" s="79">
        <f>Valores!$C$9</f>
        <v>351.39</v>
      </c>
      <c r="AM173" s="89">
        <v>0</v>
      </c>
      <c r="AN173" s="79">
        <f>IF($H$4="SI",SUM(AL173+AM173),AL173)*Valores!$C$63</f>
        <v>0</v>
      </c>
      <c r="AO173" s="12">
        <f t="shared" si="31"/>
        <v>766.98</v>
      </c>
      <c r="AP173" s="13">
        <f>AJ173*-Valores!$C$65</f>
        <v>-5897.5997210000005</v>
      </c>
      <c r="AQ173" s="13">
        <f>AJ173*-Valores!$C$66</f>
        <v>-226.8307585</v>
      </c>
      <c r="AR173" s="78">
        <f>AJ173*-Valores!$C$67</f>
        <v>-2041.4768265</v>
      </c>
      <c r="AS173" s="78">
        <f>AJ173*-Valores!$C$68</f>
        <v>-1224.8860959</v>
      </c>
      <c r="AT173" s="78">
        <f>AJ173*-Valores!$C$69</f>
        <v>-136.0984551</v>
      </c>
      <c r="AU173" s="15">
        <f t="shared" si="28"/>
        <v>37967.224394000004</v>
      </c>
      <c r="AV173" s="15">
        <f t="shared" si="29"/>
        <v>38647.716669500005</v>
      </c>
      <c r="AW173" s="78">
        <f>AJ173*Valores!$C$70</f>
        <v>7258.584272</v>
      </c>
      <c r="AX173" s="78">
        <f>AJ173*Valores!$C$71</f>
        <v>2041.4768265</v>
      </c>
      <c r="AY173" s="78">
        <f>AJ173*Valores!$C$73</f>
        <v>453.661517</v>
      </c>
      <c r="AZ173" s="78">
        <f>AJ173*Valores!$C$74</f>
        <v>1587.8153095000002</v>
      </c>
      <c r="BA173" s="78">
        <f>AJ173*Valores!$C$75</f>
        <v>272.1969102</v>
      </c>
      <c r="BB173" s="78">
        <f t="shared" si="32"/>
        <v>2449.7721918</v>
      </c>
      <c r="BC173" s="20"/>
      <c r="BD173" s="20"/>
      <c r="BE173" s="9" t="s">
        <v>462</v>
      </c>
    </row>
    <row r="174" spans="1:57" s="9" customFormat="1" ht="11.25" customHeight="1">
      <c r="A174" s="20">
        <v>173</v>
      </c>
      <c r="B174" s="20"/>
      <c r="C174" s="9" t="s">
        <v>318</v>
      </c>
      <c r="E174" s="9">
        <f t="shared" si="30"/>
        <v>27</v>
      </c>
      <c r="F174" s="10" t="s">
        <v>319</v>
      </c>
      <c r="G174" s="123">
        <v>1278</v>
      </c>
      <c r="H174" s="7">
        <f>INT((G174*Valores!$C$2*100)+0.5)/100</f>
        <v>7667.11</v>
      </c>
      <c r="I174" s="134">
        <v>0</v>
      </c>
      <c r="J174" s="77">
        <f>INT((I174*Valores!$C$2*100)+0.5)/100</f>
        <v>0</v>
      </c>
      <c r="K174" s="146">
        <v>0</v>
      </c>
      <c r="L174" s="77">
        <f>INT((K174*Valores!$C$2*100)+0.5)/100</f>
        <v>0</v>
      </c>
      <c r="M174" s="120">
        <v>0</v>
      </c>
      <c r="N174" s="77">
        <f>INT((M174*Valores!$C$2*100)+0.5)/100</f>
        <v>0</v>
      </c>
      <c r="O174" s="77">
        <f t="shared" si="24"/>
        <v>0</v>
      </c>
      <c r="P174" s="77">
        <f t="shared" si="25"/>
        <v>7186.7318</v>
      </c>
      <c r="Q174" s="61">
        <f>Valores!$C$20</f>
        <v>3519.79</v>
      </c>
      <c r="R174" s="61">
        <f>Valores!$D$4</f>
        <v>2683.49</v>
      </c>
      <c r="S174" s="77">
        <v>0</v>
      </c>
      <c r="T174" s="79">
        <f>Valores!$C$43</f>
        <v>1306.98</v>
      </c>
      <c r="U174" s="77">
        <f>Valores!$C$23</f>
        <v>2584.33</v>
      </c>
      <c r="V174" s="77">
        <f t="shared" si="23"/>
        <v>3876.495</v>
      </c>
      <c r="W174" s="77">
        <v>0</v>
      </c>
      <c r="X174" s="77">
        <v>0</v>
      </c>
      <c r="Y174" s="113">
        <v>900</v>
      </c>
      <c r="Z174" s="77">
        <f>Y174*Valores!$C$2</f>
        <v>5399.373600000001</v>
      </c>
      <c r="AA174" s="61">
        <f>SUM(L174,J174,H174,T174)*Valores!$C$3</f>
        <v>1346.1135</v>
      </c>
      <c r="AB174" s="89">
        <f>Valores!$C$29</f>
        <v>151.15</v>
      </c>
      <c r="AC174" s="77">
        <f t="shared" si="26"/>
        <v>0</v>
      </c>
      <c r="AD174" s="77">
        <f>Valores!$C$30</f>
        <v>151.15</v>
      </c>
      <c r="AE174" s="116">
        <v>94</v>
      </c>
      <c r="AF174" s="77">
        <f>INT(((AE174*Valores!$C$2)*100)+0.5)/100</f>
        <v>563.93</v>
      </c>
      <c r="AG174" s="77">
        <f>Valores!$C$58</f>
        <v>307.46</v>
      </c>
      <c r="AH174" s="77">
        <f>Valores!$C$60</f>
        <v>87.85</v>
      </c>
      <c r="AI174" s="77">
        <f>SUM(H174,J174,L174,N174,O174,P174,Q174,R174,S174,T174,V174,W174,X174,Z174,AA174,AB174,AC174,AD174,AF174,AG174,AH174)*Valores!$C$63</f>
        <v>0</v>
      </c>
      <c r="AJ174" s="140">
        <f t="shared" si="27"/>
        <v>34247.623900000006</v>
      </c>
      <c r="AK174" s="61">
        <f>Valores!$C$35</f>
        <v>415.59</v>
      </c>
      <c r="AL174" s="79">
        <f>Valores!$C$9</f>
        <v>351.39</v>
      </c>
      <c r="AM174" s="89">
        <f>Valores!$C$50</f>
        <v>257.67</v>
      </c>
      <c r="AN174" s="79">
        <f>IF($H$4="SI",SUM(AL174+AM174),AL174)*Valores!$C$63</f>
        <v>0</v>
      </c>
      <c r="AO174" s="12">
        <f t="shared" si="31"/>
        <v>1024.65</v>
      </c>
      <c r="AP174" s="13">
        <f>AJ174*-Valores!$C$65</f>
        <v>-4452.191107000001</v>
      </c>
      <c r="AQ174" s="13">
        <f>AJ174*-Valores!$C$66</f>
        <v>-171.23811950000004</v>
      </c>
      <c r="AR174" s="78">
        <f>AJ174*-Valores!$C$67</f>
        <v>-1541.1430755000001</v>
      </c>
      <c r="AS174" s="78">
        <f>AJ174*-Valores!$C$68</f>
        <v>-924.6858453000003</v>
      </c>
      <c r="AT174" s="78">
        <f>AJ174*-Valores!$C$69</f>
        <v>-102.74287170000002</v>
      </c>
      <c r="AU174" s="15">
        <f t="shared" si="28"/>
        <v>29107.701598000007</v>
      </c>
      <c r="AV174" s="15">
        <f t="shared" si="29"/>
        <v>29621.415956500008</v>
      </c>
      <c r="AW174" s="78">
        <f>AJ174*Valores!$C$70</f>
        <v>5479.619824000001</v>
      </c>
      <c r="AX174" s="78">
        <f>AJ174*Valores!$C$71</f>
        <v>1541.1430755000001</v>
      </c>
      <c r="AY174" s="78">
        <f>AJ174*Valores!$C$73</f>
        <v>342.4762390000001</v>
      </c>
      <c r="AZ174" s="78">
        <f>AJ174*Valores!$C$74</f>
        <v>1198.6668365000003</v>
      </c>
      <c r="BA174" s="78">
        <f>AJ174*Valores!$C$75</f>
        <v>205.48574340000005</v>
      </c>
      <c r="BB174" s="78">
        <f t="shared" si="32"/>
        <v>1849.3716906000004</v>
      </c>
      <c r="BC174" s="20"/>
      <c r="BD174" s="55">
        <v>36</v>
      </c>
      <c r="BE174" s="9" t="s">
        <v>462</v>
      </c>
    </row>
    <row r="175" spans="1:57" s="9" customFormat="1" ht="11.25" customHeight="1">
      <c r="A175" s="20">
        <v>174</v>
      </c>
      <c r="B175" s="20"/>
      <c r="C175" s="9" t="s">
        <v>320</v>
      </c>
      <c r="E175" s="9">
        <f t="shared" si="30"/>
        <v>27</v>
      </c>
      <c r="F175" s="10" t="s">
        <v>321</v>
      </c>
      <c r="G175" s="123">
        <v>217</v>
      </c>
      <c r="H175" s="7">
        <f>INT((G175*Valores!$C$2*100)+0.5)/100</f>
        <v>1301.85</v>
      </c>
      <c r="I175" s="134">
        <f>2245</f>
        <v>2245</v>
      </c>
      <c r="J175" s="77">
        <f>INT((I175*Valores!$C$2*100)+0.5)/100</f>
        <v>13468.44</v>
      </c>
      <c r="K175" s="146">
        <v>0</v>
      </c>
      <c r="L175" s="77">
        <f>INT((K175*Valores!$C$2*100)+0.5)/100</f>
        <v>0</v>
      </c>
      <c r="M175" s="120">
        <v>1300</v>
      </c>
      <c r="N175" s="77">
        <f>INT((M175*Valores!$C$2*100)+0.5)/100</f>
        <v>7799.1</v>
      </c>
      <c r="O175" s="77">
        <f t="shared" si="24"/>
        <v>0</v>
      </c>
      <c r="P175" s="77">
        <f t="shared" si="25"/>
        <v>11938.185</v>
      </c>
      <c r="Q175" s="61">
        <f>Valores!$C$16</f>
        <v>3718.92</v>
      </c>
      <c r="R175" s="61">
        <f>Valores!$D$4</f>
        <v>2683.49</v>
      </c>
      <c r="S175" s="61">
        <f>Valores!$C$26</f>
        <v>2700.67</v>
      </c>
      <c r="T175" s="87">
        <f>Valores!$C$43</f>
        <v>1306.98</v>
      </c>
      <c r="U175" s="77">
        <f>Valores!$C$23</f>
        <v>2584.33</v>
      </c>
      <c r="V175" s="77">
        <f t="shared" si="23"/>
        <v>3876.495</v>
      </c>
      <c r="W175" s="77">
        <v>0</v>
      </c>
      <c r="X175" s="77">
        <v>0</v>
      </c>
      <c r="Y175" s="116">
        <v>0</v>
      </c>
      <c r="Z175" s="77">
        <f>Y175*Valores!$C$2</f>
        <v>0</v>
      </c>
      <c r="AA175" s="77">
        <v>0</v>
      </c>
      <c r="AB175" s="89">
        <f>Valores!$C$29</f>
        <v>151.15</v>
      </c>
      <c r="AC175" s="77">
        <f t="shared" si="26"/>
        <v>0</v>
      </c>
      <c r="AD175" s="77">
        <f>Valores!$C$30</f>
        <v>151.15</v>
      </c>
      <c r="AE175" s="116">
        <v>0</v>
      </c>
      <c r="AF175" s="77">
        <f>INT(((AE175*Valores!$C$2)*100)+0.5)/100</f>
        <v>0</v>
      </c>
      <c r="AG175" s="77">
        <f>Valores!$C$58</f>
        <v>307.46</v>
      </c>
      <c r="AH175" s="77">
        <f>Valores!$C$60</f>
        <v>87.85</v>
      </c>
      <c r="AI175" s="77">
        <f>SUM(H175,J175,L175,N175,O175,P175,Q175,R175,S175,T175,V175,W175,X175,Z175,AA175,AB175,AC175,AD175,AF175,AG175,AH175)*Valores!$C$63</f>
        <v>0</v>
      </c>
      <c r="AJ175" s="140">
        <f t="shared" si="27"/>
        <v>49491.74</v>
      </c>
      <c r="AK175" s="61">
        <f>Valores!$C$35</f>
        <v>415.59</v>
      </c>
      <c r="AL175" s="79">
        <f>Valores!$C$9</f>
        <v>351.39</v>
      </c>
      <c r="AM175" s="89">
        <f>Valores!$C$50</f>
        <v>257.67</v>
      </c>
      <c r="AN175" s="79">
        <f>IF($H$4="SI",SUM(AL175+AM175),AL175)*Valores!$C$63</f>
        <v>0</v>
      </c>
      <c r="AO175" s="12">
        <f t="shared" si="31"/>
        <v>1024.65</v>
      </c>
      <c r="AP175" s="13">
        <f>AJ175*-Valores!$C$65</f>
        <v>-6433.9262</v>
      </c>
      <c r="AQ175" s="13">
        <f>AJ175*-Valores!$C$66</f>
        <v>-247.4587</v>
      </c>
      <c r="AR175" s="78">
        <f>AJ175*-Valores!$C$67</f>
        <v>-2227.1283</v>
      </c>
      <c r="AS175" s="78">
        <f>AJ175*-Valores!$C$68</f>
        <v>-1336.27698</v>
      </c>
      <c r="AT175" s="78">
        <f>AJ175*-Valores!$C$69</f>
        <v>-148.47522</v>
      </c>
      <c r="AU175" s="15">
        <f t="shared" si="28"/>
        <v>41607.8768</v>
      </c>
      <c r="AV175" s="15">
        <f t="shared" si="29"/>
        <v>42350.25289999999</v>
      </c>
      <c r="AW175" s="78">
        <f>AJ175*Valores!$C$70</f>
        <v>7918.6784</v>
      </c>
      <c r="AX175" s="78">
        <f>AJ175*Valores!$C$71</f>
        <v>2227.1283</v>
      </c>
      <c r="AY175" s="78">
        <f>AJ175*Valores!$C$73</f>
        <v>494.9174</v>
      </c>
      <c r="AZ175" s="78">
        <f>AJ175*Valores!$C$74</f>
        <v>1732.2109</v>
      </c>
      <c r="BA175" s="78">
        <f>AJ175*Valores!$C$75</f>
        <v>296.95044</v>
      </c>
      <c r="BB175" s="78">
        <f t="shared" si="32"/>
        <v>2672.55396</v>
      </c>
      <c r="BC175" s="20"/>
      <c r="BD175" s="20">
        <v>45</v>
      </c>
      <c r="BE175" s="9" t="s">
        <v>462</v>
      </c>
    </row>
    <row r="176" spans="1:57" s="9" customFormat="1" ht="11.25" customHeight="1">
      <c r="A176" s="55">
        <v>175</v>
      </c>
      <c r="B176" s="55" t="s">
        <v>458</v>
      </c>
      <c r="C176" s="52" t="s">
        <v>322</v>
      </c>
      <c r="D176" s="52"/>
      <c r="E176" s="52">
        <f t="shared" si="30"/>
        <v>27</v>
      </c>
      <c r="F176" s="53" t="s">
        <v>323</v>
      </c>
      <c r="G176" s="124">
        <v>185</v>
      </c>
      <c r="H176" s="129">
        <f>INT((G176*Valores!$C$2*100)+0.5)/100</f>
        <v>1109.87</v>
      </c>
      <c r="I176" s="133">
        <f>1835</f>
        <v>1835</v>
      </c>
      <c r="J176" s="80">
        <f>INT((I176*Valores!$C$2*100)+0.5)/100</f>
        <v>11008.72</v>
      </c>
      <c r="K176" s="147">
        <v>0</v>
      </c>
      <c r="L176" s="80">
        <f>INT((K176*Valores!$C$2*100)+0.5)/100</f>
        <v>0</v>
      </c>
      <c r="M176" s="121">
        <v>1300</v>
      </c>
      <c r="N176" s="80">
        <f>INT((M176*Valores!$C$2*100)+0.5)/100</f>
        <v>7799.1</v>
      </c>
      <c r="O176" s="80">
        <f t="shared" si="24"/>
        <v>0</v>
      </c>
      <c r="P176" s="80">
        <f t="shared" si="25"/>
        <v>10612.335000000001</v>
      </c>
      <c r="Q176" s="85">
        <f>Valores!$C$16</f>
        <v>3718.92</v>
      </c>
      <c r="R176" s="85">
        <f>Valores!$D$4</f>
        <v>2683.49</v>
      </c>
      <c r="S176" s="85">
        <f>Valores!$C$26</f>
        <v>2700.67</v>
      </c>
      <c r="T176" s="88">
        <f>Valores!$C$43</f>
        <v>1306.98</v>
      </c>
      <c r="U176" s="80">
        <f>Valores!$C$23</f>
        <v>2584.33</v>
      </c>
      <c r="V176" s="80">
        <f t="shared" si="23"/>
        <v>3876.495</v>
      </c>
      <c r="W176" s="80">
        <v>0</v>
      </c>
      <c r="X176" s="80">
        <v>0</v>
      </c>
      <c r="Y176" s="115">
        <v>0</v>
      </c>
      <c r="Z176" s="80">
        <f>Y176*Valores!$C$2</f>
        <v>0</v>
      </c>
      <c r="AA176" s="80">
        <v>0</v>
      </c>
      <c r="AB176" s="90">
        <f>Valores!$C$29</f>
        <v>151.15</v>
      </c>
      <c r="AC176" s="80">
        <f t="shared" si="26"/>
        <v>0</v>
      </c>
      <c r="AD176" s="80">
        <f>Valores!$C$30</f>
        <v>151.15</v>
      </c>
      <c r="AE176" s="115">
        <v>0</v>
      </c>
      <c r="AF176" s="80">
        <f>INT(((AE176*Valores!$C$2)*100)+0.5)/100</f>
        <v>0</v>
      </c>
      <c r="AG176" s="80">
        <f>Valores!$C$58</f>
        <v>307.46</v>
      </c>
      <c r="AH176" s="80">
        <f>Valores!$C$60</f>
        <v>87.85</v>
      </c>
      <c r="AI176" s="80">
        <f>SUM(H176,J176,L176,N176,O176,P176,Q176,R176,S176,T176,V176,W176,X176,Z176,AA176,AB176,AC176,AD176,AF176,AG176,AH176)*Valores!$C$63</f>
        <v>0</v>
      </c>
      <c r="AJ176" s="141">
        <f t="shared" si="27"/>
        <v>45514.19</v>
      </c>
      <c r="AK176" s="85">
        <f>Valores!$C$35</f>
        <v>415.59</v>
      </c>
      <c r="AL176" s="82">
        <f>Valores!$C$9</f>
        <v>351.39</v>
      </c>
      <c r="AM176" s="89">
        <f>Valores!$C$50</f>
        <v>257.67</v>
      </c>
      <c r="AN176" s="82">
        <f>IF($H$4="SI",SUM(AL176+AM176),AL176)*Valores!$C$63</f>
        <v>0</v>
      </c>
      <c r="AO176" s="185">
        <f t="shared" si="31"/>
        <v>1024.65</v>
      </c>
      <c r="AP176" s="154">
        <f>AJ176*-Valores!$C$65</f>
        <v>-5916.844700000001</v>
      </c>
      <c r="AQ176" s="154">
        <f>AJ176*-Valores!$C$66</f>
        <v>-227.57095</v>
      </c>
      <c r="AR176" s="81">
        <f>AJ176*-Valores!$C$67</f>
        <v>-2048.13855</v>
      </c>
      <c r="AS176" s="81">
        <f>AJ176*-Valores!$C$68</f>
        <v>-1228.8831300000002</v>
      </c>
      <c r="AT176" s="81">
        <f>AJ176*-Valores!$C$69</f>
        <v>-136.54257</v>
      </c>
      <c r="AU176" s="54">
        <f t="shared" si="28"/>
        <v>38346.2858</v>
      </c>
      <c r="AV176" s="54">
        <f t="shared" si="29"/>
        <v>39028.99865</v>
      </c>
      <c r="AW176" s="81">
        <f>AJ176*Valores!$C$70</f>
        <v>7282.2704</v>
      </c>
      <c r="AX176" s="81">
        <f>AJ176*Valores!$C$71</f>
        <v>2048.13855</v>
      </c>
      <c r="AY176" s="81">
        <f>AJ176*Valores!$C$73</f>
        <v>455.1419</v>
      </c>
      <c r="AZ176" s="81">
        <f>AJ176*Valores!$C$74</f>
        <v>1592.9966500000003</v>
      </c>
      <c r="BA176" s="81">
        <f>AJ176*Valores!$C$75</f>
        <v>273.08514</v>
      </c>
      <c r="BB176" s="81">
        <f t="shared" si="32"/>
        <v>2457.7662600000003</v>
      </c>
      <c r="BC176" s="55"/>
      <c r="BD176" s="55">
        <v>45</v>
      </c>
      <c r="BE176" s="52" t="s">
        <v>462</v>
      </c>
    </row>
    <row r="177" spans="1:57" s="9" customFormat="1" ht="11.25" customHeight="1">
      <c r="A177" s="20">
        <v>176</v>
      </c>
      <c r="B177" s="20"/>
      <c r="C177" s="9" t="s">
        <v>324</v>
      </c>
      <c r="E177" s="9">
        <f t="shared" si="30"/>
        <v>27</v>
      </c>
      <c r="F177" s="10" t="s">
        <v>325</v>
      </c>
      <c r="G177" s="123">
        <v>160</v>
      </c>
      <c r="H177" s="7">
        <f>INT((G177*Valores!$C$2*100)+0.5)/100</f>
        <v>959.89</v>
      </c>
      <c r="I177" s="134">
        <f>1484</f>
        <v>1484</v>
      </c>
      <c r="J177" s="77">
        <f>INT((I177*Valores!$C$2*100)+0.5)/100</f>
        <v>8902.97</v>
      </c>
      <c r="K177" s="146">
        <v>0</v>
      </c>
      <c r="L177" s="77">
        <f>INT((K177*Valores!$C$2*100)+0.5)/100</f>
        <v>0</v>
      </c>
      <c r="M177" s="120">
        <v>1300</v>
      </c>
      <c r="N177" s="77">
        <f>INT((M177*Valores!$C$2*100)+0.5)/100</f>
        <v>7799.1</v>
      </c>
      <c r="O177" s="77">
        <f t="shared" si="24"/>
        <v>0</v>
      </c>
      <c r="P177" s="77">
        <f t="shared" si="25"/>
        <v>9484.47</v>
      </c>
      <c r="Q177" s="61">
        <f>Valores!$C$16</f>
        <v>3718.92</v>
      </c>
      <c r="R177" s="61">
        <f>Valores!$D$4</f>
        <v>2683.49</v>
      </c>
      <c r="S177" s="61">
        <f>Valores!$C$26</f>
        <v>2700.67</v>
      </c>
      <c r="T177" s="87">
        <f>Valores!$C$43</f>
        <v>1306.98</v>
      </c>
      <c r="U177" s="77">
        <f>Valores!$C$23</f>
        <v>2584.33</v>
      </c>
      <c r="V177" s="77">
        <f aca="true" t="shared" si="33" ref="V177:V240">U177*(1+$J$2)</f>
        <v>3876.495</v>
      </c>
      <c r="W177" s="77">
        <v>0</v>
      </c>
      <c r="X177" s="77">
        <v>0</v>
      </c>
      <c r="Y177" s="116">
        <v>0</v>
      </c>
      <c r="Z177" s="77">
        <f>Y177*Valores!$C$2</f>
        <v>0</v>
      </c>
      <c r="AA177" s="77">
        <v>0</v>
      </c>
      <c r="AB177" s="89">
        <f>Valores!$C$29</f>
        <v>151.15</v>
      </c>
      <c r="AC177" s="77">
        <f t="shared" si="26"/>
        <v>0</v>
      </c>
      <c r="AD177" s="77">
        <f>Valores!$C$30</f>
        <v>151.15</v>
      </c>
      <c r="AE177" s="116">
        <v>0</v>
      </c>
      <c r="AF177" s="77">
        <f>INT(((AE177*Valores!$C$2)*100)+0.5)/100</f>
        <v>0</v>
      </c>
      <c r="AG177" s="77">
        <f>Valores!$C$58</f>
        <v>307.46</v>
      </c>
      <c r="AH177" s="77">
        <f>Valores!$C$60</f>
        <v>87.85</v>
      </c>
      <c r="AI177" s="77">
        <f>SUM(H177,J177,L177,N177,O177,P177,Q177,R177,S177,T177,V177,W177,X177,Z177,AA177,AB177,AC177,AD177,AF177,AG177,AH177)*Valores!$C$63</f>
        <v>0</v>
      </c>
      <c r="AJ177" s="140">
        <f t="shared" si="27"/>
        <v>42130.595</v>
      </c>
      <c r="AK177" s="61">
        <f>Valores!$C$35</f>
        <v>415.59</v>
      </c>
      <c r="AL177" s="79">
        <f>Valores!$C$9</f>
        <v>351.39</v>
      </c>
      <c r="AM177" s="89">
        <f>Valores!$C$50</f>
        <v>257.67</v>
      </c>
      <c r="AN177" s="79">
        <f>IF($H$4="SI",SUM(AL177+AM177),AL177)*Valores!$C$63</f>
        <v>0</v>
      </c>
      <c r="AO177" s="12">
        <f t="shared" si="31"/>
        <v>1024.65</v>
      </c>
      <c r="AP177" s="13">
        <f>AJ177*-Valores!$C$65</f>
        <v>-5476.97735</v>
      </c>
      <c r="AQ177" s="13">
        <f>AJ177*-Valores!$C$66</f>
        <v>-210.652975</v>
      </c>
      <c r="AR177" s="78">
        <f>AJ177*-Valores!$C$67</f>
        <v>-1895.876775</v>
      </c>
      <c r="AS177" s="78">
        <f>AJ177*-Valores!$C$68</f>
        <v>-1137.5260650000002</v>
      </c>
      <c r="AT177" s="78">
        <f>AJ177*-Valores!$C$69</f>
        <v>-126.39178500000001</v>
      </c>
      <c r="AU177" s="15">
        <f t="shared" si="28"/>
        <v>35571.73790000001</v>
      </c>
      <c r="AV177" s="15">
        <f t="shared" si="29"/>
        <v>36203.696825000006</v>
      </c>
      <c r="AW177" s="78">
        <f>AJ177*Valores!$C$70</f>
        <v>6740.8952</v>
      </c>
      <c r="AX177" s="78">
        <f>AJ177*Valores!$C$71</f>
        <v>1895.876775</v>
      </c>
      <c r="AY177" s="78">
        <f>AJ177*Valores!$C$73</f>
        <v>421.30595</v>
      </c>
      <c r="AZ177" s="78">
        <f>AJ177*Valores!$C$74</f>
        <v>1474.5708250000002</v>
      </c>
      <c r="BA177" s="78">
        <f>AJ177*Valores!$C$75</f>
        <v>252.78357000000003</v>
      </c>
      <c r="BB177" s="78">
        <f t="shared" si="32"/>
        <v>2275.05213</v>
      </c>
      <c r="BC177" s="20"/>
      <c r="BD177" s="20">
        <v>45</v>
      </c>
      <c r="BE177" s="9" t="s">
        <v>462</v>
      </c>
    </row>
    <row r="178" spans="1:57" s="9" customFormat="1" ht="11.25" customHeight="1">
      <c r="A178" s="20">
        <v>177</v>
      </c>
      <c r="B178" s="20"/>
      <c r="C178" s="9" t="s">
        <v>326</v>
      </c>
      <c r="E178" s="9">
        <f t="shared" si="30"/>
        <v>29</v>
      </c>
      <c r="F178" s="10" t="s">
        <v>327</v>
      </c>
      <c r="G178" s="123">
        <v>178</v>
      </c>
      <c r="H178" s="7">
        <f>INT((G178*Valores!$C$2*100)+0.5)/100</f>
        <v>1067.88</v>
      </c>
      <c r="I178" s="134">
        <f>1842</f>
        <v>1842</v>
      </c>
      <c r="J178" s="77">
        <f>INT((I178*Valores!$C$2*100)+0.5)/100</f>
        <v>11050.72</v>
      </c>
      <c r="K178" s="146">
        <v>0</v>
      </c>
      <c r="L178" s="77">
        <f>INT((K178*Valores!$C$2*100)+0.5)/100</f>
        <v>0</v>
      </c>
      <c r="M178" s="120">
        <v>1300</v>
      </c>
      <c r="N178" s="77">
        <f>INT((M178*Valores!$C$2*100)+0.5)/100</f>
        <v>7799.1</v>
      </c>
      <c r="O178" s="77">
        <f t="shared" si="24"/>
        <v>0</v>
      </c>
      <c r="P178" s="77">
        <f t="shared" si="25"/>
        <v>10612.339999999998</v>
      </c>
      <c r="Q178" s="61">
        <f>Valores!$C$16</f>
        <v>3718.92</v>
      </c>
      <c r="R178" s="61">
        <f>Valores!$D$4</f>
        <v>2683.49</v>
      </c>
      <c r="S178" s="77">
        <f>Valores!$C$26</f>
        <v>2700.67</v>
      </c>
      <c r="T178" s="79">
        <f>Valores!$C$43</f>
        <v>1306.98</v>
      </c>
      <c r="U178" s="77">
        <f>Valores!$C$23</f>
        <v>2584.33</v>
      </c>
      <c r="V178" s="77">
        <f t="shared" si="33"/>
        <v>3876.495</v>
      </c>
      <c r="W178" s="77">
        <v>0</v>
      </c>
      <c r="X178" s="77">
        <v>0</v>
      </c>
      <c r="Y178" s="116">
        <v>0</v>
      </c>
      <c r="Z178" s="77">
        <f>Y178*Valores!$C$2</f>
        <v>0</v>
      </c>
      <c r="AA178" s="77">
        <v>0</v>
      </c>
      <c r="AB178" s="89">
        <f>Valores!$C$29</f>
        <v>151.15</v>
      </c>
      <c r="AC178" s="77">
        <f t="shared" si="26"/>
        <v>0</v>
      </c>
      <c r="AD178" s="77">
        <f>Valores!$C$30</f>
        <v>151.15</v>
      </c>
      <c r="AE178" s="116">
        <v>0</v>
      </c>
      <c r="AF178" s="77">
        <f>INT(((AE178*Valores!$C$2)*100)+0.5)/100</f>
        <v>0</v>
      </c>
      <c r="AG178" s="77">
        <f>Valores!$C$58</f>
        <v>307.46</v>
      </c>
      <c r="AH178" s="77">
        <f>Valores!$C$60</f>
        <v>87.85</v>
      </c>
      <c r="AI178" s="77">
        <f>SUM(H178,J178,L178,N178,O178,P178,Q178,R178,S178,T178,V178,W178,X178,Z178,AA178,AB178,AC178,AD178,AF178,AG178,AH178)*Valores!$C$63</f>
        <v>0</v>
      </c>
      <c r="AJ178" s="140">
        <f t="shared" si="27"/>
        <v>45514.204999999994</v>
      </c>
      <c r="AK178" s="61">
        <f>Valores!$C$35</f>
        <v>415.59</v>
      </c>
      <c r="AL178" s="79">
        <f>Valores!$C$9</f>
        <v>351.39</v>
      </c>
      <c r="AM178" s="89">
        <f>Valores!$C$50</f>
        <v>257.67</v>
      </c>
      <c r="AN178" s="79">
        <f>IF($H$4="SI",SUM(AL178+AM178),AL178)*Valores!$C$63</f>
        <v>0</v>
      </c>
      <c r="AO178" s="12">
        <f t="shared" si="31"/>
        <v>1024.65</v>
      </c>
      <c r="AP178" s="13">
        <f>AJ178*-Valores!$C$65</f>
        <v>-5916.8466499999995</v>
      </c>
      <c r="AQ178" s="13">
        <f>AJ178*-Valores!$C$66</f>
        <v>-227.57102499999996</v>
      </c>
      <c r="AR178" s="78">
        <f>AJ178*-Valores!$C$67</f>
        <v>-2048.139225</v>
      </c>
      <c r="AS178" s="78">
        <f>AJ178*-Valores!$C$68</f>
        <v>-1228.883535</v>
      </c>
      <c r="AT178" s="78">
        <f>AJ178*-Valores!$C$69</f>
        <v>-136.54261499999998</v>
      </c>
      <c r="AU178" s="15">
        <f t="shared" si="28"/>
        <v>38346.2981</v>
      </c>
      <c r="AV178" s="15">
        <f t="shared" si="29"/>
        <v>39029.011175</v>
      </c>
      <c r="AW178" s="78">
        <f>AJ178*Valores!$C$70</f>
        <v>7282.272799999999</v>
      </c>
      <c r="AX178" s="78">
        <f>AJ178*Valores!$C$71</f>
        <v>2048.139225</v>
      </c>
      <c r="AY178" s="78">
        <f>AJ178*Valores!$C$73</f>
        <v>455.1420499999999</v>
      </c>
      <c r="AZ178" s="78">
        <f>AJ178*Valores!$C$74</f>
        <v>1592.997175</v>
      </c>
      <c r="BA178" s="78">
        <f>AJ178*Valores!$C$75</f>
        <v>273.08522999999997</v>
      </c>
      <c r="BB178" s="78">
        <f t="shared" si="32"/>
        <v>2457.76707</v>
      </c>
      <c r="BC178" s="20"/>
      <c r="BD178" s="20">
        <v>45</v>
      </c>
      <c r="BE178" s="9" t="s">
        <v>462</v>
      </c>
    </row>
    <row r="179" spans="1:57" s="9" customFormat="1" ht="11.25" customHeight="1">
      <c r="A179" s="20">
        <v>178</v>
      </c>
      <c r="B179" s="20"/>
      <c r="C179" s="9" t="s">
        <v>328</v>
      </c>
      <c r="E179" s="9">
        <f t="shared" si="30"/>
        <v>28</v>
      </c>
      <c r="F179" s="10" t="s">
        <v>329</v>
      </c>
      <c r="G179" s="123">
        <v>1278</v>
      </c>
      <c r="H179" s="7">
        <f>INT((G179*Valores!$C$2*100)+0.5)/100</f>
        <v>7667.11</v>
      </c>
      <c r="I179" s="134">
        <v>0</v>
      </c>
      <c r="J179" s="77">
        <f>INT((I179*Valores!$C$2*100)+0.5)/100</f>
        <v>0</v>
      </c>
      <c r="K179" s="146">
        <v>0</v>
      </c>
      <c r="L179" s="77">
        <f>INT((K179*Valores!$C$2*100)+0.5)/100</f>
        <v>0</v>
      </c>
      <c r="M179" s="120">
        <v>1200</v>
      </c>
      <c r="N179" s="77">
        <f>INT((M179*Valores!$C$2*100)+0.5)/100</f>
        <v>7199.16</v>
      </c>
      <c r="O179" s="77">
        <f t="shared" si="24"/>
        <v>0</v>
      </c>
      <c r="P179" s="77">
        <f t="shared" si="25"/>
        <v>8086.625</v>
      </c>
      <c r="Q179" s="61">
        <f>Valores!$C$20</f>
        <v>3519.79</v>
      </c>
      <c r="R179" s="61">
        <f>Valores!$D$4</f>
        <v>2683.49</v>
      </c>
      <c r="S179" s="61">
        <f>Valores!$C$26</f>
        <v>2700.67</v>
      </c>
      <c r="T179" s="87">
        <f>Valores!$C$43</f>
        <v>1306.98</v>
      </c>
      <c r="U179" s="77">
        <f>Valores!$C$23</f>
        <v>2584.33</v>
      </c>
      <c r="V179" s="77">
        <f t="shared" si="33"/>
        <v>3876.495</v>
      </c>
      <c r="W179" s="77">
        <v>0</v>
      </c>
      <c r="X179" s="77">
        <v>0</v>
      </c>
      <c r="Y179" s="116">
        <v>0</v>
      </c>
      <c r="Z179" s="77">
        <f>Y179*Valores!$C$2</f>
        <v>0</v>
      </c>
      <c r="AA179" s="77">
        <v>0</v>
      </c>
      <c r="AB179" s="89">
        <f>Valores!$C$29</f>
        <v>151.15</v>
      </c>
      <c r="AC179" s="77">
        <f t="shared" si="26"/>
        <v>0</v>
      </c>
      <c r="AD179" s="77">
        <f>Valores!$C$30</f>
        <v>151.15</v>
      </c>
      <c r="AE179" s="116">
        <v>0</v>
      </c>
      <c r="AF179" s="77">
        <f>INT(((AE179*Valores!$C$2)*100)+0.5)/100</f>
        <v>0</v>
      </c>
      <c r="AG179" s="77">
        <f>Valores!$C$58</f>
        <v>307.46</v>
      </c>
      <c r="AH179" s="77">
        <f>Valores!$C$60</f>
        <v>87.85</v>
      </c>
      <c r="AI179" s="77">
        <f>SUM(H179,J179,L179,N179,O179,P179,Q179,R179,S179,T179,V179,W179,X179,Z179,AA179,AB179,AC179,AD179,AF179,AG179,AH179)*Valores!$C$63</f>
        <v>0</v>
      </c>
      <c r="AJ179" s="140">
        <f t="shared" si="27"/>
        <v>37737.93000000001</v>
      </c>
      <c r="AK179" s="61">
        <f>Valores!$C$35</f>
        <v>415.59</v>
      </c>
      <c r="AL179" s="79">
        <f>Valores!$C$9</f>
        <v>351.39</v>
      </c>
      <c r="AM179" s="89">
        <f>Valores!$C$50</f>
        <v>257.67</v>
      </c>
      <c r="AN179" s="79">
        <f>IF($H$4="SI",SUM(AL179+AM179),AL179)*Valores!$C$63</f>
        <v>0</v>
      </c>
      <c r="AO179" s="12">
        <f t="shared" si="31"/>
        <v>1024.65</v>
      </c>
      <c r="AP179" s="13">
        <f>AJ179*-Valores!$C$65</f>
        <v>-4905.930900000001</v>
      </c>
      <c r="AQ179" s="13">
        <f>AJ179*-Valores!$C$66</f>
        <v>-188.68965000000003</v>
      </c>
      <c r="AR179" s="78">
        <f>AJ179*-Valores!$C$67</f>
        <v>-1698.2068500000003</v>
      </c>
      <c r="AS179" s="78">
        <f>AJ179*-Valores!$C$68</f>
        <v>-1018.9241100000003</v>
      </c>
      <c r="AT179" s="78">
        <f>AJ179*-Valores!$C$69</f>
        <v>-113.21379000000003</v>
      </c>
      <c r="AU179" s="15">
        <f t="shared" si="28"/>
        <v>31969.752600000007</v>
      </c>
      <c r="AV179" s="15">
        <f t="shared" si="29"/>
        <v>32535.821550000008</v>
      </c>
      <c r="AW179" s="78">
        <f>AJ179*Valores!$C$70</f>
        <v>6038.068800000001</v>
      </c>
      <c r="AX179" s="78">
        <f>AJ179*Valores!$C$71</f>
        <v>1698.2068500000003</v>
      </c>
      <c r="AY179" s="78">
        <f>AJ179*Valores!$C$73</f>
        <v>377.37930000000006</v>
      </c>
      <c r="AZ179" s="78">
        <f>AJ179*Valores!$C$74</f>
        <v>1320.8275500000004</v>
      </c>
      <c r="BA179" s="78">
        <f>AJ179*Valores!$C$75</f>
        <v>226.42758000000006</v>
      </c>
      <c r="BB179" s="78">
        <f t="shared" si="32"/>
        <v>2037.8482200000005</v>
      </c>
      <c r="BC179" s="20"/>
      <c r="BD179" s="55"/>
      <c r="BE179" s="9" t="s">
        <v>462</v>
      </c>
    </row>
    <row r="180" spans="1:57" s="9" customFormat="1" ht="11.25" customHeight="1">
      <c r="A180" s="20">
        <v>179</v>
      </c>
      <c r="B180" s="20"/>
      <c r="C180" s="9" t="s">
        <v>330</v>
      </c>
      <c r="E180" s="9">
        <f t="shared" si="30"/>
        <v>29</v>
      </c>
      <c r="F180" s="10" t="s">
        <v>331</v>
      </c>
      <c r="G180" s="123">
        <v>971</v>
      </c>
      <c r="H180" s="7">
        <f>INT((G180*Valores!$C$2*100)+0.5)/100</f>
        <v>5825.32</v>
      </c>
      <c r="I180" s="134">
        <v>0</v>
      </c>
      <c r="J180" s="77">
        <f>INT((I180*Valores!$C$2*100)+0.5)/100</f>
        <v>0</v>
      </c>
      <c r="K180" s="146">
        <v>0</v>
      </c>
      <c r="L180" s="77">
        <f>INT((K180*Valores!$C$2*100)+0.5)/100</f>
        <v>0</v>
      </c>
      <c r="M180" s="120">
        <v>660</v>
      </c>
      <c r="N180" s="77">
        <f>INT((M180*Valores!$C$2*100)+0.5)/100</f>
        <v>3959.54</v>
      </c>
      <c r="O180" s="77">
        <f t="shared" si="24"/>
        <v>0</v>
      </c>
      <c r="P180" s="77">
        <f t="shared" si="25"/>
        <v>5545.92</v>
      </c>
      <c r="Q180" s="61">
        <f>Valores!$C$20</f>
        <v>3519.79</v>
      </c>
      <c r="R180" s="61">
        <f>Valores!$D$4</f>
        <v>2683.49</v>
      </c>
      <c r="S180" s="61">
        <f>Valores!$C$26</f>
        <v>2700.67</v>
      </c>
      <c r="T180" s="87">
        <f>Valores!$C$43</f>
        <v>1306.98</v>
      </c>
      <c r="U180" s="77">
        <f>Valores!$C$23</f>
        <v>2584.33</v>
      </c>
      <c r="V180" s="77">
        <f t="shared" si="33"/>
        <v>3876.495</v>
      </c>
      <c r="W180" s="77">
        <v>0</v>
      </c>
      <c r="X180" s="77">
        <v>0</v>
      </c>
      <c r="Y180" s="116">
        <v>0</v>
      </c>
      <c r="Z180" s="77">
        <f>Y180*Valores!$C$2</f>
        <v>0</v>
      </c>
      <c r="AA180" s="77">
        <v>0</v>
      </c>
      <c r="AB180" s="89">
        <f>Valores!$C$29</f>
        <v>151.15</v>
      </c>
      <c r="AC180" s="77">
        <f t="shared" si="26"/>
        <v>0</v>
      </c>
      <c r="AD180" s="77">
        <f>Valores!$C$30</f>
        <v>151.15</v>
      </c>
      <c r="AE180" s="116">
        <v>0</v>
      </c>
      <c r="AF180" s="77">
        <f>INT(((AE180*Valores!$C$2)*100)+0.5)/100</f>
        <v>0</v>
      </c>
      <c r="AG180" s="77">
        <f>Valores!$C$58</f>
        <v>307.46</v>
      </c>
      <c r="AH180" s="77">
        <f>Valores!$C$60</f>
        <v>87.85</v>
      </c>
      <c r="AI180" s="77">
        <f>SUM(H180,J180,L180,N180,O180,P180,Q180,R180,S180,T180,V180,W180,X180,Z180,AA180,AB180,AC180,AD180,AF180,AG180,AH180)*Valores!$C$63</f>
        <v>0</v>
      </c>
      <c r="AJ180" s="140">
        <f t="shared" si="27"/>
        <v>30115.814999999995</v>
      </c>
      <c r="AK180" s="61">
        <f>Valores!$C$35</f>
        <v>415.59</v>
      </c>
      <c r="AL180" s="79">
        <f>Valores!$C$9</f>
        <v>351.39</v>
      </c>
      <c r="AM180" s="89">
        <f>Valores!$C$50</f>
        <v>257.67</v>
      </c>
      <c r="AN180" s="79">
        <f>IF($H$4="SI",SUM(AL180+AM180),AL180)*Valores!$C$63</f>
        <v>0</v>
      </c>
      <c r="AO180" s="12">
        <f t="shared" si="31"/>
        <v>1024.65</v>
      </c>
      <c r="AP180" s="13">
        <f>AJ180*-Valores!$C$65</f>
        <v>-3915.0559499999995</v>
      </c>
      <c r="AQ180" s="13">
        <f>AJ180*-Valores!$C$66</f>
        <v>-150.579075</v>
      </c>
      <c r="AR180" s="78">
        <f>AJ180*-Valores!$C$67</f>
        <v>-1355.2116749999998</v>
      </c>
      <c r="AS180" s="78">
        <f>AJ180*-Valores!$C$68</f>
        <v>-813.1270049999999</v>
      </c>
      <c r="AT180" s="78">
        <f>AJ180*-Valores!$C$69</f>
        <v>-90.347445</v>
      </c>
      <c r="AU180" s="15">
        <f t="shared" si="28"/>
        <v>25719.6183</v>
      </c>
      <c r="AV180" s="15">
        <f t="shared" si="29"/>
        <v>26171.355525</v>
      </c>
      <c r="AW180" s="78">
        <f>AJ180*Valores!$C$70</f>
        <v>4818.5304</v>
      </c>
      <c r="AX180" s="78">
        <f>AJ180*Valores!$C$71</f>
        <v>1355.2116749999998</v>
      </c>
      <c r="AY180" s="78">
        <f>AJ180*Valores!$C$73</f>
        <v>301.15815</v>
      </c>
      <c r="AZ180" s="78">
        <f>AJ180*Valores!$C$74</f>
        <v>1054.053525</v>
      </c>
      <c r="BA180" s="78">
        <f>AJ180*Valores!$C$75</f>
        <v>180.69489</v>
      </c>
      <c r="BB180" s="78">
        <f t="shared" si="32"/>
        <v>1626.2540099999999</v>
      </c>
      <c r="BC180" s="20"/>
      <c r="BD180" s="20">
        <v>18</v>
      </c>
      <c r="BE180" s="9" t="s">
        <v>462</v>
      </c>
    </row>
    <row r="181" spans="1:57" s="9" customFormat="1" ht="11.25" customHeight="1">
      <c r="A181" s="55">
        <v>180</v>
      </c>
      <c r="B181" s="55" t="s">
        <v>458</v>
      </c>
      <c r="C181" s="52" t="s">
        <v>332</v>
      </c>
      <c r="D181" s="52"/>
      <c r="E181" s="52">
        <f t="shared" si="30"/>
        <v>22</v>
      </c>
      <c r="F181" s="53" t="s">
        <v>333</v>
      </c>
      <c r="G181" s="124">
        <v>213</v>
      </c>
      <c r="H181" s="129">
        <f>INT((G181*Valores!$C$2*100)+0.5)/100</f>
        <v>1277.85</v>
      </c>
      <c r="I181" s="133">
        <f>1835</f>
        <v>1835</v>
      </c>
      <c r="J181" s="80">
        <f>INT((I181*Valores!$C$2*100)+0.5)/100</f>
        <v>11008.72</v>
      </c>
      <c r="K181" s="147">
        <v>0</v>
      </c>
      <c r="L181" s="80">
        <f>INT((K181*Valores!$C$2*100)+0.5)/100</f>
        <v>0</v>
      </c>
      <c r="M181" s="121">
        <v>1300</v>
      </c>
      <c r="N181" s="80">
        <f>INT((M181*Valores!$C$2*100)+0.5)/100</f>
        <v>7799.1</v>
      </c>
      <c r="O181" s="80">
        <f t="shared" si="24"/>
        <v>0</v>
      </c>
      <c r="P181" s="80">
        <f t="shared" si="25"/>
        <v>10696.324999999999</v>
      </c>
      <c r="Q181" s="85">
        <f>Valores!$C$16</f>
        <v>3718.92</v>
      </c>
      <c r="R181" s="85">
        <f>Valores!$D$4</f>
        <v>2683.49</v>
      </c>
      <c r="S181" s="85">
        <f>Valores!$C$26</f>
        <v>2700.67</v>
      </c>
      <c r="T181" s="88">
        <f>Valores!$C$43</f>
        <v>1306.98</v>
      </c>
      <c r="U181" s="80">
        <f>Valores!$C$23</f>
        <v>2584.33</v>
      </c>
      <c r="V181" s="80">
        <f t="shared" si="33"/>
        <v>3876.495</v>
      </c>
      <c r="W181" s="80">
        <v>0</v>
      </c>
      <c r="X181" s="80">
        <v>0</v>
      </c>
      <c r="Y181" s="115">
        <v>0</v>
      </c>
      <c r="Z181" s="80">
        <f>Y181*Valores!$C$2</f>
        <v>0</v>
      </c>
      <c r="AA181" s="80">
        <v>0</v>
      </c>
      <c r="AB181" s="90">
        <f>Valores!$C$29</f>
        <v>151.15</v>
      </c>
      <c r="AC181" s="80">
        <f t="shared" si="26"/>
        <v>0</v>
      </c>
      <c r="AD181" s="80">
        <f>Valores!$C$30</f>
        <v>151.15</v>
      </c>
      <c r="AE181" s="115">
        <v>0</v>
      </c>
      <c r="AF181" s="80">
        <f>INT(((AE181*Valores!$C$2)*100)+0.5)/100</f>
        <v>0</v>
      </c>
      <c r="AG181" s="80">
        <f>Valores!$C$58</f>
        <v>307.46</v>
      </c>
      <c r="AH181" s="80">
        <f>Valores!$C$60</f>
        <v>87.85</v>
      </c>
      <c r="AI181" s="80">
        <f>SUM(H181,J181,L181,N181,O181,P181,Q181,R181,S181,T181,V181,W181,X181,Z181,AA181,AB181,AC181,AD181,AF181,AG181,AH181)*Valores!$C$63</f>
        <v>0</v>
      </c>
      <c r="AJ181" s="141">
        <f t="shared" si="27"/>
        <v>45766.159999999996</v>
      </c>
      <c r="AK181" s="85">
        <f>Valores!$C$35</f>
        <v>415.59</v>
      </c>
      <c r="AL181" s="82">
        <f>Valores!$C$9</f>
        <v>351.39</v>
      </c>
      <c r="AM181" s="89">
        <f>Valores!$C$50</f>
        <v>257.67</v>
      </c>
      <c r="AN181" s="82">
        <f>IF($H$4="SI",SUM(AL181+AM181),AL181)*Valores!$C$63</f>
        <v>0</v>
      </c>
      <c r="AO181" s="185">
        <f t="shared" si="31"/>
        <v>1024.65</v>
      </c>
      <c r="AP181" s="154">
        <f>AJ181*-Valores!$C$65</f>
        <v>-5949.6008</v>
      </c>
      <c r="AQ181" s="154">
        <f>AJ181*-Valores!$C$66</f>
        <v>-228.83079999999998</v>
      </c>
      <c r="AR181" s="81">
        <f>AJ181*-Valores!$C$67</f>
        <v>-2059.4772</v>
      </c>
      <c r="AS181" s="81">
        <f>AJ181*-Valores!$C$68</f>
        <v>-1235.68632</v>
      </c>
      <c r="AT181" s="81">
        <f>AJ181*-Valores!$C$69</f>
        <v>-137.29847999999998</v>
      </c>
      <c r="AU181" s="54">
        <f t="shared" si="28"/>
        <v>38552.90119999999</v>
      </c>
      <c r="AV181" s="54">
        <f t="shared" si="29"/>
        <v>39239.393599999996</v>
      </c>
      <c r="AW181" s="81">
        <f>AJ181*Valores!$C$70</f>
        <v>7322.585599999999</v>
      </c>
      <c r="AX181" s="81">
        <f>AJ181*Valores!$C$71</f>
        <v>2059.4772</v>
      </c>
      <c r="AY181" s="81">
        <f>AJ181*Valores!$C$73</f>
        <v>457.66159999999996</v>
      </c>
      <c r="AZ181" s="81">
        <f>AJ181*Valores!$C$74</f>
        <v>1601.8156000000001</v>
      </c>
      <c r="BA181" s="81">
        <f>AJ181*Valores!$C$75</f>
        <v>274.59695999999997</v>
      </c>
      <c r="BB181" s="81">
        <f t="shared" si="32"/>
        <v>2471.37264</v>
      </c>
      <c r="BC181" s="55"/>
      <c r="BD181" s="55">
        <v>45</v>
      </c>
      <c r="BE181" s="52" t="s">
        <v>462</v>
      </c>
    </row>
    <row r="182" spans="1:57" s="9" customFormat="1" ht="11.25" customHeight="1">
      <c r="A182" s="20">
        <v>181</v>
      </c>
      <c r="B182" s="20"/>
      <c r="C182" s="9" t="s">
        <v>334</v>
      </c>
      <c r="E182" s="9">
        <f t="shared" si="30"/>
        <v>26</v>
      </c>
      <c r="F182" s="10" t="s">
        <v>335</v>
      </c>
      <c r="G182" s="123">
        <v>185</v>
      </c>
      <c r="H182" s="7">
        <f>INT((G182*Valores!$C$2*100)+0.5)/100</f>
        <v>1109.87</v>
      </c>
      <c r="I182" s="134">
        <f>1835</f>
        <v>1835</v>
      </c>
      <c r="J182" s="77">
        <f>INT((I182*Valores!$C$2*100)+0.5)/100</f>
        <v>11008.72</v>
      </c>
      <c r="K182" s="146">
        <v>0</v>
      </c>
      <c r="L182" s="77">
        <f>INT((K182*Valores!$C$2*100)+0.5)/100</f>
        <v>0</v>
      </c>
      <c r="M182" s="120">
        <v>1300</v>
      </c>
      <c r="N182" s="77">
        <f>INT((M182*Valores!$C$2*100)+0.5)/100</f>
        <v>7799.1</v>
      </c>
      <c r="O182" s="77">
        <f t="shared" si="24"/>
        <v>0</v>
      </c>
      <c r="P182" s="77">
        <f t="shared" si="25"/>
        <v>10612.335000000001</v>
      </c>
      <c r="Q182" s="61">
        <f>Valores!$C$16</f>
        <v>3718.92</v>
      </c>
      <c r="R182" s="61">
        <f>Valores!$D$4</f>
        <v>2683.49</v>
      </c>
      <c r="S182" s="61">
        <f>Valores!$C$26</f>
        <v>2700.67</v>
      </c>
      <c r="T182" s="87">
        <f>Valores!$C$43</f>
        <v>1306.98</v>
      </c>
      <c r="U182" s="77">
        <f>Valores!$C$23</f>
        <v>2584.33</v>
      </c>
      <c r="V182" s="77">
        <f t="shared" si="33"/>
        <v>3876.495</v>
      </c>
      <c r="W182" s="77">
        <v>0</v>
      </c>
      <c r="X182" s="77">
        <v>0</v>
      </c>
      <c r="Y182" s="116">
        <v>0</v>
      </c>
      <c r="Z182" s="77">
        <f>Y182*Valores!$C$2</f>
        <v>0</v>
      </c>
      <c r="AA182" s="77">
        <v>0</v>
      </c>
      <c r="AB182" s="89">
        <f>Valores!$C$29</f>
        <v>151.15</v>
      </c>
      <c r="AC182" s="77">
        <f t="shared" si="26"/>
        <v>0</v>
      </c>
      <c r="AD182" s="77">
        <f>Valores!$C$30</f>
        <v>151.15</v>
      </c>
      <c r="AE182" s="116">
        <v>0</v>
      </c>
      <c r="AF182" s="77">
        <f>INT(((AE182*Valores!$C$2)*100)+0.5)/100</f>
        <v>0</v>
      </c>
      <c r="AG182" s="77">
        <f>Valores!$C$58</f>
        <v>307.46</v>
      </c>
      <c r="AH182" s="77">
        <f>Valores!$C$60</f>
        <v>87.85</v>
      </c>
      <c r="AI182" s="77">
        <f>SUM(H182,J182,L182,N182,O182,P182,Q182,R182,S182,T182,V182,W182,X182,Z182,AA182,AB182,AC182,AD182,AF182,AG182,AH182)*Valores!$C$63</f>
        <v>0</v>
      </c>
      <c r="AJ182" s="140">
        <f t="shared" si="27"/>
        <v>45514.19</v>
      </c>
      <c r="AK182" s="61">
        <f>Valores!$C$35</f>
        <v>415.59</v>
      </c>
      <c r="AL182" s="79">
        <f>Valores!$C$9</f>
        <v>351.39</v>
      </c>
      <c r="AM182" s="89">
        <f>Valores!$C$50</f>
        <v>257.67</v>
      </c>
      <c r="AN182" s="79">
        <f>IF($H$4="SI",SUM(AL182+AM182),AL182)*Valores!$C$63</f>
        <v>0</v>
      </c>
      <c r="AO182" s="12">
        <f t="shared" si="31"/>
        <v>1024.65</v>
      </c>
      <c r="AP182" s="13">
        <f>AJ182*-Valores!$C$65</f>
        <v>-5916.844700000001</v>
      </c>
      <c r="AQ182" s="13">
        <f>AJ182*-Valores!$C$66</f>
        <v>-227.57095</v>
      </c>
      <c r="AR182" s="78">
        <f>AJ182*-Valores!$C$67</f>
        <v>-2048.13855</v>
      </c>
      <c r="AS182" s="78">
        <f>AJ182*-Valores!$C$68</f>
        <v>-1228.8831300000002</v>
      </c>
      <c r="AT182" s="78">
        <f>AJ182*-Valores!$C$69</f>
        <v>-136.54257</v>
      </c>
      <c r="AU182" s="15">
        <f t="shared" si="28"/>
        <v>38346.2858</v>
      </c>
      <c r="AV182" s="15">
        <f t="shared" si="29"/>
        <v>39028.99865</v>
      </c>
      <c r="AW182" s="78">
        <f>AJ182*Valores!$C$70</f>
        <v>7282.2704</v>
      </c>
      <c r="AX182" s="78">
        <f>AJ182*Valores!$C$71</f>
        <v>2048.13855</v>
      </c>
      <c r="AY182" s="78">
        <f>AJ182*Valores!$C$73</f>
        <v>455.1419</v>
      </c>
      <c r="AZ182" s="78">
        <f>AJ182*Valores!$C$74</f>
        <v>1592.9966500000003</v>
      </c>
      <c r="BA182" s="78">
        <f>AJ182*Valores!$C$75</f>
        <v>273.08514</v>
      </c>
      <c r="BB182" s="78">
        <f t="shared" si="32"/>
        <v>2457.7662600000003</v>
      </c>
      <c r="BC182" s="20"/>
      <c r="BD182" s="20">
        <v>45</v>
      </c>
      <c r="BE182" s="9" t="s">
        <v>462</v>
      </c>
    </row>
    <row r="183" spans="1:57" s="9" customFormat="1" ht="11.25" customHeight="1">
      <c r="A183" s="20">
        <v>182</v>
      </c>
      <c r="B183" s="20"/>
      <c r="C183" s="9" t="s">
        <v>336</v>
      </c>
      <c r="E183" s="9">
        <f t="shared" si="30"/>
        <v>26</v>
      </c>
      <c r="F183" s="10" t="s">
        <v>337</v>
      </c>
      <c r="G183" s="123">
        <v>160</v>
      </c>
      <c r="H183" s="7">
        <f>INT((G183*Valores!$C$2*100)+0.5)/100</f>
        <v>959.89</v>
      </c>
      <c r="I183" s="134">
        <f>1484</f>
        <v>1484</v>
      </c>
      <c r="J183" s="77">
        <f>INT((I183*Valores!$C$2*100)+0.5)/100</f>
        <v>8902.97</v>
      </c>
      <c r="K183" s="146">
        <v>0</v>
      </c>
      <c r="L183" s="77">
        <f>INT((K183*Valores!$C$2*100)+0.5)/100</f>
        <v>0</v>
      </c>
      <c r="M183" s="120">
        <v>1300</v>
      </c>
      <c r="N183" s="77">
        <f>INT((M183*Valores!$C$2*100)+0.5)/100</f>
        <v>7799.1</v>
      </c>
      <c r="O183" s="77">
        <f t="shared" si="24"/>
        <v>0</v>
      </c>
      <c r="P183" s="77">
        <f t="shared" si="25"/>
        <v>9484.47</v>
      </c>
      <c r="Q183" s="61">
        <f>Valores!$C$16</f>
        <v>3718.92</v>
      </c>
      <c r="R183" s="61">
        <f>Valores!$D$4</f>
        <v>2683.49</v>
      </c>
      <c r="S183" s="77">
        <f>Valores!$C$26</f>
        <v>2700.67</v>
      </c>
      <c r="T183" s="79">
        <f>Valores!$C$43</f>
        <v>1306.98</v>
      </c>
      <c r="U183" s="77">
        <f>Valores!$C$23</f>
        <v>2584.33</v>
      </c>
      <c r="V183" s="77">
        <f t="shared" si="33"/>
        <v>3876.495</v>
      </c>
      <c r="W183" s="77">
        <v>0</v>
      </c>
      <c r="X183" s="77">
        <v>0</v>
      </c>
      <c r="Y183" s="116">
        <v>0</v>
      </c>
      <c r="Z183" s="77">
        <f>Y183*Valores!$C$2</f>
        <v>0</v>
      </c>
      <c r="AA183" s="77">
        <v>0</v>
      </c>
      <c r="AB183" s="89">
        <f>Valores!$C$29</f>
        <v>151.15</v>
      </c>
      <c r="AC183" s="77">
        <f t="shared" si="26"/>
        <v>0</v>
      </c>
      <c r="AD183" s="77">
        <f>Valores!$C$30</f>
        <v>151.15</v>
      </c>
      <c r="AE183" s="116">
        <v>0</v>
      </c>
      <c r="AF183" s="77">
        <f>INT(((AE183*Valores!$C$2)*100)+0.5)/100</f>
        <v>0</v>
      </c>
      <c r="AG183" s="77">
        <f>Valores!$C$58</f>
        <v>307.46</v>
      </c>
      <c r="AH183" s="77">
        <f>Valores!$C$60</f>
        <v>87.85</v>
      </c>
      <c r="AI183" s="77">
        <f>SUM(H183,J183,L183,N183,O183,P183,Q183,R183,S183,T183,V183,W183,X183,Z183,AA183,AB183,AC183,AD183,AF183,AG183,AH183)*Valores!$C$63</f>
        <v>0</v>
      </c>
      <c r="AJ183" s="140">
        <f t="shared" si="27"/>
        <v>42130.595</v>
      </c>
      <c r="AK183" s="61">
        <f>Valores!$C$35</f>
        <v>415.59</v>
      </c>
      <c r="AL183" s="79">
        <f>Valores!$C$9</f>
        <v>351.39</v>
      </c>
      <c r="AM183" s="89">
        <f>Valores!$C$50</f>
        <v>257.67</v>
      </c>
      <c r="AN183" s="79">
        <f>IF($H$4="SI",SUM(AL183+AM183),AL183)*Valores!$C$63</f>
        <v>0</v>
      </c>
      <c r="AO183" s="12">
        <f t="shared" si="31"/>
        <v>1024.65</v>
      </c>
      <c r="AP183" s="13">
        <f>AJ183*-Valores!$C$65</f>
        <v>-5476.97735</v>
      </c>
      <c r="AQ183" s="13">
        <f>AJ183*-Valores!$C$66</f>
        <v>-210.652975</v>
      </c>
      <c r="AR183" s="78">
        <f>AJ183*-Valores!$C$67</f>
        <v>-1895.876775</v>
      </c>
      <c r="AS183" s="78">
        <f>AJ183*-Valores!$C$68</f>
        <v>-1137.5260650000002</v>
      </c>
      <c r="AT183" s="78">
        <f>AJ183*-Valores!$C$69</f>
        <v>-126.39178500000001</v>
      </c>
      <c r="AU183" s="15">
        <f t="shared" si="28"/>
        <v>35571.73790000001</v>
      </c>
      <c r="AV183" s="15">
        <f t="shared" si="29"/>
        <v>36203.696825000006</v>
      </c>
      <c r="AW183" s="78">
        <f>AJ183*Valores!$C$70</f>
        <v>6740.8952</v>
      </c>
      <c r="AX183" s="78">
        <f>AJ183*Valores!$C$71</f>
        <v>1895.876775</v>
      </c>
      <c r="AY183" s="78">
        <f>AJ183*Valores!$C$73</f>
        <v>421.30595</v>
      </c>
      <c r="AZ183" s="78">
        <f>AJ183*Valores!$C$74</f>
        <v>1474.5708250000002</v>
      </c>
      <c r="BA183" s="78">
        <f>AJ183*Valores!$C$75</f>
        <v>252.78357000000003</v>
      </c>
      <c r="BB183" s="78">
        <f t="shared" si="32"/>
        <v>2275.05213</v>
      </c>
      <c r="BC183" s="20"/>
      <c r="BD183" s="20">
        <v>45</v>
      </c>
      <c r="BE183" s="9" t="s">
        <v>462</v>
      </c>
    </row>
    <row r="184" spans="1:57" s="9" customFormat="1" ht="11.25" customHeight="1">
      <c r="A184" s="20">
        <v>183</v>
      </c>
      <c r="B184" s="20"/>
      <c r="C184" s="9" t="s">
        <v>338</v>
      </c>
      <c r="E184" s="9">
        <f t="shared" si="30"/>
        <v>22</v>
      </c>
      <c r="F184" s="10" t="s">
        <v>339</v>
      </c>
      <c r="G184" s="123">
        <v>1278</v>
      </c>
      <c r="H184" s="7">
        <f>INT((G184*Valores!$C$2*100)+0.5)/100</f>
        <v>7667.11</v>
      </c>
      <c r="I184" s="134">
        <v>0</v>
      </c>
      <c r="J184" s="77">
        <f>INT((I184*Valores!$C$2*100)+0.5)/100</f>
        <v>0</v>
      </c>
      <c r="K184" s="146">
        <v>0</v>
      </c>
      <c r="L184" s="77">
        <f>INT((K184*Valores!$C$2*100)+0.5)/100</f>
        <v>0</v>
      </c>
      <c r="M184" s="120">
        <v>1200</v>
      </c>
      <c r="N184" s="77">
        <f>INT((M184*Valores!$C$2*100)+0.5)/100</f>
        <v>7199.16</v>
      </c>
      <c r="O184" s="77">
        <f t="shared" si="24"/>
        <v>0</v>
      </c>
      <c r="P184" s="77">
        <f t="shared" si="25"/>
        <v>8086.625</v>
      </c>
      <c r="Q184" s="61">
        <f>Valores!$C$20</f>
        <v>3519.79</v>
      </c>
      <c r="R184" s="61">
        <f>Valores!$D$4</f>
        <v>2683.49</v>
      </c>
      <c r="S184" s="61">
        <f>Valores!$C$26</f>
        <v>2700.67</v>
      </c>
      <c r="T184" s="87">
        <f>Valores!$C$43</f>
        <v>1306.98</v>
      </c>
      <c r="U184" s="77">
        <f>Valores!$C$23</f>
        <v>2584.33</v>
      </c>
      <c r="V184" s="77">
        <f t="shared" si="33"/>
        <v>3876.495</v>
      </c>
      <c r="W184" s="77">
        <v>0</v>
      </c>
      <c r="X184" s="77">
        <v>0</v>
      </c>
      <c r="Y184" s="116">
        <v>0</v>
      </c>
      <c r="Z184" s="77">
        <f>Y184*Valores!$C$2</f>
        <v>0</v>
      </c>
      <c r="AA184" s="77">
        <v>0</v>
      </c>
      <c r="AB184" s="89">
        <f>Valores!$C$29</f>
        <v>151.15</v>
      </c>
      <c r="AC184" s="77">
        <f t="shared" si="26"/>
        <v>0</v>
      </c>
      <c r="AD184" s="77">
        <f>Valores!$C$30</f>
        <v>151.15</v>
      </c>
      <c r="AE184" s="116">
        <v>0</v>
      </c>
      <c r="AF184" s="77">
        <f>INT(((AE184*Valores!$C$2)*100)+0.5)/100</f>
        <v>0</v>
      </c>
      <c r="AG184" s="77">
        <f>Valores!$C$58</f>
        <v>307.46</v>
      </c>
      <c r="AH184" s="77">
        <f>Valores!$C$60</f>
        <v>87.85</v>
      </c>
      <c r="AI184" s="77">
        <f>SUM(H184,J184,L184,N184,O184,P184,Q184,R184,S184,T184,V184,W184,X184,Z184,AA184,AB184,AC184,AD184,AF184,AG184,AH184)*Valores!$C$63</f>
        <v>0</v>
      </c>
      <c r="AJ184" s="140">
        <f t="shared" si="27"/>
        <v>37737.93000000001</v>
      </c>
      <c r="AK184" s="61">
        <f>Valores!$C$35</f>
        <v>415.59</v>
      </c>
      <c r="AL184" s="79">
        <f>Valores!$C$9</f>
        <v>351.39</v>
      </c>
      <c r="AM184" s="89">
        <f>Valores!$C$50</f>
        <v>257.67</v>
      </c>
      <c r="AN184" s="79">
        <f>IF($H$4="SI",SUM(AL184+AM184),AL184)*Valores!$C$63</f>
        <v>0</v>
      </c>
      <c r="AO184" s="12">
        <f t="shared" si="31"/>
        <v>1024.65</v>
      </c>
      <c r="AP184" s="13">
        <f>AJ184*-Valores!$C$65</f>
        <v>-4905.930900000001</v>
      </c>
      <c r="AQ184" s="13">
        <f>AJ184*-Valores!$C$66</f>
        <v>-188.68965000000003</v>
      </c>
      <c r="AR184" s="78">
        <f>AJ184*-Valores!$C$67</f>
        <v>-1698.2068500000003</v>
      </c>
      <c r="AS184" s="78">
        <f>AJ184*-Valores!$C$68</f>
        <v>-1018.9241100000003</v>
      </c>
      <c r="AT184" s="78">
        <f>AJ184*-Valores!$C$69</f>
        <v>-113.21379000000003</v>
      </c>
      <c r="AU184" s="15">
        <f t="shared" si="28"/>
        <v>31969.752600000007</v>
      </c>
      <c r="AV184" s="15">
        <f t="shared" si="29"/>
        <v>32535.821550000008</v>
      </c>
      <c r="AW184" s="78">
        <f>AJ184*Valores!$C$70</f>
        <v>6038.068800000001</v>
      </c>
      <c r="AX184" s="78">
        <f>AJ184*Valores!$C$71</f>
        <v>1698.2068500000003</v>
      </c>
      <c r="AY184" s="78">
        <f>AJ184*Valores!$C$73</f>
        <v>377.37930000000006</v>
      </c>
      <c r="AZ184" s="78">
        <f>AJ184*Valores!$C$74</f>
        <v>1320.8275500000004</v>
      </c>
      <c r="BA184" s="78">
        <f>AJ184*Valores!$C$75</f>
        <v>226.42758000000006</v>
      </c>
      <c r="BB184" s="78">
        <f t="shared" si="32"/>
        <v>2037.8482200000005</v>
      </c>
      <c r="BC184" s="20"/>
      <c r="BD184" s="55"/>
      <c r="BE184" s="9" t="s">
        <v>462</v>
      </c>
    </row>
    <row r="185" spans="1:57" s="9" customFormat="1" ht="11.25" customHeight="1">
      <c r="A185" s="20">
        <v>184</v>
      </c>
      <c r="B185" s="20"/>
      <c r="C185" s="9" t="s">
        <v>340</v>
      </c>
      <c r="E185" s="9">
        <f t="shared" si="30"/>
        <v>28</v>
      </c>
      <c r="F185" s="10" t="s">
        <v>341</v>
      </c>
      <c r="G185" s="123">
        <v>971</v>
      </c>
      <c r="H185" s="7">
        <f>INT((G185*Valores!$C$2*100)+0.5)/100</f>
        <v>5825.32</v>
      </c>
      <c r="I185" s="134">
        <v>0</v>
      </c>
      <c r="J185" s="77">
        <f>INT((I185*Valores!$C$2*100)+0.5)/100</f>
        <v>0</v>
      </c>
      <c r="K185" s="146">
        <v>0</v>
      </c>
      <c r="L185" s="77">
        <f>INT((K185*Valores!$C$2*100)+0.5)/100</f>
        <v>0</v>
      </c>
      <c r="M185" s="120">
        <v>660</v>
      </c>
      <c r="N185" s="77">
        <f>INT((M185*Valores!$C$2*100)+0.5)/100</f>
        <v>3959.54</v>
      </c>
      <c r="O185" s="77">
        <f t="shared" si="24"/>
        <v>0</v>
      </c>
      <c r="P185" s="77">
        <f t="shared" si="25"/>
        <v>5545.92</v>
      </c>
      <c r="Q185" s="61">
        <f>Valores!$C$20</f>
        <v>3519.79</v>
      </c>
      <c r="R185" s="61">
        <f>Valores!$D$4</f>
        <v>2683.49</v>
      </c>
      <c r="S185" s="61">
        <f>Valores!$C$27</f>
        <v>2472.27</v>
      </c>
      <c r="T185" s="87">
        <f>Valores!$C$43</f>
        <v>1306.98</v>
      </c>
      <c r="U185" s="77">
        <f>Valores!$C$23</f>
        <v>2584.33</v>
      </c>
      <c r="V185" s="77">
        <f t="shared" si="33"/>
        <v>3876.495</v>
      </c>
      <c r="W185" s="77">
        <v>0</v>
      </c>
      <c r="X185" s="77">
        <v>0</v>
      </c>
      <c r="Y185" s="116">
        <v>0</v>
      </c>
      <c r="Z185" s="77">
        <f>Y185*Valores!$C$2</f>
        <v>0</v>
      </c>
      <c r="AA185" s="77">
        <v>0</v>
      </c>
      <c r="AB185" s="89">
        <f>Valores!$C$29</f>
        <v>151.15</v>
      </c>
      <c r="AC185" s="77">
        <f t="shared" si="26"/>
        <v>0</v>
      </c>
      <c r="AD185" s="77">
        <f>Valores!$C$30</f>
        <v>151.15</v>
      </c>
      <c r="AE185" s="116">
        <v>0</v>
      </c>
      <c r="AF185" s="77">
        <f>INT(((AE185*Valores!$C$2)*100)+0.5)/100</f>
        <v>0</v>
      </c>
      <c r="AG185" s="77">
        <f>Valores!$C$58</f>
        <v>307.46</v>
      </c>
      <c r="AH185" s="77">
        <f>Valores!$C$60</f>
        <v>87.85</v>
      </c>
      <c r="AI185" s="77">
        <f>SUM(H185,J185,L185,N185,O185,P185,Q185,R185,S185,T185,V185,W185,X185,Z185,AA185,AB185,AC185,AD185,AF185,AG185,AH185)*Valores!$C$63</f>
        <v>0</v>
      </c>
      <c r="AJ185" s="140">
        <f t="shared" si="27"/>
        <v>29887.414999999997</v>
      </c>
      <c r="AK185" s="61">
        <f>Valores!$C$35</f>
        <v>415.59</v>
      </c>
      <c r="AL185" s="79">
        <f>Valores!$C$9</f>
        <v>351.39</v>
      </c>
      <c r="AM185" s="89">
        <f>Valores!$C$52</f>
        <v>256.63</v>
      </c>
      <c r="AN185" s="79">
        <f>IF($H$4="SI",SUM(AL185+AM185),AL185)*Valores!$C$63</f>
        <v>0</v>
      </c>
      <c r="AO185" s="12">
        <f t="shared" si="31"/>
        <v>1023.61</v>
      </c>
      <c r="AP185" s="13">
        <f>AJ185*-Valores!$C$65</f>
        <v>-3885.36395</v>
      </c>
      <c r="AQ185" s="13">
        <f>AJ185*-Valores!$C$66</f>
        <v>-149.437075</v>
      </c>
      <c r="AR185" s="78">
        <f>AJ185*-Valores!$C$67</f>
        <v>-1344.9336749999998</v>
      </c>
      <c r="AS185" s="78">
        <f>AJ185*-Valores!$C$68</f>
        <v>-806.960205</v>
      </c>
      <c r="AT185" s="78">
        <f>AJ185*-Valores!$C$69</f>
        <v>-89.662245</v>
      </c>
      <c r="AU185" s="15">
        <f t="shared" si="28"/>
        <v>25531.290299999997</v>
      </c>
      <c r="AV185" s="15">
        <f t="shared" si="29"/>
        <v>25979.601525</v>
      </c>
      <c r="AW185" s="78">
        <f>AJ185*Valores!$C$70</f>
        <v>4781.9864</v>
      </c>
      <c r="AX185" s="78">
        <f>AJ185*Valores!$C$71</f>
        <v>1344.9336749999998</v>
      </c>
      <c r="AY185" s="78">
        <f>AJ185*Valores!$C$73</f>
        <v>298.87415</v>
      </c>
      <c r="AZ185" s="78">
        <f>AJ185*Valores!$C$74</f>
        <v>1046.059525</v>
      </c>
      <c r="BA185" s="78">
        <f>AJ185*Valores!$C$75</f>
        <v>179.32449</v>
      </c>
      <c r="BB185" s="78">
        <f t="shared" si="32"/>
        <v>1613.92041</v>
      </c>
      <c r="BC185" s="20"/>
      <c r="BD185" s="20">
        <v>18</v>
      </c>
      <c r="BE185" s="9" t="s">
        <v>462</v>
      </c>
    </row>
    <row r="186" spans="1:57" s="9" customFormat="1" ht="11.25" customHeight="1">
      <c r="A186" s="55">
        <v>185</v>
      </c>
      <c r="B186" s="55" t="s">
        <v>458</v>
      </c>
      <c r="C186" s="52" t="s">
        <v>342</v>
      </c>
      <c r="D186" s="52"/>
      <c r="E186" s="52">
        <f t="shared" si="30"/>
        <v>23</v>
      </c>
      <c r="F186" s="53" t="s">
        <v>343</v>
      </c>
      <c r="G186" s="124">
        <v>179</v>
      </c>
      <c r="H186" s="129">
        <f>INT((G186*Valores!$C$2*100)+0.5)/100</f>
        <v>1073.88</v>
      </c>
      <c r="I186" s="133">
        <f>1323</f>
        <v>1323</v>
      </c>
      <c r="J186" s="80">
        <f>INT((I186*Valores!$C$2*100)+0.5)/100</f>
        <v>7937.08</v>
      </c>
      <c r="K186" s="147">
        <v>0</v>
      </c>
      <c r="L186" s="80">
        <f>INT((K186*Valores!$C$2*100)+0.5)/100</f>
        <v>0</v>
      </c>
      <c r="M186" s="121">
        <v>1300</v>
      </c>
      <c r="N186" s="80">
        <f>INT((M186*Valores!$C$2*100)+0.5)/100</f>
        <v>7799.1</v>
      </c>
      <c r="O186" s="80">
        <f t="shared" si="24"/>
        <v>0</v>
      </c>
      <c r="P186" s="80">
        <f t="shared" si="25"/>
        <v>9058.519999999999</v>
      </c>
      <c r="Q186" s="85">
        <f>Valores!$C$16</f>
        <v>3718.92</v>
      </c>
      <c r="R186" s="85">
        <f>Valores!$D$4</f>
        <v>2683.49</v>
      </c>
      <c r="S186" s="85">
        <f>Valores!$C$26</f>
        <v>2700.67</v>
      </c>
      <c r="T186" s="88">
        <f>Valores!$C$43</f>
        <v>1306.98</v>
      </c>
      <c r="U186" s="80">
        <f>Valores!$C$23</f>
        <v>2584.33</v>
      </c>
      <c r="V186" s="80">
        <f t="shared" si="33"/>
        <v>3876.495</v>
      </c>
      <c r="W186" s="80">
        <v>0</v>
      </c>
      <c r="X186" s="80">
        <v>0</v>
      </c>
      <c r="Y186" s="115">
        <v>0</v>
      </c>
      <c r="Z186" s="80">
        <f>Y186*Valores!$C$2</f>
        <v>0</v>
      </c>
      <c r="AA186" s="80">
        <v>0</v>
      </c>
      <c r="AB186" s="90">
        <f>Valores!$C$29</f>
        <v>151.15</v>
      </c>
      <c r="AC186" s="80">
        <f t="shared" si="26"/>
        <v>0</v>
      </c>
      <c r="AD186" s="80">
        <f>Valores!$C$30</f>
        <v>151.15</v>
      </c>
      <c r="AE186" s="115">
        <v>0</v>
      </c>
      <c r="AF186" s="80">
        <f>INT(((AE186*Valores!$C$2)*100)+0.5)/100</f>
        <v>0</v>
      </c>
      <c r="AG186" s="80">
        <f>Valores!$C$58</f>
        <v>307.46</v>
      </c>
      <c r="AH186" s="80">
        <f>Valores!$C$60</f>
        <v>87.85</v>
      </c>
      <c r="AI186" s="80">
        <f>SUM(H186,J186,L186,N186,O186,P186,Q186,R186,S186,T186,V186,W186,X186,Z186,AA186,AB186,AC186,AD186,AF186,AG186,AH186)*Valores!$C$63</f>
        <v>0</v>
      </c>
      <c r="AJ186" s="141">
        <f t="shared" si="27"/>
        <v>40852.744999999995</v>
      </c>
      <c r="AK186" s="85">
        <f>Valores!$C$35</f>
        <v>415.59</v>
      </c>
      <c r="AL186" s="82">
        <f>Valores!$C$9</f>
        <v>351.39</v>
      </c>
      <c r="AM186" s="90">
        <v>0</v>
      </c>
      <c r="AN186" s="82">
        <f>IF($H$4="SI",SUM(AL186+AM186),AL186)*Valores!$C$63</f>
        <v>0</v>
      </c>
      <c r="AO186" s="185">
        <f t="shared" si="31"/>
        <v>766.98</v>
      </c>
      <c r="AP186" s="154">
        <f>AJ186*-Valores!$C$65</f>
        <v>-5310.856849999999</v>
      </c>
      <c r="AQ186" s="154">
        <f>AJ186*-Valores!$C$66</f>
        <v>-204.263725</v>
      </c>
      <c r="AR186" s="81">
        <f>AJ186*-Valores!$C$67</f>
        <v>-1838.3735249999997</v>
      </c>
      <c r="AS186" s="81">
        <f>AJ186*-Valores!$C$68</f>
        <v>-1103.024115</v>
      </c>
      <c r="AT186" s="81">
        <f>AJ186*-Valores!$C$69</f>
        <v>-122.55823499999998</v>
      </c>
      <c r="AU186" s="54">
        <f t="shared" si="28"/>
        <v>34266.2309</v>
      </c>
      <c r="AV186" s="54">
        <f t="shared" si="29"/>
        <v>34879.02207500001</v>
      </c>
      <c r="AW186" s="81">
        <f>AJ186*Valores!$C$70</f>
        <v>6536.4392</v>
      </c>
      <c r="AX186" s="81">
        <f>AJ186*Valores!$C$71</f>
        <v>1838.3735249999997</v>
      </c>
      <c r="AY186" s="81">
        <f>AJ186*Valores!$C$73</f>
        <v>408.52745</v>
      </c>
      <c r="AZ186" s="81">
        <f>AJ186*Valores!$C$74</f>
        <v>1429.846075</v>
      </c>
      <c r="BA186" s="81">
        <f>AJ186*Valores!$C$75</f>
        <v>245.11646999999996</v>
      </c>
      <c r="BB186" s="81">
        <f t="shared" si="32"/>
        <v>2206.04823</v>
      </c>
      <c r="BC186" s="55"/>
      <c r="BD186" s="55">
        <v>45</v>
      </c>
      <c r="BE186" s="52" t="s">
        <v>462</v>
      </c>
    </row>
    <row r="187" spans="1:57" s="9" customFormat="1" ht="11.25" customHeight="1">
      <c r="A187" s="20">
        <v>186</v>
      </c>
      <c r="B187" s="20"/>
      <c r="C187" s="9" t="s">
        <v>344</v>
      </c>
      <c r="E187" s="9">
        <f t="shared" si="30"/>
        <v>26</v>
      </c>
      <c r="F187" s="10" t="s">
        <v>345</v>
      </c>
      <c r="G187" s="123">
        <v>64</v>
      </c>
      <c r="H187" s="7">
        <f>INT((G187*Valores!$C$2*100)+0.5)/100</f>
        <v>383.96</v>
      </c>
      <c r="I187" s="134">
        <v>1354</v>
      </c>
      <c r="J187" s="77">
        <f>INT((I187*Valores!$C$2*100)+0.5)/100</f>
        <v>8123.06</v>
      </c>
      <c r="K187" s="146">
        <v>0</v>
      </c>
      <c r="L187" s="77">
        <f>INT((K187*Valores!$C$2*100)+0.5)/100</f>
        <v>0</v>
      </c>
      <c r="M187" s="120">
        <v>1200</v>
      </c>
      <c r="N187" s="77">
        <f>INT((M187*Valores!$C$2*100)+0.5)/100</f>
        <v>7199.16</v>
      </c>
      <c r="O187" s="77">
        <f t="shared" si="24"/>
        <v>0</v>
      </c>
      <c r="P187" s="77">
        <f t="shared" si="25"/>
        <v>8506.58</v>
      </c>
      <c r="Q187" s="61">
        <f>Valores!$C$20</f>
        <v>3519.79</v>
      </c>
      <c r="R187" s="61">
        <f>Valores!$D$4</f>
        <v>2683.49</v>
      </c>
      <c r="S187" s="77">
        <v>0</v>
      </c>
      <c r="T187" s="79">
        <f>Valores!$C$43</f>
        <v>1306.98</v>
      </c>
      <c r="U187" s="61">
        <f>Valores!$C$24</f>
        <v>2549.17</v>
      </c>
      <c r="V187" s="77">
        <f t="shared" si="33"/>
        <v>3823.755</v>
      </c>
      <c r="W187" s="77">
        <v>0</v>
      </c>
      <c r="X187" s="77">
        <v>0</v>
      </c>
      <c r="Y187" s="116">
        <v>0</v>
      </c>
      <c r="Z187" s="77">
        <f>Y187*Valores!$C$2</f>
        <v>0</v>
      </c>
      <c r="AA187" s="77">
        <v>0</v>
      </c>
      <c r="AB187" s="89">
        <f>Valores!$C$29</f>
        <v>151.15</v>
      </c>
      <c r="AC187" s="77">
        <f t="shared" si="26"/>
        <v>0</v>
      </c>
      <c r="AD187" s="77">
        <f>Valores!$C$30</f>
        <v>151.15</v>
      </c>
      <c r="AE187" s="116">
        <v>0</v>
      </c>
      <c r="AF187" s="77">
        <f>INT(((AE187*Valores!$C$2)*100)+0.5)/100</f>
        <v>0</v>
      </c>
      <c r="AG187" s="77">
        <f>Valores!$C$58</f>
        <v>307.46</v>
      </c>
      <c r="AH187" s="77">
        <f>Valores!$C$60</f>
        <v>87.85</v>
      </c>
      <c r="AI187" s="77">
        <f>SUM(H187,J187,L187,N187,O187,P187,Q187,R187,S187,T187,V187,W187,X187,Z187,AA187,AB187,AC187,AD187,AF187,AG187,AH187)*Valores!$C$63</f>
        <v>0</v>
      </c>
      <c r="AJ187" s="140">
        <f t="shared" si="27"/>
        <v>36244.385</v>
      </c>
      <c r="AK187" s="61">
        <f>Valores!$C$35</f>
        <v>415.59</v>
      </c>
      <c r="AL187" s="79">
        <f>Valores!$C$9</f>
        <v>351.39</v>
      </c>
      <c r="AM187" s="89">
        <v>0</v>
      </c>
      <c r="AN187" s="79">
        <f>IF($H$4="SI",SUM(AL187+AM187),AL187)*Valores!$C$63</f>
        <v>0</v>
      </c>
      <c r="AO187" s="12">
        <f t="shared" si="31"/>
        <v>766.98</v>
      </c>
      <c r="AP187" s="13">
        <f>AJ187*-Valores!$C$65</f>
        <v>-4711.77005</v>
      </c>
      <c r="AQ187" s="13">
        <f>AJ187*-Valores!$C$66</f>
        <v>-181.22192500000003</v>
      </c>
      <c r="AR187" s="78">
        <f>AJ187*-Valores!$C$67</f>
        <v>-1630.997325</v>
      </c>
      <c r="AS187" s="78">
        <f>AJ187*-Valores!$C$68</f>
        <v>-978.5983950000002</v>
      </c>
      <c r="AT187" s="78">
        <f>AJ187*-Valores!$C$69</f>
        <v>-108.73315500000001</v>
      </c>
      <c r="AU187" s="15">
        <f t="shared" si="28"/>
        <v>30487.37570000001</v>
      </c>
      <c r="AV187" s="15">
        <f t="shared" si="29"/>
        <v>31031.041475000005</v>
      </c>
      <c r="AW187" s="78">
        <f>AJ187*Valores!$C$70</f>
        <v>5799.101600000001</v>
      </c>
      <c r="AX187" s="78">
        <f>AJ187*Valores!$C$71</f>
        <v>1630.997325</v>
      </c>
      <c r="AY187" s="78">
        <f>AJ187*Valores!$C$73</f>
        <v>362.44385000000005</v>
      </c>
      <c r="AZ187" s="78">
        <f>AJ187*Valores!$C$74</f>
        <v>1268.5534750000002</v>
      </c>
      <c r="BA187" s="78">
        <f>AJ187*Valores!$C$75</f>
        <v>217.46631000000002</v>
      </c>
      <c r="BB187" s="78">
        <f t="shared" si="32"/>
        <v>1957.1967900000004</v>
      </c>
      <c r="BC187" s="20"/>
      <c r="BD187" s="20">
        <v>30</v>
      </c>
      <c r="BE187" s="9" t="s">
        <v>461</v>
      </c>
    </row>
    <row r="188" spans="1:57" s="9" customFormat="1" ht="11.25" customHeight="1">
      <c r="A188" s="20">
        <v>187</v>
      </c>
      <c r="B188" s="20"/>
      <c r="C188" s="9" t="s">
        <v>346</v>
      </c>
      <c r="E188" s="9">
        <f t="shared" si="30"/>
        <v>26</v>
      </c>
      <c r="F188" s="10" t="s">
        <v>347</v>
      </c>
      <c r="G188" s="123">
        <v>55</v>
      </c>
      <c r="H188" s="7">
        <f>INT((G188*Valores!$C$2*100)+0.5)/100</f>
        <v>329.96</v>
      </c>
      <c r="I188" s="134">
        <v>1279</v>
      </c>
      <c r="J188" s="77">
        <f>INT((I188*Valores!$C$2*100)+0.5)/100</f>
        <v>7673.11</v>
      </c>
      <c r="K188" s="146">
        <v>0</v>
      </c>
      <c r="L188" s="77">
        <f>INT((K188*Valores!$C$2*100)+0.5)/100</f>
        <v>0</v>
      </c>
      <c r="M188" s="120">
        <v>1200</v>
      </c>
      <c r="N188" s="77">
        <f>INT((M188*Valores!$C$2*100)+0.5)/100</f>
        <v>7199.16</v>
      </c>
      <c r="O188" s="77">
        <f t="shared" si="24"/>
        <v>0</v>
      </c>
      <c r="P188" s="77">
        <f t="shared" si="25"/>
        <v>8254.605</v>
      </c>
      <c r="Q188" s="61">
        <f>Valores!$C$20</f>
        <v>3519.79</v>
      </c>
      <c r="R188" s="61">
        <f>Valores!$D$4</f>
        <v>2683.49</v>
      </c>
      <c r="S188" s="77">
        <v>0</v>
      </c>
      <c r="T188" s="79">
        <f>Valores!$C$43</f>
        <v>1306.98</v>
      </c>
      <c r="U188" s="77">
        <f>Valores!$C$23</f>
        <v>2584.33</v>
      </c>
      <c r="V188" s="77">
        <f t="shared" si="33"/>
        <v>3876.495</v>
      </c>
      <c r="W188" s="77">
        <v>0</v>
      </c>
      <c r="X188" s="77">
        <v>0</v>
      </c>
      <c r="Y188" s="116">
        <v>0</v>
      </c>
      <c r="Z188" s="77">
        <f>Y188*Valores!$C$2</f>
        <v>0</v>
      </c>
      <c r="AA188" s="77">
        <v>0</v>
      </c>
      <c r="AB188" s="89">
        <f>Valores!$C$29</f>
        <v>151.15</v>
      </c>
      <c r="AC188" s="77">
        <f t="shared" si="26"/>
        <v>0</v>
      </c>
      <c r="AD188" s="77">
        <f>Valores!$C$30</f>
        <v>151.15</v>
      </c>
      <c r="AE188" s="116">
        <v>0</v>
      </c>
      <c r="AF188" s="77">
        <f>INT(((AE188*Valores!$C$2)*100)+0.5)/100</f>
        <v>0</v>
      </c>
      <c r="AG188" s="77">
        <f>Valores!$C$58</f>
        <v>307.46</v>
      </c>
      <c r="AH188" s="77">
        <f>Valores!$C$60</f>
        <v>87.85</v>
      </c>
      <c r="AI188" s="77">
        <f>SUM(H188,J188,L188,N188,O188,P188,Q188,R188,S188,T188,V188,W188,X188,Z188,AA188,AB188,AC188,AD188,AF188,AG188,AH188)*Valores!$C$63</f>
        <v>0</v>
      </c>
      <c r="AJ188" s="140">
        <f t="shared" si="27"/>
        <v>35541.200000000004</v>
      </c>
      <c r="AK188" s="61">
        <f>Valores!$C$35</f>
        <v>415.59</v>
      </c>
      <c r="AL188" s="79">
        <f>Valores!$C$9</f>
        <v>351.39</v>
      </c>
      <c r="AM188" s="89">
        <v>0</v>
      </c>
      <c r="AN188" s="79">
        <f>IF($H$4="SI",SUM(AL188+AM188),AL188)*Valores!$C$63</f>
        <v>0</v>
      </c>
      <c r="AO188" s="12">
        <f t="shared" si="31"/>
        <v>766.98</v>
      </c>
      <c r="AP188" s="13">
        <f>AJ188*-Valores!$C$65</f>
        <v>-4620.356000000001</v>
      </c>
      <c r="AQ188" s="13">
        <f>AJ188*-Valores!$C$66</f>
        <v>-177.70600000000002</v>
      </c>
      <c r="AR188" s="78">
        <f>AJ188*-Valores!$C$67</f>
        <v>-1599.354</v>
      </c>
      <c r="AS188" s="78">
        <f>AJ188*-Valores!$C$68</f>
        <v>-959.6124000000002</v>
      </c>
      <c r="AT188" s="78">
        <f>AJ188*-Valores!$C$69</f>
        <v>-106.62360000000001</v>
      </c>
      <c r="AU188" s="15">
        <f t="shared" si="28"/>
        <v>29910.76400000001</v>
      </c>
      <c r="AV188" s="15">
        <f t="shared" si="29"/>
        <v>30443.882000000012</v>
      </c>
      <c r="AW188" s="78">
        <f>AJ188*Valores!$C$70</f>
        <v>5686.592000000001</v>
      </c>
      <c r="AX188" s="78">
        <f>AJ188*Valores!$C$71</f>
        <v>1599.354</v>
      </c>
      <c r="AY188" s="78">
        <f>AJ188*Valores!$C$73</f>
        <v>355.41200000000003</v>
      </c>
      <c r="AZ188" s="78">
        <f>AJ188*Valores!$C$74</f>
        <v>1243.9420000000002</v>
      </c>
      <c r="BA188" s="78">
        <f>AJ188*Valores!$C$75</f>
        <v>213.24720000000002</v>
      </c>
      <c r="BB188" s="78">
        <f t="shared" si="32"/>
        <v>1919.2248000000004</v>
      </c>
      <c r="BC188" s="20"/>
      <c r="BD188" s="20">
        <v>30</v>
      </c>
      <c r="BE188" s="9" t="s">
        <v>461</v>
      </c>
    </row>
    <row r="189" spans="1:57" s="9" customFormat="1" ht="11.25" customHeight="1">
      <c r="A189" s="20">
        <v>188</v>
      </c>
      <c r="B189" s="20"/>
      <c r="C189" s="9" t="s">
        <v>348</v>
      </c>
      <c r="E189" s="9">
        <f t="shared" si="30"/>
        <v>24</v>
      </c>
      <c r="F189" s="10" t="s">
        <v>349</v>
      </c>
      <c r="G189" s="123">
        <v>1027</v>
      </c>
      <c r="H189" s="7">
        <f>INT((G189*Valores!$C$2*100)+0.5)/100</f>
        <v>6161.29</v>
      </c>
      <c r="I189" s="134">
        <v>0</v>
      </c>
      <c r="J189" s="77">
        <f>INT((I189*Valores!$C$2*100)+0.5)/100</f>
        <v>0</v>
      </c>
      <c r="K189" s="146">
        <v>0</v>
      </c>
      <c r="L189" s="77">
        <f>INT((K189*Valores!$C$2*100)+0.5)/100</f>
        <v>0</v>
      </c>
      <c r="M189" s="120">
        <v>1200</v>
      </c>
      <c r="N189" s="77">
        <f>INT((M189*Valores!$C$2*100)+0.5)/100</f>
        <v>7199.16</v>
      </c>
      <c r="O189" s="77">
        <f t="shared" si="24"/>
        <v>0</v>
      </c>
      <c r="P189" s="77">
        <f t="shared" si="25"/>
        <v>7333.715</v>
      </c>
      <c r="Q189" s="61">
        <f>Valores!$C$20</f>
        <v>3519.79</v>
      </c>
      <c r="R189" s="61">
        <f>Valores!$D$4</f>
        <v>2683.49</v>
      </c>
      <c r="S189" s="77">
        <v>0</v>
      </c>
      <c r="T189" s="79">
        <f>Valores!$C$43</f>
        <v>1306.98</v>
      </c>
      <c r="U189" s="61">
        <f>Valores!$C$24</f>
        <v>2549.17</v>
      </c>
      <c r="V189" s="77">
        <f t="shared" si="33"/>
        <v>3823.755</v>
      </c>
      <c r="W189" s="77">
        <v>0</v>
      </c>
      <c r="X189" s="77">
        <v>0</v>
      </c>
      <c r="Y189" s="116">
        <v>0</v>
      </c>
      <c r="Z189" s="77">
        <f>Y189*Valores!$C$2</f>
        <v>0</v>
      </c>
      <c r="AA189" s="77">
        <v>0</v>
      </c>
      <c r="AB189" s="89">
        <f>Valores!$C$29</f>
        <v>151.15</v>
      </c>
      <c r="AC189" s="77">
        <f t="shared" si="26"/>
        <v>0</v>
      </c>
      <c r="AD189" s="77">
        <f>Valores!$C$30</f>
        <v>151.15</v>
      </c>
      <c r="AE189" s="116">
        <v>0</v>
      </c>
      <c r="AF189" s="77">
        <f>INT(((AE189*Valores!$C$2)*100)+0.5)/100</f>
        <v>0</v>
      </c>
      <c r="AG189" s="77">
        <f>Valores!$C$58</f>
        <v>307.46</v>
      </c>
      <c r="AH189" s="77">
        <f>Valores!$C$60</f>
        <v>87.85</v>
      </c>
      <c r="AI189" s="77">
        <f>SUM(H189,J189,L189,N189,O189,P189,Q189,R189,S189,T189,V189,W189,X189,Z189,AA189,AB189,AC189,AD189,AF189,AG189,AH189)*Valores!$C$63</f>
        <v>0</v>
      </c>
      <c r="AJ189" s="140">
        <f t="shared" si="27"/>
        <v>32725.79</v>
      </c>
      <c r="AK189" s="61">
        <f>Valores!$C$35</f>
        <v>415.59</v>
      </c>
      <c r="AL189" s="79">
        <f>Valores!$C$9</f>
        <v>351.39</v>
      </c>
      <c r="AM189" s="89">
        <v>0</v>
      </c>
      <c r="AN189" s="79">
        <f>IF($H$4="SI",SUM(AL189+AM189),AL189)*Valores!$C$63</f>
        <v>0</v>
      </c>
      <c r="AO189" s="12">
        <f t="shared" si="31"/>
        <v>766.98</v>
      </c>
      <c r="AP189" s="13">
        <f>AJ189*-Valores!$C$65</f>
        <v>-4254.3527</v>
      </c>
      <c r="AQ189" s="13">
        <f>AJ189*-Valores!$C$66</f>
        <v>-163.62895</v>
      </c>
      <c r="AR189" s="78">
        <f>AJ189*-Valores!$C$67</f>
        <v>-1472.66055</v>
      </c>
      <c r="AS189" s="78">
        <f>AJ189*-Valores!$C$68</f>
        <v>-883.5963300000001</v>
      </c>
      <c r="AT189" s="78">
        <f>AJ189*-Valores!$C$69</f>
        <v>-98.17737000000001</v>
      </c>
      <c r="AU189" s="15">
        <f t="shared" si="28"/>
        <v>27602.127800000006</v>
      </c>
      <c r="AV189" s="15">
        <f t="shared" si="29"/>
        <v>28093.014650000005</v>
      </c>
      <c r="AW189" s="78">
        <f>AJ189*Valores!$C$70</f>
        <v>5236.1264</v>
      </c>
      <c r="AX189" s="78">
        <f>AJ189*Valores!$C$71</f>
        <v>1472.66055</v>
      </c>
      <c r="AY189" s="78">
        <f>AJ189*Valores!$C$73</f>
        <v>327.2579</v>
      </c>
      <c r="AZ189" s="78">
        <f>AJ189*Valores!$C$74</f>
        <v>1145.4026500000002</v>
      </c>
      <c r="BA189" s="78">
        <f>AJ189*Valores!$C$75</f>
        <v>196.35474000000002</v>
      </c>
      <c r="BB189" s="78">
        <f t="shared" si="32"/>
        <v>1767.19266</v>
      </c>
      <c r="BC189" s="20"/>
      <c r="BD189" s="55">
        <v>30</v>
      </c>
      <c r="BE189" s="9" t="s">
        <v>461</v>
      </c>
    </row>
    <row r="190" spans="1:57" s="9" customFormat="1" ht="11.25" customHeight="1">
      <c r="A190" s="20">
        <v>189</v>
      </c>
      <c r="B190" s="20"/>
      <c r="C190" s="9" t="s">
        <v>350</v>
      </c>
      <c r="E190" s="9">
        <f t="shared" si="30"/>
        <v>24</v>
      </c>
      <c r="F190" s="10" t="s">
        <v>351</v>
      </c>
      <c r="G190" s="123">
        <v>1278</v>
      </c>
      <c r="H190" s="7">
        <f>INT((G190*Valores!$C$2*100)+0.5)/100</f>
        <v>7667.11</v>
      </c>
      <c r="I190" s="134">
        <v>0</v>
      </c>
      <c r="J190" s="77">
        <f>INT((I190*Valores!$C$2*100)+0.5)/100</f>
        <v>0</v>
      </c>
      <c r="K190" s="146">
        <v>0</v>
      </c>
      <c r="L190" s="77">
        <f>INT((K190*Valores!$C$2*100)+0.5)/100</f>
        <v>0</v>
      </c>
      <c r="M190" s="120">
        <v>1200</v>
      </c>
      <c r="N190" s="77">
        <f>INT((M190*Valores!$C$2*100)+0.5)/100</f>
        <v>7199.16</v>
      </c>
      <c r="O190" s="77">
        <f t="shared" si="24"/>
        <v>0</v>
      </c>
      <c r="P190" s="77">
        <f t="shared" si="25"/>
        <v>8086.625</v>
      </c>
      <c r="Q190" s="61">
        <f>Valores!$C$20</f>
        <v>3519.79</v>
      </c>
      <c r="R190" s="61">
        <f>Valores!$D$4</f>
        <v>2683.49</v>
      </c>
      <c r="S190" s="61">
        <f>Valores!$C$26</f>
        <v>2700.67</v>
      </c>
      <c r="T190" s="87">
        <f>Valores!$C$43</f>
        <v>1306.98</v>
      </c>
      <c r="U190" s="77">
        <f>Valores!$C$23</f>
        <v>2584.33</v>
      </c>
      <c r="V190" s="77">
        <f t="shared" si="33"/>
        <v>3876.495</v>
      </c>
      <c r="W190" s="77">
        <v>0</v>
      </c>
      <c r="X190" s="77">
        <v>0</v>
      </c>
      <c r="Y190" s="116">
        <v>0</v>
      </c>
      <c r="Z190" s="77">
        <f>Y190*Valores!$C$2</f>
        <v>0</v>
      </c>
      <c r="AA190" s="77">
        <v>0</v>
      </c>
      <c r="AB190" s="89">
        <f>Valores!$C$29</f>
        <v>151.15</v>
      </c>
      <c r="AC190" s="77">
        <f t="shared" si="26"/>
        <v>0</v>
      </c>
      <c r="AD190" s="77">
        <f>Valores!$C$30</f>
        <v>151.15</v>
      </c>
      <c r="AE190" s="116">
        <v>0</v>
      </c>
      <c r="AF190" s="77">
        <f>INT(((AE190*Valores!$C$2)*100)+0.5)/100</f>
        <v>0</v>
      </c>
      <c r="AG190" s="77">
        <f>Valores!$C$58</f>
        <v>307.46</v>
      </c>
      <c r="AH190" s="77">
        <f>Valores!$C$60</f>
        <v>87.85</v>
      </c>
      <c r="AI190" s="77">
        <f>SUM(H190,J190,L190,N190,O190,P190,Q190,R190,S190,T190,V190,W190,X190,Z190,AA190,AB190,AC190,AD190,AF190,AG190,AH190)*Valores!$C$63</f>
        <v>0</v>
      </c>
      <c r="AJ190" s="140">
        <f t="shared" si="27"/>
        <v>37737.93000000001</v>
      </c>
      <c r="AK190" s="61">
        <f>Valores!$C$35</f>
        <v>415.59</v>
      </c>
      <c r="AL190" s="79">
        <f>Valores!$C$9</f>
        <v>351.39</v>
      </c>
      <c r="AM190" s="89">
        <f>Valores!$C$50</f>
        <v>257.67</v>
      </c>
      <c r="AN190" s="79">
        <f>IF($H$4="SI",SUM(AL190+AM190),AL190)*Valores!$C$63</f>
        <v>0</v>
      </c>
      <c r="AO190" s="12">
        <f t="shared" si="31"/>
        <v>1024.65</v>
      </c>
      <c r="AP190" s="13">
        <f>AJ190*-Valores!$C$65</f>
        <v>-4905.930900000001</v>
      </c>
      <c r="AQ190" s="13">
        <f>AJ190*-Valores!$C$66</f>
        <v>-188.68965000000003</v>
      </c>
      <c r="AR190" s="78">
        <f>AJ190*-Valores!$C$67</f>
        <v>-1698.2068500000003</v>
      </c>
      <c r="AS190" s="78">
        <f>AJ190*-Valores!$C$68</f>
        <v>-1018.9241100000003</v>
      </c>
      <c r="AT190" s="78">
        <f>AJ190*-Valores!$C$69</f>
        <v>-113.21379000000003</v>
      </c>
      <c r="AU190" s="15">
        <f t="shared" si="28"/>
        <v>31969.752600000007</v>
      </c>
      <c r="AV190" s="15">
        <f t="shared" si="29"/>
        <v>32535.821550000008</v>
      </c>
      <c r="AW190" s="78">
        <f>AJ190*Valores!$C$70</f>
        <v>6038.068800000001</v>
      </c>
      <c r="AX190" s="78">
        <f>AJ190*Valores!$C$71</f>
        <v>1698.2068500000003</v>
      </c>
      <c r="AY190" s="78">
        <f>AJ190*Valores!$C$73</f>
        <v>377.37930000000006</v>
      </c>
      <c r="AZ190" s="78">
        <f>AJ190*Valores!$C$74</f>
        <v>1320.8275500000004</v>
      </c>
      <c r="BA190" s="78">
        <f>AJ190*Valores!$C$75</f>
        <v>226.42758000000006</v>
      </c>
      <c r="BB190" s="78">
        <f t="shared" si="32"/>
        <v>2037.8482200000005</v>
      </c>
      <c r="BC190" s="20"/>
      <c r="BD190" s="20">
        <v>36</v>
      </c>
      <c r="BE190" s="9" t="s">
        <v>462</v>
      </c>
    </row>
    <row r="191" spans="1:57" s="9" customFormat="1" ht="11.25" customHeight="1">
      <c r="A191" s="55">
        <v>190</v>
      </c>
      <c r="B191" s="55" t="s">
        <v>458</v>
      </c>
      <c r="C191" s="52" t="s">
        <v>441</v>
      </c>
      <c r="D191" s="52"/>
      <c r="E191" s="52">
        <f t="shared" si="30"/>
        <v>38</v>
      </c>
      <c r="F191" s="53" t="s">
        <v>442</v>
      </c>
      <c r="G191" s="124">
        <v>1065</v>
      </c>
      <c r="H191" s="129">
        <f>INT((G191*Valores!$C$2*100)+0.5)/100</f>
        <v>6389.26</v>
      </c>
      <c r="I191" s="133">
        <v>0</v>
      </c>
      <c r="J191" s="80">
        <f>INT((I191*Valores!$C$2*100)+0.5)/100</f>
        <v>0</v>
      </c>
      <c r="K191" s="147">
        <v>0</v>
      </c>
      <c r="L191" s="80">
        <f>INT((K191*Valores!$C$2*100)+0.5)/100</f>
        <v>0</v>
      </c>
      <c r="M191" s="121">
        <v>600</v>
      </c>
      <c r="N191" s="80">
        <f>INT((M191*Valores!$C$2*100)+0.5)/100</f>
        <v>3599.58</v>
      </c>
      <c r="O191" s="80">
        <f t="shared" si="24"/>
        <v>0</v>
      </c>
      <c r="P191" s="80">
        <f t="shared" si="25"/>
        <v>5647.91</v>
      </c>
      <c r="Q191" s="85">
        <f>Valores!$C$20</f>
        <v>3519.79</v>
      </c>
      <c r="R191" s="85">
        <f>Valores!$D$4</f>
        <v>2683.49</v>
      </c>
      <c r="S191" s="80">
        <v>0</v>
      </c>
      <c r="T191" s="82">
        <f>Valores!$C$43</f>
        <v>1306.98</v>
      </c>
      <c r="U191" s="80">
        <f>Valores!$C$23</f>
        <v>2584.33</v>
      </c>
      <c r="V191" s="80">
        <f t="shared" si="33"/>
        <v>3876.495</v>
      </c>
      <c r="W191" s="80">
        <v>0</v>
      </c>
      <c r="X191" s="80">
        <v>0</v>
      </c>
      <c r="Y191" s="115">
        <v>0</v>
      </c>
      <c r="Z191" s="80">
        <f>Y191*Valores!$C$2</f>
        <v>0</v>
      </c>
      <c r="AA191" s="80">
        <v>0</v>
      </c>
      <c r="AB191" s="90">
        <f>Valores!$C$29</f>
        <v>151.15</v>
      </c>
      <c r="AC191" s="80">
        <f t="shared" si="26"/>
        <v>0</v>
      </c>
      <c r="AD191" s="80">
        <f>Valores!$C$30</f>
        <v>151.15</v>
      </c>
      <c r="AE191" s="115">
        <v>0</v>
      </c>
      <c r="AF191" s="80">
        <f>INT(((AE191*Valores!$C$2)*100)+0.5)/100</f>
        <v>0</v>
      </c>
      <c r="AG191" s="80">
        <f>Valores!$C$58</f>
        <v>307.46</v>
      </c>
      <c r="AH191" s="80">
        <f>Valores!$C$60</f>
        <v>87.85</v>
      </c>
      <c r="AI191" s="80">
        <f>SUM(H191,J191,L191,N191,O191,P191,Q191,R191,S191,T191,V191,W191,X191,Z191,AA191,AB191,AC191,AD191,AF191,AG191,AH191)*Valores!$C$63</f>
        <v>0</v>
      </c>
      <c r="AJ191" s="141">
        <f t="shared" si="27"/>
        <v>27721.114999999998</v>
      </c>
      <c r="AK191" s="85">
        <f>Valores!$C$35</f>
        <v>415.59</v>
      </c>
      <c r="AL191" s="82">
        <f>Valores!$C$9</f>
        <v>351.39</v>
      </c>
      <c r="AM191" s="89">
        <f>Valores!$C$50</f>
        <v>257.67</v>
      </c>
      <c r="AN191" s="82">
        <f>IF($H$4="SI",SUM(AL191+AM191),AL191)*Valores!$C$63</f>
        <v>0</v>
      </c>
      <c r="AO191" s="185">
        <f t="shared" si="31"/>
        <v>1024.65</v>
      </c>
      <c r="AP191" s="154">
        <f>AJ191*-Valores!$C$65</f>
        <v>-3603.74495</v>
      </c>
      <c r="AQ191" s="154">
        <f>AJ191*-Valores!$C$66</f>
        <v>-138.605575</v>
      </c>
      <c r="AR191" s="81">
        <f>AJ191*-Valores!$C$67</f>
        <v>-1247.450175</v>
      </c>
      <c r="AS191" s="81">
        <f>AJ191*-Valores!$C$68</f>
        <v>-748.470105</v>
      </c>
      <c r="AT191" s="81">
        <f>AJ191*-Valores!$C$69</f>
        <v>-83.16334499999999</v>
      </c>
      <c r="AU191" s="54">
        <f t="shared" si="28"/>
        <v>23755.9643</v>
      </c>
      <c r="AV191" s="54">
        <f t="shared" si="29"/>
        <v>24171.781024999997</v>
      </c>
      <c r="AW191" s="81">
        <f>AJ191*Valores!$C$70</f>
        <v>4435.3784</v>
      </c>
      <c r="AX191" s="81">
        <f>AJ191*Valores!$C$71</f>
        <v>1247.450175</v>
      </c>
      <c r="AY191" s="81">
        <f>AJ191*Valores!$C$73</f>
        <v>277.21115</v>
      </c>
      <c r="AZ191" s="81">
        <f>AJ191*Valores!$C$74</f>
        <v>970.239025</v>
      </c>
      <c r="BA191" s="81">
        <f>AJ191*Valores!$C$75</f>
        <v>166.32668999999999</v>
      </c>
      <c r="BB191" s="81">
        <f t="shared" si="32"/>
        <v>1496.94021</v>
      </c>
      <c r="BC191" s="55"/>
      <c r="BD191" s="55"/>
      <c r="BE191" s="52" t="s">
        <v>462</v>
      </c>
    </row>
    <row r="192" spans="1:57" s="9" customFormat="1" ht="11.25" customHeight="1">
      <c r="A192" s="20">
        <v>191</v>
      </c>
      <c r="B192" s="20"/>
      <c r="C192" s="9" t="s">
        <v>352</v>
      </c>
      <c r="E192" s="9">
        <f t="shared" si="30"/>
        <v>26</v>
      </c>
      <c r="F192" s="10" t="s">
        <v>353</v>
      </c>
      <c r="G192" s="123">
        <v>971</v>
      </c>
      <c r="H192" s="7">
        <f>INT((G192*Valores!$C$2*100)+0.5)/100</f>
        <v>5825.32</v>
      </c>
      <c r="I192" s="134">
        <v>0</v>
      </c>
      <c r="J192" s="77">
        <f>INT((I192*Valores!$C$2*100)+0.5)/100</f>
        <v>0</v>
      </c>
      <c r="K192" s="146">
        <v>0</v>
      </c>
      <c r="L192" s="77">
        <f>INT((K192*Valores!$C$2*100)+0.5)/100</f>
        <v>0</v>
      </c>
      <c r="M192" s="120">
        <v>660</v>
      </c>
      <c r="N192" s="77">
        <f>INT((M192*Valores!$C$2*100)+0.5)/100</f>
        <v>3959.54</v>
      </c>
      <c r="O192" s="77">
        <f t="shared" si="24"/>
        <v>0</v>
      </c>
      <c r="P192" s="77">
        <f t="shared" si="25"/>
        <v>5328.095</v>
      </c>
      <c r="Q192" s="61">
        <f>Valores!$C$20</f>
        <v>3519.79</v>
      </c>
      <c r="R192" s="61">
        <f>Valores!$D$4</f>
        <v>2683.49</v>
      </c>
      <c r="S192" s="61">
        <f>Valores!$C$27</f>
        <v>2472.27</v>
      </c>
      <c r="T192" s="87">
        <f>Valores!$C$42</f>
        <v>871.33</v>
      </c>
      <c r="U192" s="77">
        <f>Valores!$C$23</f>
        <v>2584.33</v>
      </c>
      <c r="V192" s="77">
        <f t="shared" si="33"/>
        <v>3876.495</v>
      </c>
      <c r="W192" s="77">
        <v>0</v>
      </c>
      <c r="X192" s="77">
        <v>0</v>
      </c>
      <c r="Y192" s="116">
        <v>0</v>
      </c>
      <c r="Z192" s="77">
        <f>Y192*Valores!$C$2</f>
        <v>0</v>
      </c>
      <c r="AA192" s="77">
        <v>0</v>
      </c>
      <c r="AB192" s="89">
        <f>Valores!$C$29</f>
        <v>151.15</v>
      </c>
      <c r="AC192" s="77">
        <f t="shared" si="26"/>
        <v>0</v>
      </c>
      <c r="AD192" s="77">
        <f>Valores!$C$30</f>
        <v>151.15</v>
      </c>
      <c r="AE192" s="116">
        <v>0</v>
      </c>
      <c r="AF192" s="77">
        <f>INT(((AE192*Valores!$C$2)*100)+0.5)/100</f>
        <v>0</v>
      </c>
      <c r="AG192" s="77">
        <f>Valores!$C$58</f>
        <v>307.46</v>
      </c>
      <c r="AH192" s="77">
        <f>Valores!$C$60</f>
        <v>87.85</v>
      </c>
      <c r="AI192" s="77">
        <f>SUM(H192,J192,L192,N192,O192,P192,Q192,R192,S192,T192,V192,W192,X192,Z192,AA192,AB192,AC192,AD192,AF192,AG192,AH192)*Valores!$C$63</f>
        <v>0</v>
      </c>
      <c r="AJ192" s="140">
        <f t="shared" si="27"/>
        <v>29233.940000000002</v>
      </c>
      <c r="AK192" s="61">
        <f>Valores!$C$35</f>
        <v>415.59</v>
      </c>
      <c r="AL192" s="79">
        <f>Valores!$C$8</f>
        <v>234.26</v>
      </c>
      <c r="AM192" s="89">
        <v>0</v>
      </c>
      <c r="AN192" s="79">
        <f>IF($H$4="SI",SUM(AL192+AM192),AL192)*Valores!$C$63</f>
        <v>0</v>
      </c>
      <c r="AO192" s="12">
        <f t="shared" si="31"/>
        <v>649.8499999999999</v>
      </c>
      <c r="AP192" s="13">
        <f>AJ192*-Valores!$C$65</f>
        <v>-3800.4122</v>
      </c>
      <c r="AQ192" s="13">
        <f>AJ192*-Valores!$C$66</f>
        <v>-146.1697</v>
      </c>
      <c r="AR192" s="78">
        <f>AJ192*-Valores!$C$67</f>
        <v>-1315.5273</v>
      </c>
      <c r="AS192" s="78">
        <f>AJ192*-Valores!$C$68</f>
        <v>-789.3163800000002</v>
      </c>
      <c r="AT192" s="78">
        <f>AJ192*-Valores!$C$69</f>
        <v>-87.70182000000001</v>
      </c>
      <c r="AU192" s="15">
        <f t="shared" si="28"/>
        <v>24621.680800000002</v>
      </c>
      <c r="AV192" s="15">
        <f t="shared" si="29"/>
        <v>25060.189900000005</v>
      </c>
      <c r="AW192" s="78">
        <f>AJ192*Valores!$C$70</f>
        <v>4677.4304</v>
      </c>
      <c r="AX192" s="78">
        <f>AJ192*Valores!$C$71</f>
        <v>1315.5273</v>
      </c>
      <c r="AY192" s="78">
        <f>AJ192*Valores!$C$73</f>
        <v>292.3394</v>
      </c>
      <c r="AZ192" s="78">
        <f>AJ192*Valores!$C$74</f>
        <v>1023.1879000000001</v>
      </c>
      <c r="BA192" s="78">
        <f>AJ192*Valores!$C$75</f>
        <v>175.40364000000002</v>
      </c>
      <c r="BB192" s="78">
        <f t="shared" si="32"/>
        <v>1578.6327600000002</v>
      </c>
      <c r="BC192" s="20"/>
      <c r="BD192" s="20">
        <v>18</v>
      </c>
      <c r="BE192" s="9" t="s">
        <v>462</v>
      </c>
    </row>
    <row r="193" spans="1:57" s="9" customFormat="1" ht="11.25" customHeight="1">
      <c r="A193" s="20">
        <v>192</v>
      </c>
      <c r="B193" s="20"/>
      <c r="C193" s="9" t="s">
        <v>354</v>
      </c>
      <c r="D193" s="9">
        <v>1</v>
      </c>
      <c r="E193" s="9">
        <f t="shared" si="30"/>
        <v>36</v>
      </c>
      <c r="F193" s="10" t="str">
        <f aca="true" t="shared" si="34" ref="F193:F228">CONCATENATE("Hora Cátedra Enseñanza Superior ",D193," hs")</f>
        <v>Hora Cátedra Enseñanza Superior 1 hs</v>
      </c>
      <c r="G193" s="123">
        <f aca="true" t="shared" si="35" ref="G193:G228">99*D193</f>
        <v>99</v>
      </c>
      <c r="H193" s="7">
        <f>INT((G193*Valores!$C$2*100)+0.5)/100</f>
        <v>593.93</v>
      </c>
      <c r="I193" s="134">
        <v>0</v>
      </c>
      <c r="J193" s="77">
        <f>INT((I193*Valores!$C$2*100)+0.5)/100</f>
        <v>0</v>
      </c>
      <c r="K193" s="146">
        <v>0</v>
      </c>
      <c r="L193" s="77">
        <f>INT((K193*Valores!$C$2*100)+0.5)/100</f>
        <v>0</v>
      </c>
      <c r="M193" s="120">
        <v>0</v>
      </c>
      <c r="N193" s="77">
        <f>INT((M193*Valores!$C$2*100)+0.5)/100</f>
        <v>0</v>
      </c>
      <c r="O193" s="77">
        <f t="shared" si="24"/>
        <v>0</v>
      </c>
      <c r="P193" s="77">
        <f t="shared" si="25"/>
        <v>315.12</v>
      </c>
      <c r="Q193" s="61">
        <f>Valores!$C$14*D193</f>
        <v>137.54</v>
      </c>
      <c r="R193" s="61">
        <f>IF(D193&lt;15,(Valores!$E$4*D193),Valores!$D$4)</f>
        <v>178.89999999999998</v>
      </c>
      <c r="S193" s="77">
        <v>0</v>
      </c>
      <c r="T193" s="79">
        <f>IF(Valores!$C$45*D193&gt;Valores!$C$43,Valores!$C$43,Valores!$C$45*D193)</f>
        <v>36.31</v>
      </c>
      <c r="U193" s="61">
        <f>Valores!$C$22*D193</f>
        <v>53.3</v>
      </c>
      <c r="V193" s="77">
        <f t="shared" si="33"/>
        <v>79.94999999999999</v>
      </c>
      <c r="W193" s="77">
        <v>0</v>
      </c>
      <c r="X193" s="77">
        <v>0</v>
      </c>
      <c r="Y193" s="37">
        <v>0</v>
      </c>
      <c r="Z193" s="77">
        <f>Y193*Valores!$C$2</f>
        <v>0</v>
      </c>
      <c r="AA193" s="77">
        <v>0</v>
      </c>
      <c r="AB193" s="89">
        <f>IF((Valores!$C$32)*D193&gt;Valores!$F$32,Valores!$F$32,(Valores!$C$32)*D193)</f>
        <v>6.06</v>
      </c>
      <c r="AC193" s="77">
        <f t="shared" si="26"/>
        <v>0</v>
      </c>
      <c r="AD193" s="77">
        <f>IF(Valores!$C$33*D193&gt;Valores!$F$33,Valores!$F$33,Valores!$C$33*D193)</f>
        <v>5.04</v>
      </c>
      <c r="AE193" s="116">
        <v>0</v>
      </c>
      <c r="AF193" s="77">
        <f>INT(((AE193*Valores!$C$2)*100)+0.5)/100</f>
        <v>0</v>
      </c>
      <c r="AG193" s="77">
        <f>IF(Valores!$D$58*'Escala Docente'!D193&gt;Valores!$F$58,Valores!$F$58,Valores!$D$58*'Escala Docente'!D193)</f>
        <v>20.5</v>
      </c>
      <c r="AH193" s="77">
        <f>IF(Valores!$D$60*D193&gt;Valores!$F$60,Valores!$F$60,Valores!$D$60*D193)</f>
        <v>5.86</v>
      </c>
      <c r="AI193" s="77">
        <f>SUM(H193,J193,L193,N193,O193,P193,Q193,R193,S193,T193,V193,W193,X193,Z193,AA193,AB193,AC193,AD193,AF193,AG193,AH193)*Valores!$C$63</f>
        <v>0</v>
      </c>
      <c r="AJ193" s="140">
        <f t="shared" si="27"/>
        <v>1379.2099999999996</v>
      </c>
      <c r="AK193" s="61">
        <f>IF(Valores!$C$36*D193&gt;Valores!$F$36,Valores!$F$36,Valores!$C$36*D193)</f>
        <v>27.71</v>
      </c>
      <c r="AL193" s="79">
        <f>IF(Valores!$C$11*D193&gt;Valores!$F$11,Valores!$F$11,Valores!$C$11*D193)</f>
        <v>9.77</v>
      </c>
      <c r="AM193" s="89">
        <f>IF(Valores!$C$56*D193&gt;Valores!$F$56,Valores!$F$56,Valores!$C$56*D193)</f>
        <v>10.74</v>
      </c>
      <c r="AN193" s="79">
        <f>IF($H$4="SI",SUM(AL193+AM193),AL193)*Valores!$C$63</f>
        <v>0</v>
      </c>
      <c r="AO193" s="12">
        <f t="shared" si="31"/>
        <v>48.220000000000006</v>
      </c>
      <c r="AP193" s="13">
        <f>AJ193*-Valores!$C$65</f>
        <v>-179.29729999999995</v>
      </c>
      <c r="AQ193" s="13">
        <f>AJ193*-Valores!$C$66</f>
        <v>-6.896049999999998</v>
      </c>
      <c r="AR193" s="78">
        <f>AJ193*-Valores!$C$67</f>
        <v>-62.06444999999998</v>
      </c>
      <c r="AS193" s="78">
        <f>AJ193*-Valores!$C$68</f>
        <v>-37.23866999999999</v>
      </c>
      <c r="AT193" s="78">
        <f>AJ193*-Valores!$C$69</f>
        <v>-4.137629999999999</v>
      </c>
      <c r="AU193" s="15">
        <f t="shared" si="28"/>
        <v>1179.1721999999995</v>
      </c>
      <c r="AV193" s="15">
        <f t="shared" si="29"/>
        <v>1199.8603499999997</v>
      </c>
      <c r="AW193" s="78">
        <f>AJ193*Valores!$C$70</f>
        <v>220.67359999999994</v>
      </c>
      <c r="AX193" s="78">
        <f>AJ193*Valores!$C$71</f>
        <v>62.06444999999998</v>
      </c>
      <c r="AY193" s="78">
        <f>AJ193*Valores!$C$73</f>
        <v>13.792099999999996</v>
      </c>
      <c r="AZ193" s="78">
        <f>AJ193*Valores!$C$74</f>
        <v>48.27234999999999</v>
      </c>
      <c r="BA193" s="78">
        <f>AJ193*Valores!$C$75</f>
        <v>8.275259999999998</v>
      </c>
      <c r="BB193" s="78">
        <f t="shared" si="32"/>
        <v>74.47733999999998</v>
      </c>
      <c r="BC193" s="20"/>
      <c r="BD193" s="20">
        <f aca="true" t="shared" si="36" ref="BD193:BD224">4*D193</f>
        <v>4</v>
      </c>
      <c r="BE193" s="9" t="s">
        <v>462</v>
      </c>
    </row>
    <row r="194" spans="1:57" s="9" customFormat="1" ht="11.25" customHeight="1">
      <c r="A194" s="20">
        <v>193</v>
      </c>
      <c r="B194" s="20"/>
      <c r="C194" s="9" t="s">
        <v>354</v>
      </c>
      <c r="D194" s="9">
        <v>2</v>
      </c>
      <c r="E194" s="9">
        <f t="shared" si="30"/>
        <v>36</v>
      </c>
      <c r="F194" s="10" t="str">
        <f t="shared" si="34"/>
        <v>Hora Cátedra Enseñanza Superior 2 hs</v>
      </c>
      <c r="G194" s="123">
        <f t="shared" si="35"/>
        <v>198</v>
      </c>
      <c r="H194" s="7">
        <f>INT((G194*Valores!$C$2*100)+0.5)/100</f>
        <v>1187.86</v>
      </c>
      <c r="I194" s="134">
        <v>0</v>
      </c>
      <c r="J194" s="77">
        <f>INT((I194*Valores!$C$2*100)+0.5)/100</f>
        <v>0</v>
      </c>
      <c r="K194" s="146">
        <v>0</v>
      </c>
      <c r="L194" s="77">
        <f>INT((K194*Valores!$C$2*100)+0.5)/100</f>
        <v>0</v>
      </c>
      <c r="M194" s="120">
        <v>0</v>
      </c>
      <c r="N194" s="77">
        <f>INT((M194*Valores!$C$2*100)+0.5)/100</f>
        <v>0</v>
      </c>
      <c r="O194" s="77">
        <f t="shared" si="24"/>
        <v>0</v>
      </c>
      <c r="P194" s="77">
        <f t="shared" si="25"/>
        <v>630.24</v>
      </c>
      <c r="Q194" s="61">
        <f>Valores!$C$14*D194</f>
        <v>275.08</v>
      </c>
      <c r="R194" s="61">
        <f>IF(D194&lt;15,(Valores!$E$4*D194),Valores!$D$4)</f>
        <v>357.79999999999995</v>
      </c>
      <c r="S194" s="77">
        <v>0</v>
      </c>
      <c r="T194" s="79">
        <f>IF(Valores!$C$45*D194&gt;Valores!$C$43,Valores!$C$43,Valores!$C$45*D194)</f>
        <v>72.62</v>
      </c>
      <c r="U194" s="61">
        <f>Valores!$C$22*D194</f>
        <v>106.6</v>
      </c>
      <c r="V194" s="77">
        <f t="shared" si="33"/>
        <v>159.89999999999998</v>
      </c>
      <c r="W194" s="77">
        <v>0</v>
      </c>
      <c r="X194" s="77">
        <v>0</v>
      </c>
      <c r="Y194" s="37">
        <v>0</v>
      </c>
      <c r="Z194" s="77">
        <f>Y194*Valores!$C$2</f>
        <v>0</v>
      </c>
      <c r="AA194" s="77">
        <v>0</v>
      </c>
      <c r="AB194" s="89">
        <f>IF((Valores!$C$32)*D194&gt;Valores!$F$32,Valores!$F$32,(Valores!$C$32)*D194)</f>
        <v>12.12</v>
      </c>
      <c r="AC194" s="77">
        <f t="shared" si="26"/>
        <v>0</v>
      </c>
      <c r="AD194" s="77">
        <f>IF(Valores!$C$33*D194&gt;Valores!$F$33,Valores!$F$33,Valores!$C$33*D194)</f>
        <v>10.08</v>
      </c>
      <c r="AE194" s="116">
        <v>0</v>
      </c>
      <c r="AF194" s="77">
        <f>INT(((AE194*Valores!$C$2)*100)+0.5)/100</f>
        <v>0</v>
      </c>
      <c r="AG194" s="77">
        <f>IF(Valores!$D$58*'Escala Docente'!D194&gt;Valores!$F$58,Valores!$F$58,Valores!$D$58*'Escala Docente'!D194)</f>
        <v>41</v>
      </c>
      <c r="AH194" s="77">
        <f>IF(Valores!$D$60*D194&gt;Valores!$F$60,Valores!$F$60,Valores!$D$60*D194)</f>
        <v>11.72</v>
      </c>
      <c r="AI194" s="77">
        <f>SUM(H194,J194,L194,N194,O194,P194,Q194,R194,S194,T194,V194,W194,X194,Z194,AA194,AB194,AC194,AD194,AF194,AG194,AH194)*Valores!$C$63</f>
        <v>0</v>
      </c>
      <c r="AJ194" s="140">
        <f t="shared" si="27"/>
        <v>2758.419999999999</v>
      </c>
      <c r="AK194" s="61">
        <f>IF(Valores!$C$36*D194&gt;Valores!$F$36,Valores!$F$36,Valores!$C$36*D194)</f>
        <v>55.42</v>
      </c>
      <c r="AL194" s="79">
        <f>IF(Valores!$C$11*D194&gt;Valores!$F$11,Valores!$F$11,Valores!$C$11*D194)</f>
        <v>19.54</v>
      </c>
      <c r="AM194" s="89">
        <f>IF(Valores!$C$56*D194&gt;Valores!$F$56,Valores!$F$56,Valores!$C$56*D194)</f>
        <v>21.48</v>
      </c>
      <c r="AN194" s="79">
        <f>IF($H$4="SI",SUM(AL194+AM194),AL194)*Valores!$C$63</f>
        <v>0</v>
      </c>
      <c r="AO194" s="12">
        <f t="shared" si="31"/>
        <v>96.44000000000001</v>
      </c>
      <c r="AP194" s="13">
        <f>AJ194*-Valores!$C$65</f>
        <v>-358.5945999999999</v>
      </c>
      <c r="AQ194" s="13">
        <f>AJ194*-Valores!$C$66</f>
        <v>-13.792099999999996</v>
      </c>
      <c r="AR194" s="78">
        <f>AJ194*-Valores!$C$67</f>
        <v>-124.12889999999996</v>
      </c>
      <c r="AS194" s="78">
        <f>AJ194*-Valores!$C$68</f>
        <v>-74.47733999999998</v>
      </c>
      <c r="AT194" s="78">
        <f>AJ194*-Valores!$C$69</f>
        <v>-8.275259999999998</v>
      </c>
      <c r="AU194" s="15">
        <f t="shared" si="28"/>
        <v>2358.344399999999</v>
      </c>
      <c r="AV194" s="15">
        <f t="shared" si="29"/>
        <v>2399.7206999999994</v>
      </c>
      <c r="AW194" s="78">
        <f>AJ194*Valores!$C$70</f>
        <v>441.3471999999999</v>
      </c>
      <c r="AX194" s="78">
        <f>AJ194*Valores!$C$71</f>
        <v>124.12889999999996</v>
      </c>
      <c r="AY194" s="78">
        <f>AJ194*Valores!$C$73</f>
        <v>27.584199999999992</v>
      </c>
      <c r="AZ194" s="78">
        <f>AJ194*Valores!$C$74</f>
        <v>96.54469999999998</v>
      </c>
      <c r="BA194" s="78">
        <f>AJ194*Valores!$C$75</f>
        <v>16.550519999999995</v>
      </c>
      <c r="BB194" s="78">
        <f t="shared" si="32"/>
        <v>148.95467999999997</v>
      </c>
      <c r="BC194" s="20"/>
      <c r="BD194" s="55">
        <f t="shared" si="36"/>
        <v>8</v>
      </c>
      <c r="BE194" s="9" t="s">
        <v>462</v>
      </c>
    </row>
    <row r="195" spans="1:57" s="9" customFormat="1" ht="11.25" customHeight="1">
      <c r="A195" s="20">
        <v>194</v>
      </c>
      <c r="B195" s="20"/>
      <c r="C195" s="9" t="s">
        <v>354</v>
      </c>
      <c r="D195" s="9">
        <v>3</v>
      </c>
      <c r="E195" s="9">
        <f t="shared" si="30"/>
        <v>36</v>
      </c>
      <c r="F195" s="10" t="str">
        <f t="shared" si="34"/>
        <v>Hora Cátedra Enseñanza Superior 3 hs</v>
      </c>
      <c r="G195" s="123">
        <f t="shared" si="35"/>
        <v>297</v>
      </c>
      <c r="H195" s="7">
        <f>INT((G195*Valores!$C$2*100)+0.5)/100</f>
        <v>1781.79</v>
      </c>
      <c r="I195" s="134">
        <v>0</v>
      </c>
      <c r="J195" s="77">
        <f>INT((I195*Valores!$C$2*100)+0.5)/100</f>
        <v>0</v>
      </c>
      <c r="K195" s="146">
        <v>0</v>
      </c>
      <c r="L195" s="77">
        <f>INT((K195*Valores!$C$2*100)+0.5)/100</f>
        <v>0</v>
      </c>
      <c r="M195" s="120">
        <v>0</v>
      </c>
      <c r="N195" s="77">
        <f>INT((M195*Valores!$C$2*100)+0.5)/100</f>
        <v>0</v>
      </c>
      <c r="O195" s="77">
        <f t="shared" si="24"/>
        <v>0</v>
      </c>
      <c r="P195" s="77">
        <f t="shared" si="25"/>
        <v>945.36</v>
      </c>
      <c r="Q195" s="61">
        <f>Valores!$C$14*D195</f>
        <v>412.62</v>
      </c>
      <c r="R195" s="61">
        <f>IF(D195&lt;15,(Valores!$E$4*D195),Valores!$D$4)</f>
        <v>536.6999999999999</v>
      </c>
      <c r="S195" s="77">
        <v>0</v>
      </c>
      <c r="T195" s="79">
        <f>IF(Valores!$C$45*D195&gt;Valores!$C$43,Valores!$C$43,Valores!$C$45*D195)</f>
        <v>108.93</v>
      </c>
      <c r="U195" s="61">
        <f>Valores!$C$22*D195</f>
        <v>159.89999999999998</v>
      </c>
      <c r="V195" s="77">
        <f t="shared" si="33"/>
        <v>239.84999999999997</v>
      </c>
      <c r="W195" s="77">
        <v>0</v>
      </c>
      <c r="X195" s="77">
        <v>0</v>
      </c>
      <c r="Y195" s="37">
        <v>0</v>
      </c>
      <c r="Z195" s="77">
        <f>Y195*Valores!$C$2</f>
        <v>0</v>
      </c>
      <c r="AA195" s="77">
        <v>0</v>
      </c>
      <c r="AB195" s="89">
        <f>IF((Valores!$C$32)*D195&gt;Valores!$F$32,Valores!$F$32,(Valores!$C$32)*D195)</f>
        <v>18.18</v>
      </c>
      <c r="AC195" s="77">
        <f t="shared" si="26"/>
        <v>0</v>
      </c>
      <c r="AD195" s="77">
        <f>IF(Valores!$C$33*D195&gt;Valores!$F$33,Valores!$F$33,Valores!$C$33*D195)</f>
        <v>15.120000000000001</v>
      </c>
      <c r="AE195" s="116">
        <v>0</v>
      </c>
      <c r="AF195" s="77">
        <f>INT(((AE195*Valores!$C$2)*100)+0.5)/100</f>
        <v>0</v>
      </c>
      <c r="AG195" s="77">
        <f>IF(Valores!$D$58*'Escala Docente'!D195&gt;Valores!$F$58,Valores!$F$58,Valores!$D$58*'Escala Docente'!D195)</f>
        <v>61.5</v>
      </c>
      <c r="AH195" s="77">
        <f>IF(Valores!$D$60*D195&gt;Valores!$F$60,Valores!$F$60,Valores!$D$60*D195)</f>
        <v>17.580000000000002</v>
      </c>
      <c r="AI195" s="77">
        <f>SUM(H195,J195,L195,N195,O195,P195,Q195,R195,S195,T195,V195,W195,X195,Z195,AA195,AB195,AC195,AD195,AF195,AG195,AH195)*Valores!$C$63</f>
        <v>0</v>
      </c>
      <c r="AJ195" s="140">
        <f t="shared" si="27"/>
        <v>4137.629999999999</v>
      </c>
      <c r="AK195" s="61">
        <f>IF(Valores!$C$36*D195&gt;Valores!$F$36,Valores!$F$36,Valores!$C$36*D195)</f>
        <v>83.13</v>
      </c>
      <c r="AL195" s="79">
        <f>IF(Valores!$C$11*D195&gt;Valores!$F$11,Valores!$F$11,Valores!$C$11*D195)</f>
        <v>29.31</v>
      </c>
      <c r="AM195" s="89">
        <f>IF(Valores!$C$56*D195&gt;Valores!$F$56,Valores!$F$56,Valores!$C$56*D195)</f>
        <v>32.22</v>
      </c>
      <c r="AN195" s="79">
        <f>IF($H$4="SI",SUM(AL195+AM195),AL195)*Valores!$C$63</f>
        <v>0</v>
      </c>
      <c r="AO195" s="12">
        <f t="shared" si="31"/>
        <v>144.66</v>
      </c>
      <c r="AP195" s="13">
        <f>AJ195*-Valores!$C$65</f>
        <v>-537.8919</v>
      </c>
      <c r="AQ195" s="13">
        <f>AJ195*-Valores!$C$66</f>
        <v>-20.688149999999997</v>
      </c>
      <c r="AR195" s="78">
        <f>AJ195*-Valores!$C$67</f>
        <v>-186.19334999999995</v>
      </c>
      <c r="AS195" s="78">
        <f>AJ195*-Valores!$C$68</f>
        <v>-111.71601</v>
      </c>
      <c r="AT195" s="78">
        <f>AJ195*-Valores!$C$69</f>
        <v>-12.412889999999997</v>
      </c>
      <c r="AU195" s="15">
        <f t="shared" si="28"/>
        <v>3537.516599999999</v>
      </c>
      <c r="AV195" s="15">
        <f t="shared" si="29"/>
        <v>3599.581049999999</v>
      </c>
      <c r="AW195" s="78">
        <f>AJ195*Valores!$C$70</f>
        <v>662.0207999999999</v>
      </c>
      <c r="AX195" s="78">
        <f>AJ195*Valores!$C$71</f>
        <v>186.19334999999995</v>
      </c>
      <c r="AY195" s="78">
        <f>AJ195*Valores!$C$73</f>
        <v>41.37629999999999</v>
      </c>
      <c r="AZ195" s="78">
        <f>AJ195*Valores!$C$74</f>
        <v>144.81705</v>
      </c>
      <c r="BA195" s="78">
        <f>AJ195*Valores!$C$75</f>
        <v>24.825779999999995</v>
      </c>
      <c r="BB195" s="78">
        <f t="shared" si="32"/>
        <v>223.43201999999997</v>
      </c>
      <c r="BC195" s="20"/>
      <c r="BD195" s="20">
        <f t="shared" si="36"/>
        <v>12</v>
      </c>
      <c r="BE195" s="9" t="s">
        <v>462</v>
      </c>
    </row>
    <row r="196" spans="1:57" s="9" customFormat="1" ht="11.25" customHeight="1">
      <c r="A196" s="55">
        <v>195</v>
      </c>
      <c r="B196" s="55" t="s">
        <v>458</v>
      </c>
      <c r="C196" s="52" t="s">
        <v>354</v>
      </c>
      <c r="D196" s="52">
        <v>4</v>
      </c>
      <c r="E196" s="52">
        <f t="shared" si="30"/>
        <v>36</v>
      </c>
      <c r="F196" s="53" t="str">
        <f t="shared" si="34"/>
        <v>Hora Cátedra Enseñanza Superior 4 hs</v>
      </c>
      <c r="G196" s="124">
        <f t="shared" si="35"/>
        <v>396</v>
      </c>
      <c r="H196" s="129">
        <f>INT((G196*Valores!$C$2*100)+0.5)/100</f>
        <v>2375.72</v>
      </c>
      <c r="I196" s="133">
        <v>0</v>
      </c>
      <c r="J196" s="80">
        <f>INT((I196*Valores!$C$2*100)+0.5)/100</f>
        <v>0</v>
      </c>
      <c r="K196" s="147">
        <v>0</v>
      </c>
      <c r="L196" s="80">
        <f>INT((K196*Valores!$C$2*100)+0.5)/100</f>
        <v>0</v>
      </c>
      <c r="M196" s="121">
        <v>0</v>
      </c>
      <c r="N196" s="80">
        <f>INT((M196*Valores!$C$2*100)+0.5)/100</f>
        <v>0</v>
      </c>
      <c r="O196" s="80">
        <f t="shared" si="24"/>
        <v>0</v>
      </c>
      <c r="P196" s="80">
        <f t="shared" si="25"/>
        <v>1260.48</v>
      </c>
      <c r="Q196" s="85">
        <f>Valores!$C$14*D196</f>
        <v>550.16</v>
      </c>
      <c r="R196" s="85">
        <f>IF(D196&lt;15,(Valores!$E$4*D196),Valores!$D$4)</f>
        <v>715.5999999999999</v>
      </c>
      <c r="S196" s="80">
        <v>0</v>
      </c>
      <c r="T196" s="82">
        <f>IF(Valores!$C$45*D196&gt;Valores!$C$43,Valores!$C$43,Valores!$C$45*D196)</f>
        <v>145.24</v>
      </c>
      <c r="U196" s="85">
        <f>Valores!$C$22*D196</f>
        <v>213.2</v>
      </c>
      <c r="V196" s="80">
        <f t="shared" si="33"/>
        <v>319.79999999999995</v>
      </c>
      <c r="W196" s="80">
        <v>0</v>
      </c>
      <c r="X196" s="80">
        <v>0</v>
      </c>
      <c r="Y196" s="60">
        <v>0</v>
      </c>
      <c r="Z196" s="80">
        <f>Y196*Valores!$C$2</f>
        <v>0</v>
      </c>
      <c r="AA196" s="80">
        <v>0</v>
      </c>
      <c r="AB196" s="90">
        <f>IF((Valores!$C$32)*D196&gt;Valores!$F$32,Valores!$F$32,(Valores!$C$32)*D196)</f>
        <v>24.24</v>
      </c>
      <c r="AC196" s="80">
        <f t="shared" si="26"/>
        <v>0</v>
      </c>
      <c r="AD196" s="80">
        <f>IF(Valores!$C$33*D196&gt;Valores!$F$33,Valores!$F$33,Valores!$C$33*D196)</f>
        <v>20.16</v>
      </c>
      <c r="AE196" s="115">
        <v>0</v>
      </c>
      <c r="AF196" s="80">
        <f>INT(((AE196*Valores!$C$2)*100)+0.5)/100</f>
        <v>0</v>
      </c>
      <c r="AG196" s="80">
        <f>IF(Valores!$D$58*'Escala Docente'!D196&gt;Valores!$F$58,Valores!$F$58,Valores!$D$58*'Escala Docente'!D196)</f>
        <v>82</v>
      </c>
      <c r="AH196" s="80">
        <f>IF(Valores!$D$60*D196&gt;Valores!$F$60,Valores!$F$60,Valores!$D$60*D196)</f>
        <v>23.44</v>
      </c>
      <c r="AI196" s="80">
        <f>SUM(H196,J196,L196,N196,O196,P196,Q196,R196,S196,T196,V196,W196,X196,Z196,AA196,AB196,AC196,AD196,AF196,AG196,AH196)*Valores!$C$63</f>
        <v>0</v>
      </c>
      <c r="AJ196" s="141">
        <f t="shared" si="27"/>
        <v>5516.839999999998</v>
      </c>
      <c r="AK196" s="85">
        <f>IF(Valores!$C$36*D196&gt;Valores!$F$36,Valores!$F$36,Valores!$C$36*D196)</f>
        <v>110.84</v>
      </c>
      <c r="AL196" s="82">
        <f>IF(Valores!$C$11*D196&gt;Valores!$F$11,Valores!$F$11,Valores!$C$11*D196)</f>
        <v>39.08</v>
      </c>
      <c r="AM196" s="90">
        <f>IF(Valores!$C$56*D196&gt;Valores!$F$56,Valores!$F$56,Valores!$C$56*D196)</f>
        <v>42.96</v>
      </c>
      <c r="AN196" s="82">
        <f>IF($H$4="SI",SUM(AL196+AM196),AL196)*Valores!$C$63</f>
        <v>0</v>
      </c>
      <c r="AO196" s="185">
        <f t="shared" si="31"/>
        <v>192.88000000000002</v>
      </c>
      <c r="AP196" s="154">
        <f>AJ196*-Valores!$C$65</f>
        <v>-717.1891999999998</v>
      </c>
      <c r="AQ196" s="154">
        <f>AJ196*-Valores!$C$66</f>
        <v>-27.584199999999992</v>
      </c>
      <c r="AR196" s="81">
        <f>AJ196*-Valores!$C$67</f>
        <v>-248.25779999999992</v>
      </c>
      <c r="AS196" s="81">
        <f>AJ196*-Valores!$C$68</f>
        <v>-148.95467999999997</v>
      </c>
      <c r="AT196" s="81">
        <f>AJ196*-Valores!$C$69</f>
        <v>-16.550519999999995</v>
      </c>
      <c r="AU196" s="54">
        <f t="shared" si="28"/>
        <v>4716.688799999998</v>
      </c>
      <c r="AV196" s="54">
        <f t="shared" si="29"/>
        <v>4799.441399999999</v>
      </c>
      <c r="AW196" s="81">
        <f>AJ196*Valores!$C$70</f>
        <v>882.6943999999997</v>
      </c>
      <c r="AX196" s="81">
        <f>AJ196*Valores!$C$71</f>
        <v>248.25779999999992</v>
      </c>
      <c r="AY196" s="81">
        <f>AJ196*Valores!$C$73</f>
        <v>55.168399999999984</v>
      </c>
      <c r="AZ196" s="81">
        <f>AJ196*Valores!$C$74</f>
        <v>193.08939999999996</v>
      </c>
      <c r="BA196" s="81">
        <f>AJ196*Valores!$C$75</f>
        <v>33.10103999999999</v>
      </c>
      <c r="BB196" s="81">
        <f t="shared" si="32"/>
        <v>297.90935999999994</v>
      </c>
      <c r="BC196" s="55"/>
      <c r="BD196" s="55">
        <f t="shared" si="36"/>
        <v>16</v>
      </c>
      <c r="BE196" s="52" t="s">
        <v>462</v>
      </c>
    </row>
    <row r="197" spans="1:57" s="9" customFormat="1" ht="11.25" customHeight="1">
      <c r="A197" s="20">
        <v>196</v>
      </c>
      <c r="B197" s="20"/>
      <c r="C197" s="9" t="s">
        <v>354</v>
      </c>
      <c r="D197" s="9">
        <v>5</v>
      </c>
      <c r="E197" s="9">
        <f t="shared" si="30"/>
        <v>36</v>
      </c>
      <c r="F197" s="10" t="str">
        <f t="shared" si="34"/>
        <v>Hora Cátedra Enseñanza Superior 5 hs</v>
      </c>
      <c r="G197" s="123">
        <f t="shared" si="35"/>
        <v>495</v>
      </c>
      <c r="H197" s="7">
        <f>INT((G197*Valores!$C$2*100)+0.5)/100</f>
        <v>2969.66</v>
      </c>
      <c r="I197" s="134">
        <v>0</v>
      </c>
      <c r="J197" s="77">
        <f>INT((I197*Valores!$C$2*100)+0.5)/100</f>
        <v>0</v>
      </c>
      <c r="K197" s="146">
        <v>0</v>
      </c>
      <c r="L197" s="77">
        <f>INT((K197*Valores!$C$2*100)+0.5)/100</f>
        <v>0</v>
      </c>
      <c r="M197" s="120">
        <v>0</v>
      </c>
      <c r="N197" s="77">
        <f>INT((M197*Valores!$C$2*100)+0.5)/100</f>
        <v>0</v>
      </c>
      <c r="O197" s="77">
        <f t="shared" si="24"/>
        <v>0</v>
      </c>
      <c r="P197" s="77">
        <f t="shared" si="25"/>
        <v>1575.605</v>
      </c>
      <c r="Q197" s="61">
        <f>Valores!$C$14*D197</f>
        <v>687.6999999999999</v>
      </c>
      <c r="R197" s="61">
        <f>IF(D197&lt;15,(Valores!$E$4*D197),Valores!$D$4)</f>
        <v>894.4999999999999</v>
      </c>
      <c r="S197" s="77">
        <v>0</v>
      </c>
      <c r="T197" s="79">
        <f>IF(Valores!$C$45*D197&gt;Valores!$C$43,Valores!$C$43,Valores!$C$45*D197)</f>
        <v>181.55</v>
      </c>
      <c r="U197" s="61">
        <f>Valores!$C$22*D197</f>
        <v>266.5</v>
      </c>
      <c r="V197" s="77">
        <f t="shared" si="33"/>
        <v>399.75</v>
      </c>
      <c r="W197" s="77">
        <v>0</v>
      </c>
      <c r="X197" s="77">
        <v>0</v>
      </c>
      <c r="Y197" s="37">
        <v>0</v>
      </c>
      <c r="Z197" s="77">
        <f>Y197*Valores!$C$2</f>
        <v>0</v>
      </c>
      <c r="AA197" s="77">
        <v>0</v>
      </c>
      <c r="AB197" s="89">
        <f>IF((Valores!$C$32)*D197&gt;Valores!$F$32,Valores!$F$32,(Valores!$C$32)*D197)</f>
        <v>30.299999999999997</v>
      </c>
      <c r="AC197" s="77">
        <f t="shared" si="26"/>
        <v>0</v>
      </c>
      <c r="AD197" s="77">
        <f>IF(Valores!$C$33*D197&gt;Valores!$F$33,Valores!$F$33,Valores!$C$33*D197)</f>
        <v>25.2</v>
      </c>
      <c r="AE197" s="116">
        <v>0</v>
      </c>
      <c r="AF197" s="77">
        <f>INT(((AE197*Valores!$C$2)*100)+0.5)/100</f>
        <v>0</v>
      </c>
      <c r="AG197" s="77">
        <f>IF(Valores!$D$58*'Escala Docente'!D197&gt;Valores!$F$58,Valores!$F$58,Valores!$D$58*'Escala Docente'!D197)</f>
        <v>102.5</v>
      </c>
      <c r="AH197" s="77">
        <f>IF(Valores!$D$60*D197&gt;Valores!$F$60,Valores!$F$60,Valores!$D$60*D197)</f>
        <v>29.3</v>
      </c>
      <c r="AI197" s="77">
        <f>SUM(H197,J197,L197,N197,O197,P197,Q197,R197,S197,T197,V197,W197,X197,Z197,AA197,AB197,AC197,AD197,AF197,AG197,AH197)*Valores!$C$63</f>
        <v>0</v>
      </c>
      <c r="AJ197" s="140">
        <f t="shared" si="27"/>
        <v>6896.065</v>
      </c>
      <c r="AK197" s="61">
        <f>IF(Valores!$C$36*D197&gt;Valores!$F$36,Valores!$F$36,Valores!$C$36*D197)</f>
        <v>138.55</v>
      </c>
      <c r="AL197" s="79">
        <f>IF(Valores!$C$11*D197&gt;Valores!$F$11,Valores!$F$11,Valores!$C$11*D197)</f>
        <v>48.849999999999994</v>
      </c>
      <c r="AM197" s="89">
        <f>IF(Valores!$C$56*D197&gt;Valores!$F$56,Valores!$F$56,Valores!$C$56*D197)</f>
        <v>53.7</v>
      </c>
      <c r="AN197" s="79">
        <f>IF($H$4="SI",SUM(AL197+AM197),AL197)*Valores!$C$63</f>
        <v>0</v>
      </c>
      <c r="AO197" s="12">
        <f t="shared" si="31"/>
        <v>241.10000000000002</v>
      </c>
      <c r="AP197" s="13">
        <f>AJ197*-Valores!$C$65</f>
        <v>-896.48845</v>
      </c>
      <c r="AQ197" s="13">
        <f>AJ197*-Valores!$C$66</f>
        <v>-34.480325</v>
      </c>
      <c r="AR197" s="78">
        <f>AJ197*-Valores!$C$67</f>
        <v>-310.322925</v>
      </c>
      <c r="AS197" s="78">
        <f>AJ197*-Valores!$C$68</f>
        <v>-186.193755</v>
      </c>
      <c r="AT197" s="78">
        <f>AJ197*-Valores!$C$69</f>
        <v>-20.688195</v>
      </c>
      <c r="AU197" s="15">
        <f t="shared" si="28"/>
        <v>5895.873299999999</v>
      </c>
      <c r="AV197" s="15">
        <f t="shared" si="29"/>
        <v>5999.314275</v>
      </c>
      <c r="AW197" s="78">
        <f>AJ197*Valores!$C$70</f>
        <v>1103.3704</v>
      </c>
      <c r="AX197" s="78">
        <f>AJ197*Valores!$C$71</f>
        <v>310.322925</v>
      </c>
      <c r="AY197" s="78">
        <f>AJ197*Valores!$C$73</f>
        <v>68.96065</v>
      </c>
      <c r="AZ197" s="78">
        <f>AJ197*Valores!$C$74</f>
        <v>241.362275</v>
      </c>
      <c r="BA197" s="78">
        <f>AJ197*Valores!$C$75</f>
        <v>41.37639</v>
      </c>
      <c r="BB197" s="78">
        <f t="shared" si="32"/>
        <v>372.38751</v>
      </c>
      <c r="BC197" s="20"/>
      <c r="BD197" s="20">
        <f t="shared" si="36"/>
        <v>20</v>
      </c>
      <c r="BE197" s="9" t="s">
        <v>462</v>
      </c>
    </row>
    <row r="198" spans="1:57" s="9" customFormat="1" ht="11.25" customHeight="1">
      <c r="A198" s="20">
        <v>197</v>
      </c>
      <c r="B198" s="20"/>
      <c r="C198" s="9" t="s">
        <v>354</v>
      </c>
      <c r="D198" s="9">
        <v>6</v>
      </c>
      <c r="E198" s="9">
        <f t="shared" si="30"/>
        <v>36</v>
      </c>
      <c r="F198" s="10" t="str">
        <f t="shared" si="34"/>
        <v>Hora Cátedra Enseñanza Superior 6 hs</v>
      </c>
      <c r="G198" s="123">
        <f t="shared" si="35"/>
        <v>594</v>
      </c>
      <c r="H198" s="7">
        <f>INT((G198*Valores!$C$2*100)+0.5)/100</f>
        <v>3563.59</v>
      </c>
      <c r="I198" s="134">
        <v>0</v>
      </c>
      <c r="J198" s="77">
        <f>INT((I198*Valores!$C$2*100)+0.5)/100</f>
        <v>0</v>
      </c>
      <c r="K198" s="146">
        <v>0</v>
      </c>
      <c r="L198" s="77">
        <f>INT((K198*Valores!$C$2*100)+0.5)/100</f>
        <v>0</v>
      </c>
      <c r="M198" s="120">
        <v>0</v>
      </c>
      <c r="N198" s="77">
        <f>INT((M198*Valores!$C$2*100)+0.5)/100</f>
        <v>0</v>
      </c>
      <c r="O198" s="77">
        <f t="shared" si="24"/>
        <v>0</v>
      </c>
      <c r="P198" s="77">
        <f t="shared" si="25"/>
        <v>1890.7250000000001</v>
      </c>
      <c r="Q198" s="61">
        <f>Valores!$C$14*D198</f>
        <v>825.24</v>
      </c>
      <c r="R198" s="61">
        <f>IF(D198&lt;15,(Valores!$E$4*D198),Valores!$D$4)</f>
        <v>1073.3999999999999</v>
      </c>
      <c r="S198" s="77">
        <v>0</v>
      </c>
      <c r="T198" s="79">
        <f>IF(Valores!$C$45*D198&gt;Valores!$C$43,Valores!$C$43,Valores!$C$45*D198)</f>
        <v>217.86</v>
      </c>
      <c r="U198" s="61">
        <f>Valores!$C$22*D198</f>
        <v>319.79999999999995</v>
      </c>
      <c r="V198" s="77">
        <f t="shared" si="33"/>
        <v>479.69999999999993</v>
      </c>
      <c r="W198" s="77">
        <v>0</v>
      </c>
      <c r="X198" s="77">
        <v>0</v>
      </c>
      <c r="Y198" s="37">
        <v>0</v>
      </c>
      <c r="Z198" s="77">
        <f>Y198*Valores!$C$2</f>
        <v>0</v>
      </c>
      <c r="AA198" s="77">
        <v>0</v>
      </c>
      <c r="AB198" s="89">
        <f>IF((Valores!$C$32)*D198&gt;Valores!$F$32,Valores!$F$32,(Valores!$C$32)*D198)</f>
        <v>36.36</v>
      </c>
      <c r="AC198" s="77">
        <f t="shared" si="26"/>
        <v>0</v>
      </c>
      <c r="AD198" s="77">
        <f>IF(Valores!$C$33*D198&gt;Valores!$F$33,Valores!$F$33,Valores!$C$33*D198)</f>
        <v>30.240000000000002</v>
      </c>
      <c r="AE198" s="116">
        <v>0</v>
      </c>
      <c r="AF198" s="77">
        <f>INT(((AE198*Valores!$C$2)*100)+0.5)/100</f>
        <v>0</v>
      </c>
      <c r="AG198" s="77">
        <f>IF(Valores!$D$58*'Escala Docente'!D198&gt;Valores!$F$58,Valores!$F$58,Valores!$D$58*'Escala Docente'!D198)</f>
        <v>123</v>
      </c>
      <c r="AH198" s="77">
        <f>IF(Valores!$D$60*D198&gt;Valores!$F$60,Valores!$F$60,Valores!$D$60*D198)</f>
        <v>35.160000000000004</v>
      </c>
      <c r="AI198" s="77">
        <f>SUM(H198,J198,L198,N198,O198,P198,Q198,R198,S198,T198,V198,W198,X198,Z198,AA198,AB198,AC198,AD198,AF198,AG198,AH198)*Valores!$C$63</f>
        <v>0</v>
      </c>
      <c r="AJ198" s="140">
        <f t="shared" si="27"/>
        <v>8275.274999999998</v>
      </c>
      <c r="AK198" s="61">
        <f>IF(Valores!$C$36*D198&gt;Valores!$F$36,Valores!$F$36,Valores!$C$36*D198)</f>
        <v>166.26</v>
      </c>
      <c r="AL198" s="79">
        <f>IF(Valores!$C$11*D198&gt;Valores!$F$11,Valores!$F$11,Valores!$C$11*D198)</f>
        <v>58.62</v>
      </c>
      <c r="AM198" s="89">
        <f>IF(Valores!$C$56*D198&gt;Valores!$F$56,Valores!$F$56,Valores!$C$56*D198)</f>
        <v>64.44</v>
      </c>
      <c r="AN198" s="79">
        <f>IF($H$4="SI",SUM(AL198+AM198),AL198)*Valores!$C$63</f>
        <v>0</v>
      </c>
      <c r="AO198" s="12">
        <f t="shared" si="31"/>
        <v>289.32</v>
      </c>
      <c r="AP198" s="13">
        <f>AJ198*-Valores!$C$65</f>
        <v>-1075.7857499999998</v>
      </c>
      <c r="AQ198" s="13">
        <f>AJ198*-Valores!$C$66</f>
        <v>-41.37637499999999</v>
      </c>
      <c r="AR198" s="78">
        <f>AJ198*-Valores!$C$67</f>
        <v>-372.3873749999999</v>
      </c>
      <c r="AS198" s="78">
        <f>AJ198*-Valores!$C$68</f>
        <v>-223.43242499999997</v>
      </c>
      <c r="AT198" s="78">
        <f>AJ198*-Valores!$C$69</f>
        <v>-24.825824999999995</v>
      </c>
      <c r="AU198" s="15">
        <f t="shared" si="28"/>
        <v>7075.045499999997</v>
      </c>
      <c r="AV198" s="15">
        <f t="shared" si="29"/>
        <v>7199.174624999999</v>
      </c>
      <c r="AW198" s="78">
        <f>AJ198*Valores!$C$70</f>
        <v>1324.0439999999996</v>
      </c>
      <c r="AX198" s="78">
        <f>AJ198*Valores!$C$71</f>
        <v>372.3873749999999</v>
      </c>
      <c r="AY198" s="78">
        <f>AJ198*Valores!$C$73</f>
        <v>82.75274999999998</v>
      </c>
      <c r="AZ198" s="78">
        <f>AJ198*Valores!$C$74</f>
        <v>289.63462499999997</v>
      </c>
      <c r="BA198" s="78">
        <f>AJ198*Valores!$C$75</f>
        <v>49.65164999999999</v>
      </c>
      <c r="BB198" s="78">
        <f t="shared" si="32"/>
        <v>446.86484999999993</v>
      </c>
      <c r="BC198" s="20"/>
      <c r="BD198" s="20">
        <f t="shared" si="36"/>
        <v>24</v>
      </c>
      <c r="BE198" s="9" t="s">
        <v>462</v>
      </c>
    </row>
    <row r="199" spans="1:57" s="9" customFormat="1" ht="11.25" customHeight="1">
      <c r="A199" s="20">
        <v>198</v>
      </c>
      <c r="B199" s="20"/>
      <c r="C199" s="9" t="s">
        <v>354</v>
      </c>
      <c r="D199" s="9">
        <v>7</v>
      </c>
      <c r="E199" s="9">
        <f t="shared" si="30"/>
        <v>36</v>
      </c>
      <c r="F199" s="10" t="str">
        <f t="shared" si="34"/>
        <v>Hora Cátedra Enseñanza Superior 7 hs</v>
      </c>
      <c r="G199" s="123">
        <f t="shared" si="35"/>
        <v>693</v>
      </c>
      <c r="H199" s="7">
        <f>INT((G199*Valores!$C$2*100)+0.5)/100</f>
        <v>4157.52</v>
      </c>
      <c r="I199" s="134">
        <v>0</v>
      </c>
      <c r="J199" s="77">
        <f>INT((I199*Valores!$C$2*100)+0.5)/100</f>
        <v>0</v>
      </c>
      <c r="K199" s="146">
        <v>0</v>
      </c>
      <c r="L199" s="77">
        <f>INT((K199*Valores!$C$2*100)+0.5)/100</f>
        <v>0</v>
      </c>
      <c r="M199" s="120">
        <v>0</v>
      </c>
      <c r="N199" s="77">
        <f>INT((M199*Valores!$C$2*100)+0.5)/100</f>
        <v>0</v>
      </c>
      <c r="O199" s="77">
        <f aca="true" t="shared" si="37" ref="O199:O262">IF($J$2=0,IF(C199&lt;&gt;"13-930",(SUM(H199,J199,L199,N199,Z199,U199,T199)*$O$2),0),0)</f>
        <v>0</v>
      </c>
      <c r="P199" s="77">
        <f aca="true" t="shared" si="38" ref="P199:P262">SUM(H199,J199,L199,N199,Z199,T199)*$J$2</f>
        <v>2205.8450000000003</v>
      </c>
      <c r="Q199" s="61">
        <f>Valores!$C$14*D199</f>
        <v>962.78</v>
      </c>
      <c r="R199" s="61">
        <f>IF(D199&lt;15,(Valores!$E$4*D199),Valores!$D$4)</f>
        <v>1252.2999999999997</v>
      </c>
      <c r="S199" s="77">
        <v>0</v>
      </c>
      <c r="T199" s="79">
        <f>IF(Valores!$C$45*D199&gt;Valores!$C$43,Valores!$C$43,Valores!$C$45*D199)</f>
        <v>254.17000000000002</v>
      </c>
      <c r="U199" s="61">
        <f>Valores!$C$22*D199</f>
        <v>373.09999999999997</v>
      </c>
      <c r="V199" s="77">
        <f t="shared" si="33"/>
        <v>559.65</v>
      </c>
      <c r="W199" s="77">
        <v>0</v>
      </c>
      <c r="X199" s="77">
        <v>0</v>
      </c>
      <c r="Y199" s="37">
        <v>0</v>
      </c>
      <c r="Z199" s="77">
        <f>Y199*Valores!$C$2</f>
        <v>0</v>
      </c>
      <c r="AA199" s="77">
        <v>0</v>
      </c>
      <c r="AB199" s="89">
        <f>IF((Valores!$C$32)*D199&gt;Valores!$F$32,Valores!$F$32,(Valores!$C$32)*D199)</f>
        <v>42.419999999999995</v>
      </c>
      <c r="AC199" s="77">
        <f aca="true" t="shared" si="39" ref="AC199:AC262">SUM(H199,J199,L199,Z199,T199,N199)*$H$3/100</f>
        <v>0</v>
      </c>
      <c r="AD199" s="77">
        <f>IF(Valores!$C$33*D199&gt;Valores!$F$33,Valores!$F$33,Valores!$C$33*D199)</f>
        <v>35.28</v>
      </c>
      <c r="AE199" s="116">
        <v>0</v>
      </c>
      <c r="AF199" s="77">
        <f>INT(((AE199*Valores!$C$2)*100)+0.5)/100</f>
        <v>0</v>
      </c>
      <c r="AG199" s="77">
        <f>IF(Valores!$D$58*'Escala Docente'!D199&gt;Valores!$F$58,Valores!$F$58,Valores!$D$58*'Escala Docente'!D199)</f>
        <v>143.5</v>
      </c>
      <c r="AH199" s="77">
        <f>IF(Valores!$D$60*D199&gt;Valores!$F$60,Valores!$F$60,Valores!$D$60*D199)</f>
        <v>41.02</v>
      </c>
      <c r="AI199" s="77">
        <f>SUM(H199,J199,L199,N199,O199,P199,Q199,R199,S199,T199,V199,W199,X199,Z199,AA199,AB199,AC199,AD199,AF199,AG199,AH199)*Valores!$C$63</f>
        <v>0</v>
      </c>
      <c r="AJ199" s="140">
        <f aca="true" t="shared" si="40" ref="AJ199:AJ262">SUM(H199,J199,L199,N199,O199,P199,Q199,R199,S199,V199,W199,X199,Z199,AA199,AB199,AC199,AD199,AF199,T199,AG199,AH199,AI199)</f>
        <v>9654.485</v>
      </c>
      <c r="AK199" s="61">
        <f>IF(Valores!$C$36*D199&gt;Valores!$F$36,Valores!$F$36,Valores!$C$36*D199)</f>
        <v>193.97</v>
      </c>
      <c r="AL199" s="79">
        <f>IF(Valores!$C$11*D199&gt;Valores!$F$11,Valores!$F$11,Valores!$C$11*D199)</f>
        <v>68.39</v>
      </c>
      <c r="AM199" s="89">
        <f>IF(Valores!$C$56*D199&gt;Valores!$F$56,Valores!$F$56,Valores!$C$56*D199)</f>
        <v>75.18</v>
      </c>
      <c r="AN199" s="79">
        <f>IF($H$4="SI",SUM(AL199+AM199),AL199)*Valores!$C$63</f>
        <v>0</v>
      </c>
      <c r="AO199" s="12">
        <f t="shared" si="31"/>
        <v>337.54</v>
      </c>
      <c r="AP199" s="13">
        <f>AJ199*-Valores!$C$65</f>
        <v>-1255.0830500000002</v>
      </c>
      <c r="AQ199" s="13">
        <f>AJ199*-Valores!$C$66</f>
        <v>-48.272425000000005</v>
      </c>
      <c r="AR199" s="78">
        <f>AJ199*-Valores!$C$67</f>
        <v>-434.451825</v>
      </c>
      <c r="AS199" s="78">
        <f>AJ199*-Valores!$C$68</f>
        <v>-260.67109500000004</v>
      </c>
      <c r="AT199" s="78">
        <f>AJ199*-Valores!$C$69</f>
        <v>-28.963455000000003</v>
      </c>
      <c r="AU199" s="15">
        <f aca="true" t="shared" si="41" ref="AU199:AU262">AJ199+AO199+AQ199+AR199+AP199</f>
        <v>8254.217700000001</v>
      </c>
      <c r="AV199" s="15">
        <f aca="true" t="shared" si="42" ref="AV199:AV262">AJ199+AO199+AQ199+AS199+AP199+AT199</f>
        <v>8399.034975000004</v>
      </c>
      <c r="AW199" s="78">
        <f>AJ199*Valores!$C$70</f>
        <v>1544.7176000000002</v>
      </c>
      <c r="AX199" s="78">
        <f>AJ199*Valores!$C$71</f>
        <v>434.451825</v>
      </c>
      <c r="AY199" s="78">
        <f>AJ199*Valores!$C$73</f>
        <v>96.54485000000001</v>
      </c>
      <c r="AZ199" s="78">
        <f>AJ199*Valores!$C$74</f>
        <v>337.90697500000005</v>
      </c>
      <c r="BA199" s="78">
        <f>AJ199*Valores!$C$75</f>
        <v>57.92691000000001</v>
      </c>
      <c r="BB199" s="78">
        <f t="shared" si="32"/>
        <v>521.3421900000001</v>
      </c>
      <c r="BC199" s="20"/>
      <c r="BD199" s="55">
        <f t="shared" si="36"/>
        <v>28</v>
      </c>
      <c r="BE199" s="9" t="s">
        <v>462</v>
      </c>
    </row>
    <row r="200" spans="1:57" s="9" customFormat="1" ht="11.25" customHeight="1">
      <c r="A200" s="20">
        <v>199</v>
      </c>
      <c r="B200" s="20"/>
      <c r="C200" s="9" t="s">
        <v>354</v>
      </c>
      <c r="D200" s="9">
        <v>8</v>
      </c>
      <c r="E200" s="9">
        <f aca="true" t="shared" si="43" ref="E200:E263">LEN(F200)</f>
        <v>36</v>
      </c>
      <c r="F200" s="10" t="str">
        <f t="shared" si="34"/>
        <v>Hora Cátedra Enseñanza Superior 8 hs</v>
      </c>
      <c r="G200" s="123">
        <f t="shared" si="35"/>
        <v>792</v>
      </c>
      <c r="H200" s="7">
        <f>INT((G200*Valores!$C$2*100)+0.5)/100</f>
        <v>4751.45</v>
      </c>
      <c r="I200" s="134">
        <v>0</v>
      </c>
      <c r="J200" s="77">
        <f>INT((I200*Valores!$C$2*100)+0.5)/100</f>
        <v>0</v>
      </c>
      <c r="K200" s="146">
        <v>0</v>
      </c>
      <c r="L200" s="77">
        <f>INT((K200*Valores!$C$2*100)+0.5)/100</f>
        <v>0</v>
      </c>
      <c r="M200" s="120">
        <v>0</v>
      </c>
      <c r="N200" s="77">
        <f>INT((M200*Valores!$C$2*100)+0.5)/100</f>
        <v>0</v>
      </c>
      <c r="O200" s="77">
        <f t="shared" si="37"/>
        <v>0</v>
      </c>
      <c r="P200" s="77">
        <f t="shared" si="38"/>
        <v>2520.965</v>
      </c>
      <c r="Q200" s="61">
        <f>Valores!$C$14*D200</f>
        <v>1100.32</v>
      </c>
      <c r="R200" s="61">
        <f>IF(D200&lt;15,(Valores!$E$4*D200),Valores!$D$4)</f>
        <v>1431.1999999999998</v>
      </c>
      <c r="S200" s="77">
        <v>0</v>
      </c>
      <c r="T200" s="79">
        <f>IF(Valores!$C$45*D200&gt;Valores!$C$43,Valores!$C$43,Valores!$C$45*D200)</f>
        <v>290.48</v>
      </c>
      <c r="U200" s="61">
        <f>Valores!$C$22*D200</f>
        <v>426.4</v>
      </c>
      <c r="V200" s="77">
        <f t="shared" si="33"/>
        <v>639.5999999999999</v>
      </c>
      <c r="W200" s="77">
        <v>0</v>
      </c>
      <c r="X200" s="77">
        <v>0</v>
      </c>
      <c r="Y200" s="37">
        <v>0</v>
      </c>
      <c r="Z200" s="77">
        <f>Y200*Valores!$C$2</f>
        <v>0</v>
      </c>
      <c r="AA200" s="77">
        <v>0</v>
      </c>
      <c r="AB200" s="89">
        <f>IF((Valores!$C$32)*D200&gt;Valores!$F$32,Valores!$F$32,(Valores!$C$32)*D200)</f>
        <v>48.48</v>
      </c>
      <c r="AC200" s="77">
        <f t="shared" si="39"/>
        <v>0</v>
      </c>
      <c r="AD200" s="77">
        <f>IF(Valores!$C$33*D200&gt;Valores!$F$33,Valores!$F$33,Valores!$C$33*D200)</f>
        <v>40.32</v>
      </c>
      <c r="AE200" s="116">
        <v>0</v>
      </c>
      <c r="AF200" s="77">
        <f>INT(((AE200*Valores!$C$2)*100)+0.5)/100</f>
        <v>0</v>
      </c>
      <c r="AG200" s="77">
        <f>IF(Valores!$D$58*'Escala Docente'!D200&gt;Valores!$F$58,Valores!$F$58,Valores!$D$58*'Escala Docente'!D200)</f>
        <v>164</v>
      </c>
      <c r="AH200" s="77">
        <f>IF(Valores!$D$60*D200&gt;Valores!$F$60,Valores!$F$60,Valores!$D$60*D200)</f>
        <v>46.88</v>
      </c>
      <c r="AI200" s="77">
        <f>SUM(H200,J200,L200,N200,O200,P200,Q200,R200,S200,T200,V200,W200,X200,Z200,AA200,AB200,AC200,AD200,AF200,AG200,AH200)*Valores!$C$63</f>
        <v>0</v>
      </c>
      <c r="AJ200" s="140">
        <f t="shared" si="40"/>
        <v>11033.695</v>
      </c>
      <c r="AK200" s="61">
        <f>IF(Valores!$C$36*D200&gt;Valores!$F$36,Valores!$F$36,Valores!$C$36*D200)</f>
        <v>221.68</v>
      </c>
      <c r="AL200" s="79">
        <f>IF(Valores!$C$11*D200&gt;Valores!$F$11,Valores!$F$11,Valores!$C$11*D200)</f>
        <v>78.16</v>
      </c>
      <c r="AM200" s="89">
        <f>IF(Valores!$C$56*D200&gt;Valores!$F$56,Valores!$F$56,Valores!$C$56*D200)</f>
        <v>85.92</v>
      </c>
      <c r="AN200" s="79">
        <f>IF($H$4="SI",SUM(AL200+AM200),AL200)*Valores!$C$63</f>
        <v>0</v>
      </c>
      <c r="AO200" s="12">
        <f aca="true" t="shared" si="44" ref="AO200:AO263">SUM(AK200:AL200,AM200,AN200)</f>
        <v>385.76000000000005</v>
      </c>
      <c r="AP200" s="13">
        <f>AJ200*-Valores!$C$65</f>
        <v>-1434.38035</v>
      </c>
      <c r="AQ200" s="13">
        <f>AJ200*-Valores!$C$66</f>
        <v>-55.168475</v>
      </c>
      <c r="AR200" s="78">
        <f>AJ200*-Valores!$C$67</f>
        <v>-496.51627499999995</v>
      </c>
      <c r="AS200" s="78">
        <f>AJ200*-Valores!$C$68</f>
        <v>-297.90976500000005</v>
      </c>
      <c r="AT200" s="78">
        <f>AJ200*-Valores!$C$69</f>
        <v>-33.101085</v>
      </c>
      <c r="AU200" s="15">
        <f t="shared" si="41"/>
        <v>9433.3899</v>
      </c>
      <c r="AV200" s="15">
        <f t="shared" si="42"/>
        <v>9598.895325</v>
      </c>
      <c r="AW200" s="78">
        <f>AJ200*Valores!$C$70</f>
        <v>1765.3912</v>
      </c>
      <c r="AX200" s="78">
        <f>AJ200*Valores!$C$71</f>
        <v>496.51627499999995</v>
      </c>
      <c r="AY200" s="78">
        <f>AJ200*Valores!$C$73</f>
        <v>110.33695</v>
      </c>
      <c r="AZ200" s="78">
        <f>AJ200*Valores!$C$74</f>
        <v>386.179325</v>
      </c>
      <c r="BA200" s="78">
        <f>AJ200*Valores!$C$75</f>
        <v>66.20217</v>
      </c>
      <c r="BB200" s="78">
        <f t="shared" si="32"/>
        <v>595.81953</v>
      </c>
      <c r="BC200" s="20"/>
      <c r="BD200" s="20">
        <f t="shared" si="36"/>
        <v>32</v>
      </c>
      <c r="BE200" s="9" t="s">
        <v>462</v>
      </c>
    </row>
    <row r="201" spans="1:57" s="9" customFormat="1" ht="11.25" customHeight="1">
      <c r="A201" s="55">
        <v>200</v>
      </c>
      <c r="B201" s="55" t="s">
        <v>458</v>
      </c>
      <c r="C201" s="52" t="s">
        <v>354</v>
      </c>
      <c r="D201" s="52">
        <v>9</v>
      </c>
      <c r="E201" s="52">
        <f t="shared" si="43"/>
        <v>36</v>
      </c>
      <c r="F201" s="53" t="str">
        <f t="shared" si="34"/>
        <v>Hora Cátedra Enseñanza Superior 9 hs</v>
      </c>
      <c r="G201" s="124">
        <f t="shared" si="35"/>
        <v>891</v>
      </c>
      <c r="H201" s="129">
        <f>INT((G201*Valores!$C$2*100)+0.5)/100</f>
        <v>5345.38</v>
      </c>
      <c r="I201" s="133">
        <v>0</v>
      </c>
      <c r="J201" s="80">
        <f>INT((I201*Valores!$C$2*100)+0.5)/100</f>
        <v>0</v>
      </c>
      <c r="K201" s="147">
        <v>0</v>
      </c>
      <c r="L201" s="80">
        <f>INT((K201*Valores!$C$2*100)+0.5)/100</f>
        <v>0</v>
      </c>
      <c r="M201" s="121">
        <v>0</v>
      </c>
      <c r="N201" s="80">
        <f>INT((M201*Valores!$C$2*100)+0.5)/100</f>
        <v>0</v>
      </c>
      <c r="O201" s="80">
        <f t="shared" si="37"/>
        <v>0</v>
      </c>
      <c r="P201" s="80">
        <f t="shared" si="38"/>
        <v>2836.085</v>
      </c>
      <c r="Q201" s="85">
        <f>Valores!$C$14*D201</f>
        <v>1237.86</v>
      </c>
      <c r="R201" s="85">
        <f>IF(D201&lt;15,(Valores!$E$4*D201),Valores!$D$4)</f>
        <v>1610.1</v>
      </c>
      <c r="S201" s="80">
        <v>0</v>
      </c>
      <c r="T201" s="82">
        <f>IF(Valores!$C$45*D201&gt;Valores!$C$43,Valores!$C$43,Valores!$C$45*D201)</f>
        <v>326.79</v>
      </c>
      <c r="U201" s="85">
        <f>Valores!$C$22*D201</f>
        <v>479.7</v>
      </c>
      <c r="V201" s="80">
        <f t="shared" si="33"/>
        <v>719.55</v>
      </c>
      <c r="W201" s="80">
        <v>0</v>
      </c>
      <c r="X201" s="80">
        <v>0</v>
      </c>
      <c r="Y201" s="60">
        <v>0</v>
      </c>
      <c r="Z201" s="80">
        <f>Y201*Valores!$C$2</f>
        <v>0</v>
      </c>
      <c r="AA201" s="80">
        <v>0</v>
      </c>
      <c r="AB201" s="90">
        <f>IF((Valores!$C$32)*D201&gt;Valores!$F$32,Valores!$F$32,(Valores!$C$32)*D201)</f>
        <v>54.54</v>
      </c>
      <c r="AC201" s="80">
        <f t="shared" si="39"/>
        <v>0</v>
      </c>
      <c r="AD201" s="80">
        <f>IF(Valores!$C$33*D201&gt;Valores!$F$33,Valores!$F$33,Valores!$C$33*D201)</f>
        <v>45.36</v>
      </c>
      <c r="AE201" s="115">
        <v>0</v>
      </c>
      <c r="AF201" s="80">
        <f>INT(((AE201*Valores!$C$2)*100)+0.5)/100</f>
        <v>0</v>
      </c>
      <c r="AG201" s="80">
        <f>IF(Valores!$D$58*'Escala Docente'!D201&gt;Valores!$F$58,Valores!$F$58,Valores!$D$58*'Escala Docente'!D201)</f>
        <v>184.5</v>
      </c>
      <c r="AH201" s="80">
        <f>IF(Valores!$D$60*D201&gt;Valores!$F$60,Valores!$F$60,Valores!$D$60*D201)</f>
        <v>52.74</v>
      </c>
      <c r="AI201" s="80">
        <f>SUM(H201,J201,L201,N201,O201,P201,Q201,R201,S201,T201,V201,W201,X201,Z201,AA201,AB201,AC201,AD201,AF201,AG201,AH201)*Valores!$C$63</f>
        <v>0</v>
      </c>
      <c r="AJ201" s="141">
        <f t="shared" si="40"/>
        <v>12412.905000000002</v>
      </c>
      <c r="AK201" s="85">
        <f>IF(Valores!$C$36*D201&gt;Valores!$F$36,Valores!$F$36,Valores!$C$36*D201)</f>
        <v>249.39000000000001</v>
      </c>
      <c r="AL201" s="82">
        <f>IF(Valores!$C$11*D201&gt;Valores!$F$11,Valores!$F$11,Valores!$C$11*D201)</f>
        <v>87.92999999999999</v>
      </c>
      <c r="AM201" s="90">
        <f>IF(Valores!$C$56*D201&gt;Valores!$F$56,Valores!$F$56,Valores!$C$56*D201)</f>
        <v>96.66</v>
      </c>
      <c r="AN201" s="82">
        <f>IF($H$4="SI",SUM(AL201+AM201),AL201)*Valores!$C$63</f>
        <v>0</v>
      </c>
      <c r="AO201" s="185">
        <f t="shared" si="44"/>
        <v>433.98</v>
      </c>
      <c r="AP201" s="154">
        <f>AJ201*-Valores!$C$65</f>
        <v>-1613.6776500000003</v>
      </c>
      <c r="AQ201" s="154">
        <f>AJ201*-Valores!$C$66</f>
        <v>-62.06452500000001</v>
      </c>
      <c r="AR201" s="81">
        <f>AJ201*-Valores!$C$67</f>
        <v>-558.5807250000001</v>
      </c>
      <c r="AS201" s="81">
        <f>AJ201*-Valores!$C$68</f>
        <v>-335.1484350000001</v>
      </c>
      <c r="AT201" s="81">
        <f>AJ201*-Valores!$C$69</f>
        <v>-37.238715000000006</v>
      </c>
      <c r="AU201" s="54">
        <f t="shared" si="41"/>
        <v>10612.562100000003</v>
      </c>
      <c r="AV201" s="54">
        <f t="shared" si="42"/>
        <v>10798.755675000002</v>
      </c>
      <c r="AW201" s="81">
        <f>AJ201*Valores!$C$70</f>
        <v>1986.0648000000003</v>
      </c>
      <c r="AX201" s="81">
        <f>AJ201*Valores!$C$71</f>
        <v>558.5807250000001</v>
      </c>
      <c r="AY201" s="81">
        <f>AJ201*Valores!$C$73</f>
        <v>124.12905000000002</v>
      </c>
      <c r="AZ201" s="81">
        <f>AJ201*Valores!$C$74</f>
        <v>434.45167500000014</v>
      </c>
      <c r="BA201" s="81">
        <f>AJ201*Valores!$C$75</f>
        <v>74.47743000000001</v>
      </c>
      <c r="BB201" s="81">
        <f aca="true" t="shared" si="45" ref="BB201:BB264">AJ201*5.4/100</f>
        <v>670.2968700000002</v>
      </c>
      <c r="BC201" s="55"/>
      <c r="BD201" s="55">
        <f t="shared" si="36"/>
        <v>36</v>
      </c>
      <c r="BE201" s="52" t="s">
        <v>462</v>
      </c>
    </row>
    <row r="202" spans="1:57" s="9" customFormat="1" ht="11.25" customHeight="1">
      <c r="A202" s="20">
        <v>201</v>
      </c>
      <c r="B202" s="20"/>
      <c r="C202" s="9" t="s">
        <v>354</v>
      </c>
      <c r="D202" s="9">
        <v>10</v>
      </c>
      <c r="E202" s="9">
        <f t="shared" si="43"/>
        <v>37</v>
      </c>
      <c r="F202" s="10" t="str">
        <f t="shared" si="34"/>
        <v>Hora Cátedra Enseñanza Superior 10 hs</v>
      </c>
      <c r="G202" s="123">
        <f t="shared" si="35"/>
        <v>990</v>
      </c>
      <c r="H202" s="7">
        <f>INT((G202*Valores!$C$2*100)+0.5)/100</f>
        <v>5939.31</v>
      </c>
      <c r="I202" s="134">
        <v>0</v>
      </c>
      <c r="J202" s="77">
        <f>INT((I202*Valores!$C$2*100)+0.5)/100</f>
        <v>0</v>
      </c>
      <c r="K202" s="146">
        <v>0</v>
      </c>
      <c r="L202" s="77">
        <f>INT((K202*Valores!$C$2*100)+0.5)/100</f>
        <v>0</v>
      </c>
      <c r="M202" s="120">
        <v>0</v>
      </c>
      <c r="N202" s="77">
        <f>INT((M202*Valores!$C$2*100)+0.5)/100</f>
        <v>0</v>
      </c>
      <c r="O202" s="77">
        <f t="shared" si="37"/>
        <v>0</v>
      </c>
      <c r="P202" s="77">
        <f t="shared" si="38"/>
        <v>3151.2050000000004</v>
      </c>
      <c r="Q202" s="61">
        <f>Valores!$C$14*D202</f>
        <v>1375.3999999999999</v>
      </c>
      <c r="R202" s="61">
        <f>IF(D202&lt;15,(Valores!$E$4*D202),Valores!$D$4)</f>
        <v>1788.9999999999998</v>
      </c>
      <c r="S202" s="77">
        <v>0</v>
      </c>
      <c r="T202" s="79">
        <f>IF(Valores!$C$45*D202&gt;Valores!$C$43,Valores!$C$43,Valores!$C$45*D202)</f>
        <v>363.1</v>
      </c>
      <c r="U202" s="61">
        <f>Valores!$C$22*D202</f>
        <v>533</v>
      </c>
      <c r="V202" s="77">
        <f t="shared" si="33"/>
        <v>799.5</v>
      </c>
      <c r="W202" s="77">
        <v>0</v>
      </c>
      <c r="X202" s="77">
        <v>0</v>
      </c>
      <c r="Y202" s="37">
        <v>0</v>
      </c>
      <c r="Z202" s="77">
        <f>Y202*Valores!$C$2</f>
        <v>0</v>
      </c>
      <c r="AA202" s="77">
        <v>0</v>
      </c>
      <c r="AB202" s="89">
        <f>IF((Valores!$C$32)*D202&gt;Valores!$F$32,Valores!$F$32,(Valores!$C$32)*D202)</f>
        <v>60.599999999999994</v>
      </c>
      <c r="AC202" s="77">
        <f t="shared" si="39"/>
        <v>0</v>
      </c>
      <c r="AD202" s="77">
        <f>IF(Valores!$C$33*D202&gt;Valores!$F$33,Valores!$F$33,Valores!$C$33*D202)</f>
        <v>50.4</v>
      </c>
      <c r="AE202" s="116">
        <v>0</v>
      </c>
      <c r="AF202" s="77">
        <f>INT(((AE202*Valores!$C$2)*100)+0.5)/100</f>
        <v>0</v>
      </c>
      <c r="AG202" s="77">
        <f>IF(Valores!$D$58*'Escala Docente'!D202&gt;Valores!$F$58,Valores!$F$58,Valores!$D$58*'Escala Docente'!D202)</f>
        <v>205</v>
      </c>
      <c r="AH202" s="77">
        <f>IF(Valores!$D$60*D202&gt;Valores!$F$60,Valores!$F$60,Valores!$D$60*D202)</f>
        <v>58.6</v>
      </c>
      <c r="AI202" s="77">
        <f>SUM(H202,J202,L202,N202,O202,P202,Q202,R202,S202,T202,V202,W202,X202,Z202,AA202,AB202,AC202,AD202,AF202,AG202,AH202)*Valores!$C$63</f>
        <v>0</v>
      </c>
      <c r="AJ202" s="140">
        <f t="shared" si="40"/>
        <v>13792.115000000002</v>
      </c>
      <c r="AK202" s="61">
        <f>IF(Valores!$C$36*D202&gt;Valores!$F$36,Valores!$F$36,Valores!$C$36*D202)</f>
        <v>277.1</v>
      </c>
      <c r="AL202" s="79">
        <f>IF(Valores!$C$11*D202&gt;Valores!$F$11,Valores!$F$11,Valores!$C$11*D202)</f>
        <v>97.69999999999999</v>
      </c>
      <c r="AM202" s="89">
        <f>IF(Valores!$C$56*D202&gt;Valores!$F$56,Valores!$F$56,Valores!$C$56*D202)</f>
        <v>107.4</v>
      </c>
      <c r="AN202" s="79">
        <f>IF($H$4="SI",SUM(AL202+AM202),AL202)*Valores!$C$63</f>
        <v>0</v>
      </c>
      <c r="AO202" s="12">
        <f t="shared" si="44"/>
        <v>482.20000000000005</v>
      </c>
      <c r="AP202" s="13">
        <f>AJ202*-Valores!$C$65</f>
        <v>-1792.9749500000003</v>
      </c>
      <c r="AQ202" s="13">
        <f>AJ202*-Valores!$C$66</f>
        <v>-68.960575</v>
      </c>
      <c r="AR202" s="78">
        <f>AJ202*-Valores!$C$67</f>
        <v>-620.645175</v>
      </c>
      <c r="AS202" s="78">
        <f>AJ202*-Valores!$C$68</f>
        <v>-372.3871050000001</v>
      </c>
      <c r="AT202" s="78">
        <f>AJ202*-Valores!$C$69</f>
        <v>-41.37634500000001</v>
      </c>
      <c r="AU202" s="15">
        <f t="shared" si="41"/>
        <v>11791.734300000004</v>
      </c>
      <c r="AV202" s="15">
        <f t="shared" si="42"/>
        <v>11998.616025000003</v>
      </c>
      <c r="AW202" s="78">
        <f>AJ202*Valores!$C$70</f>
        <v>2206.7384</v>
      </c>
      <c r="AX202" s="78">
        <f>AJ202*Valores!$C$71</f>
        <v>620.645175</v>
      </c>
      <c r="AY202" s="78">
        <f>AJ202*Valores!$C$73</f>
        <v>137.92115</v>
      </c>
      <c r="AZ202" s="78">
        <f>AJ202*Valores!$C$74</f>
        <v>482.7240250000001</v>
      </c>
      <c r="BA202" s="78">
        <f>AJ202*Valores!$C$75</f>
        <v>82.75269000000002</v>
      </c>
      <c r="BB202" s="78">
        <f t="shared" si="45"/>
        <v>744.7742100000002</v>
      </c>
      <c r="BC202" s="20"/>
      <c r="BD202" s="20">
        <f t="shared" si="36"/>
        <v>40</v>
      </c>
      <c r="BE202" s="9" t="s">
        <v>462</v>
      </c>
    </row>
    <row r="203" spans="1:57" s="9" customFormat="1" ht="11.25" customHeight="1">
      <c r="A203" s="20">
        <v>202</v>
      </c>
      <c r="B203" s="20"/>
      <c r="C203" s="9" t="s">
        <v>354</v>
      </c>
      <c r="D203" s="9">
        <v>11</v>
      </c>
      <c r="E203" s="9">
        <f t="shared" si="43"/>
        <v>37</v>
      </c>
      <c r="F203" s="10" t="str">
        <f t="shared" si="34"/>
        <v>Hora Cátedra Enseñanza Superior 11 hs</v>
      </c>
      <c r="G203" s="123">
        <f t="shared" si="35"/>
        <v>1089</v>
      </c>
      <c r="H203" s="7">
        <f>INT((G203*Valores!$C$2*100)+0.5)/100</f>
        <v>6533.24</v>
      </c>
      <c r="I203" s="134">
        <v>0</v>
      </c>
      <c r="J203" s="77">
        <f>INT((I203*Valores!$C$2*100)+0.5)/100</f>
        <v>0</v>
      </c>
      <c r="K203" s="146">
        <v>0</v>
      </c>
      <c r="L203" s="77">
        <f>INT((K203*Valores!$C$2*100)+0.5)/100</f>
        <v>0</v>
      </c>
      <c r="M203" s="120">
        <v>0</v>
      </c>
      <c r="N203" s="77">
        <f>INT((M203*Valores!$C$2*100)+0.5)/100</f>
        <v>0</v>
      </c>
      <c r="O203" s="77">
        <f t="shared" si="37"/>
        <v>0</v>
      </c>
      <c r="P203" s="77">
        <f t="shared" si="38"/>
        <v>3466.325</v>
      </c>
      <c r="Q203" s="61">
        <f>Valores!$C$14*D203</f>
        <v>1512.9399999999998</v>
      </c>
      <c r="R203" s="61">
        <f>IF(D203&lt;15,(Valores!$E$4*D203),Valores!$D$4)</f>
        <v>1967.8999999999996</v>
      </c>
      <c r="S203" s="77">
        <v>0</v>
      </c>
      <c r="T203" s="79">
        <f>IF(Valores!$C$45*D203&gt;Valores!$C$43,Valores!$C$43,Valores!$C$45*D203)</f>
        <v>399.41</v>
      </c>
      <c r="U203" s="61">
        <f>Valores!$C$22*D203</f>
        <v>586.3</v>
      </c>
      <c r="V203" s="77">
        <f t="shared" si="33"/>
        <v>879.4499999999999</v>
      </c>
      <c r="W203" s="77">
        <v>0</v>
      </c>
      <c r="X203" s="77">
        <v>0</v>
      </c>
      <c r="Y203" s="37">
        <v>0</v>
      </c>
      <c r="Z203" s="77">
        <f>Y203*Valores!$C$2</f>
        <v>0</v>
      </c>
      <c r="AA203" s="77">
        <v>0</v>
      </c>
      <c r="AB203" s="89">
        <f>IF((Valores!$C$32)*D203&gt;Valores!$F$32,Valores!$F$32,(Valores!$C$32)*D203)</f>
        <v>66.66</v>
      </c>
      <c r="AC203" s="77">
        <f t="shared" si="39"/>
        <v>0</v>
      </c>
      <c r="AD203" s="77">
        <f>IF(Valores!$C$33*D203&gt;Valores!$F$33,Valores!$F$33,Valores!$C$33*D203)</f>
        <v>55.44</v>
      </c>
      <c r="AE203" s="116">
        <v>0</v>
      </c>
      <c r="AF203" s="77">
        <f>INT(((AE203*Valores!$C$2)*100)+0.5)/100</f>
        <v>0</v>
      </c>
      <c r="AG203" s="77">
        <f>IF(Valores!$D$58*'Escala Docente'!D203&gt;Valores!$F$58,Valores!$F$58,Valores!$D$58*'Escala Docente'!D203)</f>
        <v>225.5</v>
      </c>
      <c r="AH203" s="77">
        <f>IF(Valores!$D$60*D203&gt;Valores!$F$60,Valores!$F$60,Valores!$D$60*D203)</f>
        <v>64.46000000000001</v>
      </c>
      <c r="AI203" s="77">
        <f>SUM(H203,J203,L203,N203,O203,P203,Q203,R203,S203,T203,V203,W203,X203,Z203,AA203,AB203,AC203,AD203,AF203,AG203,AH203)*Valores!$C$63</f>
        <v>0</v>
      </c>
      <c r="AJ203" s="140">
        <f t="shared" si="40"/>
        <v>15171.324999999999</v>
      </c>
      <c r="AK203" s="61">
        <f>IF(Valores!$C$36*D203&gt;Valores!$F$36,Valores!$F$36,Valores!$C$36*D203)</f>
        <v>304.81</v>
      </c>
      <c r="AL203" s="79">
        <f>IF(Valores!$C$11*D203&gt;Valores!$F$11,Valores!$F$11,Valores!$C$11*D203)</f>
        <v>107.47</v>
      </c>
      <c r="AM203" s="89">
        <f>IF(Valores!$C$56*D203&gt;Valores!$F$56,Valores!$F$56,Valores!$C$56*D203)</f>
        <v>118.14</v>
      </c>
      <c r="AN203" s="79">
        <f>IF($H$4="SI",SUM(AL203+AM203),AL203)*Valores!$C$63</f>
        <v>0</v>
      </c>
      <c r="AO203" s="12">
        <f t="shared" si="44"/>
        <v>530.42</v>
      </c>
      <c r="AP203" s="13">
        <f>AJ203*-Valores!$C$65</f>
        <v>-1972.27225</v>
      </c>
      <c r="AQ203" s="13">
        <f>AJ203*-Valores!$C$66</f>
        <v>-75.856625</v>
      </c>
      <c r="AR203" s="78">
        <f>AJ203*-Valores!$C$67</f>
        <v>-682.709625</v>
      </c>
      <c r="AS203" s="78">
        <f>AJ203*-Valores!$C$68</f>
        <v>-409.62577500000003</v>
      </c>
      <c r="AT203" s="78">
        <f>AJ203*-Valores!$C$69</f>
        <v>-45.513974999999995</v>
      </c>
      <c r="AU203" s="15">
        <f t="shared" si="41"/>
        <v>12970.9065</v>
      </c>
      <c r="AV203" s="15">
        <f t="shared" si="42"/>
        <v>13198.476374999998</v>
      </c>
      <c r="AW203" s="78">
        <f>AJ203*Valores!$C$70</f>
        <v>2427.412</v>
      </c>
      <c r="AX203" s="78">
        <f>AJ203*Valores!$C$71</f>
        <v>682.709625</v>
      </c>
      <c r="AY203" s="78">
        <f>AJ203*Valores!$C$73</f>
        <v>151.71325</v>
      </c>
      <c r="AZ203" s="78">
        <f>AJ203*Valores!$C$74</f>
        <v>530.9963750000001</v>
      </c>
      <c r="BA203" s="78">
        <f>AJ203*Valores!$C$75</f>
        <v>91.02794999999999</v>
      </c>
      <c r="BB203" s="78">
        <f t="shared" si="45"/>
        <v>819.25155</v>
      </c>
      <c r="BC203" s="20"/>
      <c r="BD203" s="20">
        <f t="shared" si="36"/>
        <v>44</v>
      </c>
      <c r="BE203" s="9" t="s">
        <v>462</v>
      </c>
    </row>
    <row r="204" spans="1:57" s="9" customFormat="1" ht="11.25" customHeight="1">
      <c r="A204" s="20">
        <v>203</v>
      </c>
      <c r="B204" s="20"/>
      <c r="C204" s="9" t="s">
        <v>354</v>
      </c>
      <c r="D204" s="9">
        <v>12</v>
      </c>
      <c r="E204" s="9">
        <f t="shared" si="43"/>
        <v>37</v>
      </c>
      <c r="F204" s="10" t="str">
        <f t="shared" si="34"/>
        <v>Hora Cátedra Enseñanza Superior 12 hs</v>
      </c>
      <c r="G204" s="123">
        <f t="shared" si="35"/>
        <v>1188</v>
      </c>
      <c r="H204" s="7">
        <f>INT((G204*Valores!$C$2*100)+0.5)/100</f>
        <v>7127.17</v>
      </c>
      <c r="I204" s="134">
        <v>0</v>
      </c>
      <c r="J204" s="77">
        <f>INT((I204*Valores!$C$2*100)+0.5)/100</f>
        <v>0</v>
      </c>
      <c r="K204" s="146">
        <v>0</v>
      </c>
      <c r="L204" s="77">
        <f>INT((K204*Valores!$C$2*100)+0.5)/100</f>
        <v>0</v>
      </c>
      <c r="M204" s="120">
        <v>0</v>
      </c>
      <c r="N204" s="77">
        <f>INT((M204*Valores!$C$2*100)+0.5)/100</f>
        <v>0</v>
      </c>
      <c r="O204" s="77">
        <f t="shared" si="37"/>
        <v>0</v>
      </c>
      <c r="P204" s="77">
        <f t="shared" si="38"/>
        <v>3781.445</v>
      </c>
      <c r="Q204" s="61">
        <f>Valores!$C$14*D204</f>
        <v>1650.48</v>
      </c>
      <c r="R204" s="61">
        <f>IF(D204&lt;15,(Valores!$E$4*D204),Valores!$D$4)</f>
        <v>2146.7999999999997</v>
      </c>
      <c r="S204" s="77">
        <v>0</v>
      </c>
      <c r="T204" s="79">
        <f>IF(Valores!$C$45*D204&gt;Valores!$C$43,Valores!$C$43,Valores!$C$45*D204)</f>
        <v>435.72</v>
      </c>
      <c r="U204" s="61">
        <f>Valores!$C$22*D204</f>
        <v>639.5999999999999</v>
      </c>
      <c r="V204" s="77">
        <f t="shared" si="33"/>
        <v>959.3999999999999</v>
      </c>
      <c r="W204" s="77">
        <v>0</v>
      </c>
      <c r="X204" s="77">
        <v>0</v>
      </c>
      <c r="Y204" s="37">
        <v>0</v>
      </c>
      <c r="Z204" s="77">
        <f>Y204*Valores!$C$2</f>
        <v>0</v>
      </c>
      <c r="AA204" s="77">
        <v>0</v>
      </c>
      <c r="AB204" s="89">
        <f>IF((Valores!$C$32)*D204&gt;Valores!$F$32,Valores!$F$32,(Valores!$C$32)*D204)</f>
        <v>72.72</v>
      </c>
      <c r="AC204" s="77">
        <f t="shared" si="39"/>
        <v>0</v>
      </c>
      <c r="AD204" s="77">
        <f>IF(Valores!$C$33*D204&gt;Valores!$F$33,Valores!$F$33,Valores!$C$33*D204)</f>
        <v>60.480000000000004</v>
      </c>
      <c r="AE204" s="116">
        <v>0</v>
      </c>
      <c r="AF204" s="77">
        <f>INT(((AE204*Valores!$C$2)*100)+0.5)/100</f>
        <v>0</v>
      </c>
      <c r="AG204" s="77">
        <f>IF(Valores!$D$58*'Escala Docente'!D204&gt;Valores!$F$58,Valores!$F$58,Valores!$D$58*'Escala Docente'!D204)</f>
        <v>246</v>
      </c>
      <c r="AH204" s="77">
        <f>IF(Valores!$D$60*D204&gt;Valores!$F$60,Valores!$F$60,Valores!$D$60*D204)</f>
        <v>70.32000000000001</v>
      </c>
      <c r="AI204" s="77">
        <f>SUM(H204,J204,L204,N204,O204,P204,Q204,R204,S204,T204,V204,W204,X204,Z204,AA204,AB204,AC204,AD204,AF204,AG204,AH204)*Valores!$C$63</f>
        <v>0</v>
      </c>
      <c r="AJ204" s="140">
        <f t="shared" si="40"/>
        <v>16550.534999999996</v>
      </c>
      <c r="AK204" s="61">
        <f>IF(Valores!$C$36*D204&gt;Valores!$F$36,Valores!$F$36,Valores!$C$36*D204)</f>
        <v>332.52</v>
      </c>
      <c r="AL204" s="79">
        <f>IF(Valores!$C$11*D204&gt;Valores!$F$11,Valores!$F$11,Valores!$C$11*D204)</f>
        <v>117.24</v>
      </c>
      <c r="AM204" s="89">
        <f>IF(Valores!$C$56*D204&gt;Valores!$F$56,Valores!$F$56,Valores!$C$56*D204)</f>
        <v>128.88</v>
      </c>
      <c r="AN204" s="79">
        <f>IF($H$4="SI",SUM(AL204+AM204),AL204)*Valores!$C$63</f>
        <v>0</v>
      </c>
      <c r="AO204" s="12">
        <f t="shared" si="44"/>
        <v>578.64</v>
      </c>
      <c r="AP204" s="13">
        <f>AJ204*-Valores!$C$65</f>
        <v>-2151.5695499999997</v>
      </c>
      <c r="AQ204" s="13">
        <f>AJ204*-Valores!$C$66</f>
        <v>-82.75267499999998</v>
      </c>
      <c r="AR204" s="78">
        <f>AJ204*-Valores!$C$67</f>
        <v>-744.7740749999998</v>
      </c>
      <c r="AS204" s="78">
        <f>AJ204*-Valores!$C$68</f>
        <v>-446.86444499999993</v>
      </c>
      <c r="AT204" s="78">
        <f>AJ204*-Valores!$C$69</f>
        <v>-49.65160499999999</v>
      </c>
      <c r="AU204" s="15">
        <f t="shared" si="41"/>
        <v>14150.078699999996</v>
      </c>
      <c r="AV204" s="15">
        <f t="shared" si="42"/>
        <v>14398.336724999997</v>
      </c>
      <c r="AW204" s="78">
        <f>AJ204*Valores!$C$70</f>
        <v>2648.0855999999994</v>
      </c>
      <c r="AX204" s="78">
        <f>AJ204*Valores!$C$71</f>
        <v>744.7740749999998</v>
      </c>
      <c r="AY204" s="78">
        <f>AJ204*Valores!$C$73</f>
        <v>165.50534999999996</v>
      </c>
      <c r="AZ204" s="78">
        <f>AJ204*Valores!$C$74</f>
        <v>579.2687249999999</v>
      </c>
      <c r="BA204" s="78">
        <f>AJ204*Valores!$C$75</f>
        <v>99.30320999999998</v>
      </c>
      <c r="BB204" s="78">
        <f t="shared" si="45"/>
        <v>893.7288899999999</v>
      </c>
      <c r="BC204" s="20"/>
      <c r="BD204" s="55">
        <f t="shared" si="36"/>
        <v>48</v>
      </c>
      <c r="BE204" s="9" t="s">
        <v>462</v>
      </c>
    </row>
    <row r="205" spans="1:57" s="9" customFormat="1" ht="11.25" customHeight="1">
      <c r="A205" s="20">
        <v>204</v>
      </c>
      <c r="B205" s="20"/>
      <c r="C205" s="9" t="s">
        <v>354</v>
      </c>
      <c r="D205" s="9">
        <v>13</v>
      </c>
      <c r="E205" s="9">
        <f t="shared" si="43"/>
        <v>37</v>
      </c>
      <c r="F205" s="10" t="str">
        <f t="shared" si="34"/>
        <v>Hora Cátedra Enseñanza Superior 13 hs</v>
      </c>
      <c r="G205" s="123">
        <f t="shared" si="35"/>
        <v>1287</v>
      </c>
      <c r="H205" s="7">
        <f>INT((G205*Valores!$C$2*100)+0.5)/100</f>
        <v>7721.1</v>
      </c>
      <c r="I205" s="134">
        <v>0</v>
      </c>
      <c r="J205" s="77">
        <f>INT((I205*Valores!$C$2*100)+0.5)/100</f>
        <v>0</v>
      </c>
      <c r="K205" s="146">
        <v>0</v>
      </c>
      <c r="L205" s="77">
        <f>INT((K205*Valores!$C$2*100)+0.5)/100</f>
        <v>0</v>
      </c>
      <c r="M205" s="120">
        <v>0</v>
      </c>
      <c r="N205" s="77">
        <f>INT((M205*Valores!$C$2*100)+0.5)/100</f>
        <v>0</v>
      </c>
      <c r="O205" s="77">
        <f t="shared" si="37"/>
        <v>0</v>
      </c>
      <c r="P205" s="77">
        <f t="shared" si="38"/>
        <v>4096.5650000000005</v>
      </c>
      <c r="Q205" s="61">
        <f>Valores!$C$14*D205</f>
        <v>1788.02</v>
      </c>
      <c r="R205" s="61">
        <f>IF(D205&lt;15,(Valores!$E$4*D205),Valores!$D$4)</f>
        <v>2325.7</v>
      </c>
      <c r="S205" s="77">
        <v>0</v>
      </c>
      <c r="T205" s="79">
        <f>IF(Valores!$C$45*D205&gt;Valores!$C$43,Valores!$C$43,Valores!$C$45*D205)</f>
        <v>472.03000000000003</v>
      </c>
      <c r="U205" s="61">
        <f>Valores!$C$22*D205</f>
        <v>692.9</v>
      </c>
      <c r="V205" s="77">
        <f t="shared" si="33"/>
        <v>1039.35</v>
      </c>
      <c r="W205" s="77">
        <v>0</v>
      </c>
      <c r="X205" s="77">
        <v>0</v>
      </c>
      <c r="Y205" s="37">
        <v>0</v>
      </c>
      <c r="Z205" s="77">
        <f>Y205*Valores!$C$2</f>
        <v>0</v>
      </c>
      <c r="AA205" s="77">
        <v>0</v>
      </c>
      <c r="AB205" s="89">
        <f>IF((Valores!$C$32)*D205&gt;Valores!$F$32,Valores!$F$32,(Valores!$C$32)*D205)</f>
        <v>78.78</v>
      </c>
      <c r="AC205" s="77">
        <f t="shared" si="39"/>
        <v>0</v>
      </c>
      <c r="AD205" s="77">
        <f>IF(Valores!$C$33*D205&gt;Valores!$F$33,Valores!$F$33,Valores!$C$33*D205)</f>
        <v>65.52</v>
      </c>
      <c r="AE205" s="116">
        <v>0</v>
      </c>
      <c r="AF205" s="77">
        <f>INT(((AE205*Valores!$C$2)*100)+0.5)/100</f>
        <v>0</v>
      </c>
      <c r="AG205" s="77">
        <f>IF(Valores!$D$58*'Escala Docente'!D205&gt;Valores!$F$58,Valores!$F$58,Valores!$D$58*'Escala Docente'!D205)</f>
        <v>266.5</v>
      </c>
      <c r="AH205" s="77">
        <f>IF(Valores!$D$60*D205&gt;Valores!$F$60,Valores!$F$60,Valores!$D$60*D205)</f>
        <v>76.18</v>
      </c>
      <c r="AI205" s="77">
        <f>SUM(H205,J205,L205,N205,O205,P205,Q205,R205,S205,T205,V205,W205,X205,Z205,AA205,AB205,AC205,AD205,AF205,AG205,AH205)*Valores!$C$63</f>
        <v>0</v>
      </c>
      <c r="AJ205" s="140">
        <f t="shared" si="40"/>
        <v>17929.745</v>
      </c>
      <c r="AK205" s="61">
        <f>IF(Valores!$C$36*D205&gt;Valores!$F$36,Valores!$F$36,Valores!$C$36*D205)</f>
        <v>360.23</v>
      </c>
      <c r="AL205" s="79">
        <f>IF(Valores!$C$11*D205&gt;Valores!$F$11,Valores!$F$11,Valores!$C$11*D205)</f>
        <v>127.00999999999999</v>
      </c>
      <c r="AM205" s="89">
        <f>IF(Valores!$C$56*D205&gt;Valores!$F$56,Valores!$F$56,Valores!$C$56*D205)</f>
        <v>139.62</v>
      </c>
      <c r="AN205" s="79">
        <f>IF($H$4="SI",SUM(AL205+AM205),AL205)*Valores!$C$63</f>
        <v>0</v>
      </c>
      <c r="AO205" s="12">
        <f t="shared" si="44"/>
        <v>626.86</v>
      </c>
      <c r="AP205" s="13">
        <f>AJ205*-Valores!$C$65</f>
        <v>-2330.86685</v>
      </c>
      <c r="AQ205" s="13">
        <f>AJ205*-Valores!$C$66</f>
        <v>-89.648725</v>
      </c>
      <c r="AR205" s="78">
        <f>AJ205*-Valores!$C$67</f>
        <v>-806.8385249999999</v>
      </c>
      <c r="AS205" s="78">
        <f>AJ205*-Valores!$C$68</f>
        <v>-484.103115</v>
      </c>
      <c r="AT205" s="78">
        <f>AJ205*-Valores!$C$69</f>
        <v>-53.789235</v>
      </c>
      <c r="AU205" s="15">
        <f t="shared" si="41"/>
        <v>15329.250900000001</v>
      </c>
      <c r="AV205" s="15">
        <f t="shared" si="42"/>
        <v>15598.197074999998</v>
      </c>
      <c r="AW205" s="78">
        <f>AJ205*Valores!$C$70</f>
        <v>2868.7592</v>
      </c>
      <c r="AX205" s="78">
        <f>AJ205*Valores!$C$71</f>
        <v>806.8385249999999</v>
      </c>
      <c r="AY205" s="78">
        <f>AJ205*Valores!$C$73</f>
        <v>179.29745</v>
      </c>
      <c r="AZ205" s="78">
        <f>AJ205*Valores!$C$74</f>
        <v>627.541075</v>
      </c>
      <c r="BA205" s="78">
        <f>AJ205*Valores!$C$75</f>
        <v>107.57847</v>
      </c>
      <c r="BB205" s="78">
        <f t="shared" si="45"/>
        <v>968.2062300000001</v>
      </c>
      <c r="BC205" s="20"/>
      <c r="BD205" s="20">
        <f t="shared" si="36"/>
        <v>52</v>
      </c>
      <c r="BE205" s="9" t="s">
        <v>462</v>
      </c>
    </row>
    <row r="206" spans="1:57" s="9" customFormat="1" ht="11.25" customHeight="1">
      <c r="A206" s="55">
        <v>205</v>
      </c>
      <c r="B206" s="55" t="s">
        <v>458</v>
      </c>
      <c r="C206" s="52" t="s">
        <v>354</v>
      </c>
      <c r="D206" s="52">
        <v>14</v>
      </c>
      <c r="E206" s="52">
        <f t="shared" si="43"/>
        <v>37</v>
      </c>
      <c r="F206" s="53" t="str">
        <f t="shared" si="34"/>
        <v>Hora Cátedra Enseñanza Superior 14 hs</v>
      </c>
      <c r="G206" s="124">
        <f t="shared" si="35"/>
        <v>1386</v>
      </c>
      <c r="H206" s="129">
        <f>INT((G206*Valores!$C$2*100)+0.5)/100</f>
        <v>8315.04</v>
      </c>
      <c r="I206" s="133">
        <v>0</v>
      </c>
      <c r="J206" s="80">
        <f>INT((I206*Valores!$C$2*100)+0.5)/100</f>
        <v>0</v>
      </c>
      <c r="K206" s="147">
        <v>0</v>
      </c>
      <c r="L206" s="80">
        <f>INT((K206*Valores!$C$2*100)+0.5)/100</f>
        <v>0</v>
      </c>
      <c r="M206" s="121">
        <v>0</v>
      </c>
      <c r="N206" s="80">
        <f>INT((M206*Valores!$C$2*100)+0.5)/100</f>
        <v>0</v>
      </c>
      <c r="O206" s="80">
        <f t="shared" si="37"/>
        <v>0</v>
      </c>
      <c r="P206" s="80">
        <f t="shared" si="38"/>
        <v>4411.6900000000005</v>
      </c>
      <c r="Q206" s="85">
        <f>Valores!$C$14*D206</f>
        <v>1925.56</v>
      </c>
      <c r="R206" s="85">
        <f>IF(D206&lt;15,(Valores!$E$4*D206),Valores!$D$4)</f>
        <v>2504.5999999999995</v>
      </c>
      <c r="S206" s="80">
        <v>0</v>
      </c>
      <c r="T206" s="82">
        <f>IF(Valores!$C$45*D206&gt;Valores!$C$43,Valores!$C$43,Valores!$C$45*D206)</f>
        <v>508.34000000000003</v>
      </c>
      <c r="U206" s="85">
        <f>Valores!$C$22*D206</f>
        <v>746.1999999999999</v>
      </c>
      <c r="V206" s="80">
        <f t="shared" si="33"/>
        <v>1119.3</v>
      </c>
      <c r="W206" s="80">
        <v>0</v>
      </c>
      <c r="X206" s="80">
        <v>0</v>
      </c>
      <c r="Y206" s="60">
        <v>0</v>
      </c>
      <c r="Z206" s="80">
        <f>Y206*Valores!$C$2</f>
        <v>0</v>
      </c>
      <c r="AA206" s="80">
        <v>0</v>
      </c>
      <c r="AB206" s="90">
        <f>IF((Valores!$C$32)*D206&gt;Valores!$F$32,Valores!$F$32,(Valores!$C$32)*D206)</f>
        <v>84.83999999999999</v>
      </c>
      <c r="AC206" s="80">
        <f t="shared" si="39"/>
        <v>0</v>
      </c>
      <c r="AD206" s="80">
        <f>IF(Valores!$C$33*D206&gt;Valores!$F$33,Valores!$F$33,Valores!$C$33*D206)</f>
        <v>70.56</v>
      </c>
      <c r="AE206" s="115">
        <v>0</v>
      </c>
      <c r="AF206" s="80">
        <f>INT(((AE206*Valores!$C$2)*100)+0.5)/100</f>
        <v>0</v>
      </c>
      <c r="AG206" s="80">
        <f>IF(Valores!$D$58*'Escala Docente'!D206&gt;Valores!$F$58,Valores!$F$58,Valores!$D$58*'Escala Docente'!D206)</f>
        <v>287</v>
      </c>
      <c r="AH206" s="80">
        <f>IF(Valores!$D$60*D206&gt;Valores!$F$60,Valores!$F$60,Valores!$D$60*D206)</f>
        <v>82.04</v>
      </c>
      <c r="AI206" s="80">
        <f>SUM(H206,J206,L206,N206,O206,P206,Q206,R206,S206,T206,V206,W206,X206,Z206,AA206,AB206,AC206,AD206,AF206,AG206,AH206)*Valores!$C$63</f>
        <v>0</v>
      </c>
      <c r="AJ206" s="141">
        <f t="shared" si="40"/>
        <v>19308.97</v>
      </c>
      <c r="AK206" s="85">
        <f>IF(Valores!$C$36*D206&gt;Valores!$F$36,Valores!$F$36,Valores!$C$36*D206)</f>
        <v>387.94</v>
      </c>
      <c r="AL206" s="82">
        <f>IF(Valores!$C$11*D206&gt;Valores!$F$11,Valores!$F$11,Valores!$C$11*D206)</f>
        <v>136.78</v>
      </c>
      <c r="AM206" s="90">
        <f>IF(Valores!$C$56*D206&gt;Valores!$F$56,Valores!$F$56,Valores!$C$56*D206)</f>
        <v>150.36</v>
      </c>
      <c r="AN206" s="82">
        <f>IF($H$4="SI",SUM(AL206+AM206),AL206)*Valores!$C$63</f>
        <v>0</v>
      </c>
      <c r="AO206" s="185">
        <f t="shared" si="44"/>
        <v>675.08</v>
      </c>
      <c r="AP206" s="154">
        <f>AJ206*-Valores!$C$65</f>
        <v>-2510.1661000000004</v>
      </c>
      <c r="AQ206" s="154">
        <f>AJ206*-Valores!$C$66</f>
        <v>-96.54485000000001</v>
      </c>
      <c r="AR206" s="81">
        <f>AJ206*-Valores!$C$67</f>
        <v>-868.90365</v>
      </c>
      <c r="AS206" s="81">
        <f>AJ206*-Valores!$C$68</f>
        <v>-521.3421900000001</v>
      </c>
      <c r="AT206" s="81">
        <f>AJ206*-Valores!$C$69</f>
        <v>-57.92691000000001</v>
      </c>
      <c r="AU206" s="54">
        <f t="shared" si="41"/>
        <v>16508.435400000002</v>
      </c>
      <c r="AV206" s="54">
        <f t="shared" si="42"/>
        <v>16798.06995000001</v>
      </c>
      <c r="AW206" s="81">
        <f>AJ206*Valores!$C$70</f>
        <v>3089.4352000000003</v>
      </c>
      <c r="AX206" s="81">
        <f>AJ206*Valores!$C$71</f>
        <v>868.90365</v>
      </c>
      <c r="AY206" s="81">
        <f>AJ206*Valores!$C$73</f>
        <v>193.08970000000002</v>
      </c>
      <c r="AZ206" s="81">
        <f>AJ206*Valores!$C$74</f>
        <v>675.8139500000001</v>
      </c>
      <c r="BA206" s="81">
        <f>AJ206*Valores!$C$75</f>
        <v>115.85382000000001</v>
      </c>
      <c r="BB206" s="81">
        <f t="shared" si="45"/>
        <v>1042.6843800000001</v>
      </c>
      <c r="BC206" s="55"/>
      <c r="BD206" s="55">
        <f t="shared" si="36"/>
        <v>56</v>
      </c>
      <c r="BE206" s="52" t="s">
        <v>462</v>
      </c>
    </row>
    <row r="207" spans="1:57" s="9" customFormat="1" ht="11.25" customHeight="1">
      <c r="A207" s="20">
        <v>206</v>
      </c>
      <c r="B207" s="20"/>
      <c r="C207" s="9" t="s">
        <v>354</v>
      </c>
      <c r="D207" s="9">
        <v>15</v>
      </c>
      <c r="E207" s="9">
        <f t="shared" si="43"/>
        <v>37</v>
      </c>
      <c r="F207" s="10" t="str">
        <f t="shared" si="34"/>
        <v>Hora Cátedra Enseñanza Superior 15 hs</v>
      </c>
      <c r="G207" s="123">
        <f t="shared" si="35"/>
        <v>1485</v>
      </c>
      <c r="H207" s="7">
        <f>INT((G207*Valores!$C$2*100)+0.5)/100</f>
        <v>8908.97</v>
      </c>
      <c r="I207" s="134">
        <v>0</v>
      </c>
      <c r="J207" s="77">
        <f>INT((I207*Valores!$C$2*100)+0.5)/100</f>
        <v>0</v>
      </c>
      <c r="K207" s="146">
        <v>0</v>
      </c>
      <c r="L207" s="77">
        <f>INT((K207*Valores!$C$2*100)+0.5)/100</f>
        <v>0</v>
      </c>
      <c r="M207" s="120">
        <v>0</v>
      </c>
      <c r="N207" s="77">
        <f>INT((M207*Valores!$C$2*100)+0.5)/100</f>
        <v>0</v>
      </c>
      <c r="O207" s="77">
        <f t="shared" si="37"/>
        <v>0</v>
      </c>
      <c r="P207" s="77">
        <f t="shared" si="38"/>
        <v>4726.8099999999995</v>
      </c>
      <c r="Q207" s="61">
        <f>Valores!$C$14*D207</f>
        <v>2063.1</v>
      </c>
      <c r="R207" s="61">
        <f>IF(D207&lt;15,(Valores!$E$4*D207),Valores!$D$4)</f>
        <v>2683.49</v>
      </c>
      <c r="S207" s="77">
        <v>0</v>
      </c>
      <c r="T207" s="79">
        <f>IF(Valores!$C$45*D207&gt;Valores!$C$43,Valores!$C$43,Valores!$C$45*D207)</f>
        <v>544.6500000000001</v>
      </c>
      <c r="U207" s="61">
        <f>Valores!$C$22*D207</f>
        <v>799.5</v>
      </c>
      <c r="V207" s="77">
        <f t="shared" si="33"/>
        <v>1199.25</v>
      </c>
      <c r="W207" s="77">
        <v>0</v>
      </c>
      <c r="X207" s="77">
        <v>0</v>
      </c>
      <c r="Y207" s="37">
        <v>0</v>
      </c>
      <c r="Z207" s="77">
        <f>Y207*Valores!$C$2</f>
        <v>0</v>
      </c>
      <c r="AA207" s="77">
        <v>0</v>
      </c>
      <c r="AB207" s="89">
        <f>IF((Valores!$C$32)*D207&gt;Valores!$F$32,Valores!$F$32,(Valores!$C$32)*D207)</f>
        <v>90.89999999999999</v>
      </c>
      <c r="AC207" s="77">
        <f t="shared" si="39"/>
        <v>0</v>
      </c>
      <c r="AD207" s="77">
        <f>IF(Valores!$C$33*D207&gt;Valores!$F$33,Valores!$F$33,Valores!$C$33*D207)</f>
        <v>75.6</v>
      </c>
      <c r="AE207" s="116">
        <v>0</v>
      </c>
      <c r="AF207" s="77">
        <f>INT(((AE207*Valores!$C$2)*100)+0.5)/100</f>
        <v>0</v>
      </c>
      <c r="AG207" s="77">
        <f>IF(Valores!$D$58*'Escala Docente'!D207&gt;Valores!$F$58,Valores!$F$58,Valores!$D$58*'Escala Docente'!D207)</f>
        <v>307.5</v>
      </c>
      <c r="AH207" s="77">
        <f>IF(Valores!$D$60*D207&gt;Valores!$F$60,Valores!$F$60,Valores!$D$60*D207)</f>
        <v>87.9</v>
      </c>
      <c r="AI207" s="77">
        <f>SUM(H207,J207,L207,N207,O207,P207,Q207,R207,S207,T207,V207,W207,X207,Z207,AA207,AB207,AC207,AD207,AF207,AG207,AH207)*Valores!$C$63</f>
        <v>0</v>
      </c>
      <c r="AJ207" s="140">
        <f t="shared" si="40"/>
        <v>20688.170000000002</v>
      </c>
      <c r="AK207" s="61">
        <f>IF(Valores!$C$36*D207&gt;Valores!$F$36,Valores!$F$36,Valores!$C$36*D207)</f>
        <v>415.65000000000003</v>
      </c>
      <c r="AL207" s="79">
        <f>IF(Valores!$C$11*D207&gt;Valores!$F$11,Valores!$F$11,Valores!$C$11*D207)</f>
        <v>146.54999999999998</v>
      </c>
      <c r="AM207" s="89">
        <f>IF(Valores!$C$56*D207&gt;Valores!$F$56,Valores!$F$56,Valores!$C$56*D207)</f>
        <v>161.1</v>
      </c>
      <c r="AN207" s="79">
        <f>IF($H$4="SI",SUM(AL207+AM207),AL207)*Valores!$C$63</f>
        <v>0</v>
      </c>
      <c r="AO207" s="12">
        <f t="shared" si="44"/>
        <v>723.3000000000001</v>
      </c>
      <c r="AP207" s="13">
        <f>AJ207*-Valores!$C$65</f>
        <v>-2689.4621</v>
      </c>
      <c r="AQ207" s="13">
        <f>AJ207*-Valores!$C$66</f>
        <v>-103.44085000000001</v>
      </c>
      <c r="AR207" s="78">
        <f>AJ207*-Valores!$C$67</f>
        <v>-930.96765</v>
      </c>
      <c r="AS207" s="78">
        <f>AJ207*-Valores!$C$68</f>
        <v>-558.5805900000001</v>
      </c>
      <c r="AT207" s="78">
        <f>AJ207*-Valores!$C$69</f>
        <v>-62.064510000000006</v>
      </c>
      <c r="AU207" s="15">
        <f t="shared" si="41"/>
        <v>17687.599400000003</v>
      </c>
      <c r="AV207" s="15">
        <f t="shared" si="42"/>
        <v>17997.92195</v>
      </c>
      <c r="AW207" s="78">
        <f>AJ207*Valores!$C$70</f>
        <v>3310.1072000000004</v>
      </c>
      <c r="AX207" s="78">
        <f>AJ207*Valores!$C$71</f>
        <v>930.96765</v>
      </c>
      <c r="AY207" s="78">
        <f>AJ207*Valores!$C$73</f>
        <v>206.88170000000002</v>
      </c>
      <c r="AZ207" s="78">
        <f>AJ207*Valores!$C$74</f>
        <v>724.0859500000001</v>
      </c>
      <c r="BA207" s="78">
        <f>AJ207*Valores!$C$75</f>
        <v>124.12902000000001</v>
      </c>
      <c r="BB207" s="78">
        <f t="shared" si="45"/>
        <v>1117.16118</v>
      </c>
      <c r="BC207" s="20"/>
      <c r="BD207" s="20">
        <f t="shared" si="36"/>
        <v>60</v>
      </c>
      <c r="BE207" s="9" t="s">
        <v>462</v>
      </c>
    </row>
    <row r="208" spans="1:57" s="9" customFormat="1" ht="11.25" customHeight="1">
      <c r="A208" s="20">
        <v>207</v>
      </c>
      <c r="B208" s="20"/>
      <c r="C208" s="9" t="s">
        <v>354</v>
      </c>
      <c r="D208" s="9">
        <v>16</v>
      </c>
      <c r="E208" s="9">
        <f t="shared" si="43"/>
        <v>37</v>
      </c>
      <c r="F208" s="10" t="str">
        <f t="shared" si="34"/>
        <v>Hora Cátedra Enseñanza Superior 16 hs</v>
      </c>
      <c r="G208" s="123">
        <f t="shared" si="35"/>
        <v>1584</v>
      </c>
      <c r="H208" s="7">
        <f>INT((G208*Valores!$C$2*100)+0.5)/100</f>
        <v>9502.9</v>
      </c>
      <c r="I208" s="134">
        <v>0</v>
      </c>
      <c r="J208" s="77">
        <f>INT((I208*Valores!$C$2*100)+0.5)/100</f>
        <v>0</v>
      </c>
      <c r="K208" s="146">
        <v>0</v>
      </c>
      <c r="L208" s="77">
        <f>INT((K208*Valores!$C$2*100)+0.5)/100</f>
        <v>0</v>
      </c>
      <c r="M208" s="120">
        <v>0</v>
      </c>
      <c r="N208" s="77">
        <f>INT((M208*Valores!$C$2*100)+0.5)/100</f>
        <v>0</v>
      </c>
      <c r="O208" s="77">
        <f t="shared" si="37"/>
        <v>0</v>
      </c>
      <c r="P208" s="77">
        <f t="shared" si="38"/>
        <v>5041.93</v>
      </c>
      <c r="Q208" s="61">
        <f>Valores!$C$14*D208</f>
        <v>2200.64</v>
      </c>
      <c r="R208" s="61">
        <f>IF(D208&lt;15,(Valores!$E$4*D208),Valores!$D$4)</f>
        <v>2683.49</v>
      </c>
      <c r="S208" s="77">
        <v>0</v>
      </c>
      <c r="T208" s="79">
        <f>IF(Valores!$C$45*D208&gt;Valores!$C$43,Valores!$C$43,Valores!$C$45*D208)</f>
        <v>580.96</v>
      </c>
      <c r="U208" s="61">
        <f>Valores!$C$22*D208</f>
        <v>852.8</v>
      </c>
      <c r="V208" s="77">
        <f t="shared" si="33"/>
        <v>1279.1999999999998</v>
      </c>
      <c r="W208" s="77">
        <v>0</v>
      </c>
      <c r="X208" s="77">
        <v>0</v>
      </c>
      <c r="Y208" s="37">
        <v>0</v>
      </c>
      <c r="Z208" s="77">
        <f>Y208*Valores!$C$2</f>
        <v>0</v>
      </c>
      <c r="AA208" s="77">
        <v>0</v>
      </c>
      <c r="AB208" s="89">
        <f>IF((Valores!$C$32)*D208&gt;Valores!$F$32,Valores!$F$32,(Valores!$C$32)*D208)</f>
        <v>96.96</v>
      </c>
      <c r="AC208" s="77">
        <f t="shared" si="39"/>
        <v>0</v>
      </c>
      <c r="AD208" s="77">
        <f>IF(Valores!$C$33*D208&gt;Valores!$F$33,Valores!$F$33,Valores!$C$33*D208)</f>
        <v>80.64</v>
      </c>
      <c r="AE208" s="116">
        <v>0</v>
      </c>
      <c r="AF208" s="77">
        <f>INT(((AE208*Valores!$C$2)*100)+0.5)/100</f>
        <v>0</v>
      </c>
      <c r="AG208" s="77">
        <f>IF(Valores!$D$58*'Escala Docente'!D208&gt;Valores!$F$58,Valores!$F$58,Valores!$D$58*'Escala Docente'!D208)</f>
        <v>328</v>
      </c>
      <c r="AH208" s="77">
        <f>IF(Valores!$D$60*D208&gt;Valores!$F$60,Valores!$F$60,Valores!$D$60*D208)</f>
        <v>93.76</v>
      </c>
      <c r="AI208" s="77">
        <f>SUM(H208,J208,L208,N208,O208,P208,Q208,R208,S208,T208,V208,W208,X208,Z208,AA208,AB208,AC208,AD208,AF208,AG208,AH208)*Valores!$C$63</f>
        <v>0</v>
      </c>
      <c r="AJ208" s="140">
        <f t="shared" si="40"/>
        <v>21888.479999999996</v>
      </c>
      <c r="AK208" s="61">
        <f>IF(Valores!$C$36*D208&gt;Valores!$F$36,Valores!$F$36,Valores!$C$36*D208)</f>
        <v>443.36</v>
      </c>
      <c r="AL208" s="79">
        <f>IF(Valores!$C$11*D208&gt;Valores!$F$11,Valores!$F$11,Valores!$C$11*D208)</f>
        <v>156.32</v>
      </c>
      <c r="AM208" s="89">
        <f>IF(Valores!$C$56*D208&gt;Valores!$F$56,Valores!$F$56,Valores!$C$56*D208)</f>
        <v>171.84</v>
      </c>
      <c r="AN208" s="79">
        <f>IF($H$4="SI",SUM(AL208+AM208),AL208)*Valores!$C$63</f>
        <v>0</v>
      </c>
      <c r="AO208" s="12">
        <f t="shared" si="44"/>
        <v>771.5200000000001</v>
      </c>
      <c r="AP208" s="13">
        <f>AJ208*-Valores!$C$65</f>
        <v>-2845.5023999999994</v>
      </c>
      <c r="AQ208" s="13">
        <f>AJ208*-Valores!$C$66</f>
        <v>-109.44239999999998</v>
      </c>
      <c r="AR208" s="78">
        <f>AJ208*-Valores!$C$67</f>
        <v>-984.9815999999997</v>
      </c>
      <c r="AS208" s="78">
        <f>AJ208*-Valores!$C$68</f>
        <v>-590.9889599999999</v>
      </c>
      <c r="AT208" s="78">
        <f>AJ208*-Valores!$C$69</f>
        <v>-65.66543999999999</v>
      </c>
      <c r="AU208" s="15">
        <f t="shared" si="41"/>
        <v>18720.073599999996</v>
      </c>
      <c r="AV208" s="15">
        <f t="shared" si="42"/>
        <v>19048.4008</v>
      </c>
      <c r="AW208" s="78">
        <f>AJ208*Valores!$C$70</f>
        <v>3502.1567999999993</v>
      </c>
      <c r="AX208" s="78">
        <f>AJ208*Valores!$C$71</f>
        <v>984.9815999999997</v>
      </c>
      <c r="AY208" s="78">
        <f>AJ208*Valores!$C$73</f>
        <v>218.88479999999996</v>
      </c>
      <c r="AZ208" s="78">
        <f>AJ208*Valores!$C$74</f>
        <v>766.0967999999999</v>
      </c>
      <c r="BA208" s="78">
        <f>AJ208*Valores!$C$75</f>
        <v>131.33087999999998</v>
      </c>
      <c r="BB208" s="78">
        <f t="shared" si="45"/>
        <v>1181.9779199999998</v>
      </c>
      <c r="BC208" s="20"/>
      <c r="BD208" s="20">
        <f t="shared" si="36"/>
        <v>64</v>
      </c>
      <c r="BE208" s="9" t="s">
        <v>462</v>
      </c>
    </row>
    <row r="209" spans="1:57" s="9" customFormat="1" ht="11.25" customHeight="1">
      <c r="A209" s="20">
        <v>208</v>
      </c>
      <c r="B209" s="20"/>
      <c r="C209" s="9" t="s">
        <v>354</v>
      </c>
      <c r="D209" s="9">
        <v>17</v>
      </c>
      <c r="E209" s="9">
        <f t="shared" si="43"/>
        <v>37</v>
      </c>
      <c r="F209" s="10" t="str">
        <f t="shared" si="34"/>
        <v>Hora Cátedra Enseñanza Superior 17 hs</v>
      </c>
      <c r="G209" s="123">
        <f t="shared" si="35"/>
        <v>1683</v>
      </c>
      <c r="H209" s="7">
        <f>INT((G209*Valores!$C$2*100)+0.5)/100</f>
        <v>10096.83</v>
      </c>
      <c r="I209" s="134">
        <v>0</v>
      </c>
      <c r="J209" s="77">
        <f>INT((I209*Valores!$C$2*100)+0.5)/100</f>
        <v>0</v>
      </c>
      <c r="K209" s="146">
        <v>0</v>
      </c>
      <c r="L209" s="77">
        <f>INT((K209*Valores!$C$2*100)+0.5)/100</f>
        <v>0</v>
      </c>
      <c r="M209" s="120">
        <v>0</v>
      </c>
      <c r="N209" s="77">
        <f>INT((M209*Valores!$C$2*100)+0.5)/100</f>
        <v>0</v>
      </c>
      <c r="O209" s="77">
        <f t="shared" si="37"/>
        <v>0</v>
      </c>
      <c r="P209" s="77">
        <f t="shared" si="38"/>
        <v>5357.05</v>
      </c>
      <c r="Q209" s="61">
        <f>Valores!$C$14*D209</f>
        <v>2338.18</v>
      </c>
      <c r="R209" s="61">
        <f>IF(D209&lt;15,(Valores!$E$4*D209),Valores!$D$4)</f>
        <v>2683.49</v>
      </c>
      <c r="S209" s="77">
        <v>0</v>
      </c>
      <c r="T209" s="79">
        <f>IF(Valores!$C$45*D209&gt;Valores!$C$43,Valores!$C$43,Valores!$C$45*D209)</f>
        <v>617.27</v>
      </c>
      <c r="U209" s="61">
        <f>Valores!$C$22*D209</f>
        <v>906.0999999999999</v>
      </c>
      <c r="V209" s="77">
        <f t="shared" si="33"/>
        <v>1359.1499999999999</v>
      </c>
      <c r="W209" s="77">
        <v>0</v>
      </c>
      <c r="X209" s="77">
        <v>0</v>
      </c>
      <c r="Y209" s="37">
        <v>0</v>
      </c>
      <c r="Z209" s="77">
        <f>Y209*Valores!$C$2</f>
        <v>0</v>
      </c>
      <c r="AA209" s="77">
        <v>0</v>
      </c>
      <c r="AB209" s="89">
        <f>IF((Valores!$C$32)*D209&gt;Valores!$F$32,Valores!$F$32,(Valores!$C$32)*D209)</f>
        <v>103.02</v>
      </c>
      <c r="AC209" s="77">
        <f t="shared" si="39"/>
        <v>0</v>
      </c>
      <c r="AD209" s="77">
        <f>IF(Valores!$C$33*D209&gt;Valores!$F$33,Valores!$F$33,Valores!$C$33*D209)</f>
        <v>85.68</v>
      </c>
      <c r="AE209" s="116">
        <v>0</v>
      </c>
      <c r="AF209" s="77">
        <f>INT(((AE209*Valores!$C$2)*100)+0.5)/100</f>
        <v>0</v>
      </c>
      <c r="AG209" s="77">
        <f>IF(Valores!$D$58*'Escala Docente'!D209&gt;Valores!$F$58,Valores!$F$58,Valores!$D$58*'Escala Docente'!D209)</f>
        <v>348.5</v>
      </c>
      <c r="AH209" s="77">
        <f>IF(Valores!$D$60*D209&gt;Valores!$F$60,Valores!$F$60,Valores!$D$60*D209)</f>
        <v>99.62</v>
      </c>
      <c r="AI209" s="77">
        <f>SUM(H209,J209,L209,N209,O209,P209,Q209,R209,S209,T209,V209,W209,X209,Z209,AA209,AB209,AC209,AD209,AF209,AG209,AH209)*Valores!$C$63</f>
        <v>0</v>
      </c>
      <c r="AJ209" s="140">
        <f t="shared" si="40"/>
        <v>23088.790000000005</v>
      </c>
      <c r="AK209" s="61">
        <f>IF(Valores!$C$36*D209&gt;Valores!$F$36,Valores!$F$36,Valores!$C$36*D209)</f>
        <v>471.07</v>
      </c>
      <c r="AL209" s="79">
        <f>IF(Valores!$C$11*D209&gt;Valores!$F$11,Valores!$F$11,Valores!$C$11*D209)</f>
        <v>166.09</v>
      </c>
      <c r="AM209" s="89">
        <f>IF(Valores!$C$56*D209&gt;Valores!$F$56,Valores!$F$56,Valores!$C$56*D209)</f>
        <v>182.58</v>
      </c>
      <c r="AN209" s="79">
        <f>IF($H$4="SI",SUM(AL209+AM209),AL209)*Valores!$C$63</f>
        <v>0</v>
      </c>
      <c r="AO209" s="12">
        <f t="shared" si="44"/>
        <v>819.74</v>
      </c>
      <c r="AP209" s="13">
        <f>AJ209*-Valores!$C$65</f>
        <v>-3001.542700000001</v>
      </c>
      <c r="AQ209" s="13">
        <f>AJ209*-Valores!$C$66</f>
        <v>-115.44395000000003</v>
      </c>
      <c r="AR209" s="78">
        <f>AJ209*-Valores!$C$67</f>
        <v>-1038.99555</v>
      </c>
      <c r="AS209" s="78">
        <f>AJ209*-Valores!$C$68</f>
        <v>-623.3973300000002</v>
      </c>
      <c r="AT209" s="78">
        <f>AJ209*-Valores!$C$69</f>
        <v>-69.26637000000001</v>
      </c>
      <c r="AU209" s="15">
        <f t="shared" si="41"/>
        <v>19752.547800000004</v>
      </c>
      <c r="AV209" s="15">
        <f t="shared" si="42"/>
        <v>20098.879650000003</v>
      </c>
      <c r="AW209" s="78">
        <f>AJ209*Valores!$C$70</f>
        <v>3694.206400000001</v>
      </c>
      <c r="AX209" s="78">
        <f>AJ209*Valores!$C$71</f>
        <v>1038.99555</v>
      </c>
      <c r="AY209" s="78">
        <f>AJ209*Valores!$C$73</f>
        <v>230.88790000000006</v>
      </c>
      <c r="AZ209" s="78">
        <f>AJ209*Valores!$C$74</f>
        <v>808.1076500000003</v>
      </c>
      <c r="BA209" s="78">
        <f>AJ209*Valores!$C$75</f>
        <v>138.53274000000002</v>
      </c>
      <c r="BB209" s="78">
        <f t="shared" si="45"/>
        <v>1246.7946600000002</v>
      </c>
      <c r="BC209" s="20"/>
      <c r="BD209" s="55">
        <f t="shared" si="36"/>
        <v>68</v>
      </c>
      <c r="BE209" s="9" t="s">
        <v>462</v>
      </c>
    </row>
    <row r="210" spans="1:57" s="9" customFormat="1" ht="11.25" customHeight="1">
      <c r="A210" s="20">
        <v>209</v>
      </c>
      <c r="B210" s="20"/>
      <c r="C210" s="9" t="s">
        <v>354</v>
      </c>
      <c r="D210" s="9">
        <v>18</v>
      </c>
      <c r="E210" s="9">
        <f t="shared" si="43"/>
        <v>37</v>
      </c>
      <c r="F210" s="10" t="str">
        <f t="shared" si="34"/>
        <v>Hora Cátedra Enseñanza Superior 18 hs</v>
      </c>
      <c r="G210" s="123">
        <f t="shared" si="35"/>
        <v>1782</v>
      </c>
      <c r="H210" s="7">
        <f>INT((G210*Valores!$C$2*100)+0.5)/100</f>
        <v>10690.76</v>
      </c>
      <c r="I210" s="134">
        <v>0</v>
      </c>
      <c r="J210" s="77">
        <f>INT((I210*Valores!$C$2*100)+0.5)/100</f>
        <v>0</v>
      </c>
      <c r="K210" s="146">
        <v>0</v>
      </c>
      <c r="L210" s="77">
        <f>INT((K210*Valores!$C$2*100)+0.5)/100</f>
        <v>0</v>
      </c>
      <c r="M210" s="120">
        <v>0</v>
      </c>
      <c r="N210" s="77">
        <f>INT((M210*Valores!$C$2*100)+0.5)/100</f>
        <v>0</v>
      </c>
      <c r="O210" s="77">
        <f t="shared" si="37"/>
        <v>0</v>
      </c>
      <c r="P210" s="77">
        <f t="shared" si="38"/>
        <v>5672.17</v>
      </c>
      <c r="Q210" s="61">
        <f>Valores!$C$14*D210</f>
        <v>2475.72</v>
      </c>
      <c r="R210" s="61">
        <f>IF(D210&lt;15,(Valores!$E$4*D210),Valores!$D$4)</f>
        <v>2683.49</v>
      </c>
      <c r="S210" s="77">
        <v>0</v>
      </c>
      <c r="T210" s="79">
        <f>IF(Valores!$C$45*D210&gt;Valores!$C$43,Valores!$C$43,Valores!$C$45*D210)</f>
        <v>653.58</v>
      </c>
      <c r="U210" s="61">
        <f>Valores!$C$22*D210</f>
        <v>959.4</v>
      </c>
      <c r="V210" s="77">
        <f t="shared" si="33"/>
        <v>1439.1</v>
      </c>
      <c r="W210" s="77">
        <v>0</v>
      </c>
      <c r="X210" s="77">
        <v>0</v>
      </c>
      <c r="Y210" s="37">
        <v>0</v>
      </c>
      <c r="Z210" s="77">
        <f>Y210*Valores!$C$2</f>
        <v>0</v>
      </c>
      <c r="AA210" s="77">
        <v>0</v>
      </c>
      <c r="AB210" s="89">
        <f>IF((Valores!$C$32)*D210&gt;Valores!$F$32,Valores!$F$32,(Valores!$C$32)*D210)</f>
        <v>109.08</v>
      </c>
      <c r="AC210" s="77">
        <f t="shared" si="39"/>
        <v>0</v>
      </c>
      <c r="AD210" s="77">
        <f>IF(Valores!$C$33*D210&gt;Valores!$F$33,Valores!$F$33,Valores!$C$33*D210)</f>
        <v>90.72</v>
      </c>
      <c r="AE210" s="116">
        <v>0</v>
      </c>
      <c r="AF210" s="77">
        <f>INT(((AE210*Valores!$C$2)*100)+0.5)/100</f>
        <v>0</v>
      </c>
      <c r="AG210" s="77">
        <f>IF(Valores!$D$58*'Escala Docente'!D210&gt;Valores!$F$58,Valores!$F$58,Valores!$D$58*'Escala Docente'!D210)</f>
        <v>369</v>
      </c>
      <c r="AH210" s="77">
        <f>IF(Valores!$D$60*D210&gt;Valores!$F$60,Valores!$F$60,Valores!$D$60*D210)</f>
        <v>105.48</v>
      </c>
      <c r="AI210" s="77">
        <f>SUM(H210,J210,L210,N210,O210,P210,Q210,R210,S210,T210,V210,W210,X210,Z210,AA210,AB210,AC210,AD210,AF210,AG210,AH210)*Valores!$C$63</f>
        <v>0</v>
      </c>
      <c r="AJ210" s="140">
        <f t="shared" si="40"/>
        <v>24289.100000000002</v>
      </c>
      <c r="AK210" s="61">
        <f>IF(Valores!$C$36*D210&gt;Valores!$F$36,Valores!$F$36,Valores!$C$36*D210)</f>
        <v>498.78000000000003</v>
      </c>
      <c r="AL210" s="79">
        <f>IF(Valores!$C$11*D210&gt;Valores!$F$11,Valores!$F$11,Valores!$C$11*D210)</f>
        <v>175.85999999999999</v>
      </c>
      <c r="AM210" s="89">
        <f>IF(Valores!$C$56*D210&gt;Valores!$F$56,Valores!$F$56,Valores!$C$56*D210)</f>
        <v>193.32</v>
      </c>
      <c r="AN210" s="79">
        <f>IF($H$4="SI",SUM(AL210+AM210),AL210)*Valores!$C$63</f>
        <v>0</v>
      </c>
      <c r="AO210" s="12">
        <f t="shared" si="44"/>
        <v>867.96</v>
      </c>
      <c r="AP210" s="13">
        <f>AJ210*-Valores!$C$65</f>
        <v>-3157.5830000000005</v>
      </c>
      <c r="AQ210" s="13">
        <f>AJ210*-Valores!$C$66</f>
        <v>-121.44550000000001</v>
      </c>
      <c r="AR210" s="78">
        <f>AJ210*-Valores!$C$67</f>
        <v>-1093.0095000000001</v>
      </c>
      <c r="AS210" s="78">
        <f>AJ210*-Valores!$C$68</f>
        <v>-655.8057000000001</v>
      </c>
      <c r="AT210" s="78">
        <f>AJ210*-Valores!$C$69</f>
        <v>-72.86730000000001</v>
      </c>
      <c r="AU210" s="15">
        <f t="shared" si="41"/>
        <v>20785.021999999997</v>
      </c>
      <c r="AV210" s="15">
        <f t="shared" si="42"/>
        <v>21149.3585</v>
      </c>
      <c r="AW210" s="78">
        <f>AJ210*Valores!$C$70</f>
        <v>3886.2560000000003</v>
      </c>
      <c r="AX210" s="78">
        <f>AJ210*Valores!$C$71</f>
        <v>1093.0095000000001</v>
      </c>
      <c r="AY210" s="78">
        <f>AJ210*Valores!$C$73</f>
        <v>242.89100000000002</v>
      </c>
      <c r="AZ210" s="78">
        <f>AJ210*Valores!$C$74</f>
        <v>850.1185000000002</v>
      </c>
      <c r="BA210" s="78">
        <f>AJ210*Valores!$C$75</f>
        <v>145.73460000000003</v>
      </c>
      <c r="BB210" s="78">
        <f t="shared" si="45"/>
        <v>1311.6114000000002</v>
      </c>
      <c r="BC210" s="20"/>
      <c r="BD210" s="20">
        <f t="shared" si="36"/>
        <v>72</v>
      </c>
      <c r="BE210" s="9" t="s">
        <v>462</v>
      </c>
    </row>
    <row r="211" spans="1:57" s="9" customFormat="1" ht="11.25" customHeight="1">
      <c r="A211" s="55">
        <v>210</v>
      </c>
      <c r="B211" s="55" t="s">
        <v>458</v>
      </c>
      <c r="C211" s="52" t="s">
        <v>354</v>
      </c>
      <c r="D211" s="52">
        <v>19</v>
      </c>
      <c r="E211" s="52">
        <f t="shared" si="43"/>
        <v>37</v>
      </c>
      <c r="F211" s="53" t="str">
        <f t="shared" si="34"/>
        <v>Hora Cátedra Enseñanza Superior 19 hs</v>
      </c>
      <c r="G211" s="124">
        <f t="shared" si="35"/>
        <v>1881</v>
      </c>
      <c r="H211" s="129">
        <f>INT((G211*Valores!$C$2*100)+0.5)/100</f>
        <v>11284.69</v>
      </c>
      <c r="I211" s="133">
        <v>0</v>
      </c>
      <c r="J211" s="80">
        <f>INT((I211*Valores!$C$2*100)+0.5)/100</f>
        <v>0</v>
      </c>
      <c r="K211" s="147">
        <v>0</v>
      </c>
      <c r="L211" s="80">
        <f>INT((K211*Valores!$C$2*100)+0.5)/100</f>
        <v>0</v>
      </c>
      <c r="M211" s="121">
        <v>0</v>
      </c>
      <c r="N211" s="80">
        <f>INT((M211*Valores!$C$2*100)+0.5)/100</f>
        <v>0</v>
      </c>
      <c r="O211" s="80">
        <f t="shared" si="37"/>
        <v>0</v>
      </c>
      <c r="P211" s="80">
        <f t="shared" si="38"/>
        <v>5987.29</v>
      </c>
      <c r="Q211" s="85">
        <f>Valores!$C$14*D211</f>
        <v>2613.2599999999998</v>
      </c>
      <c r="R211" s="85">
        <f>IF(D211&lt;15,(Valores!$E$4*D211),Valores!$D$4)</f>
        <v>2683.49</v>
      </c>
      <c r="S211" s="80">
        <v>0</v>
      </c>
      <c r="T211" s="82">
        <f>IF(Valores!$C$45*D211&gt;Valores!$C$43,Valores!$C$43,Valores!$C$45*D211)</f>
        <v>689.8900000000001</v>
      </c>
      <c r="U211" s="85">
        <f>Valores!$C$22*D211</f>
        <v>1012.6999999999999</v>
      </c>
      <c r="V211" s="80">
        <f t="shared" si="33"/>
        <v>1519.05</v>
      </c>
      <c r="W211" s="80">
        <v>0</v>
      </c>
      <c r="X211" s="80">
        <v>0</v>
      </c>
      <c r="Y211" s="60">
        <v>0</v>
      </c>
      <c r="Z211" s="80">
        <f>Y211*Valores!$C$2</f>
        <v>0</v>
      </c>
      <c r="AA211" s="80">
        <v>0</v>
      </c>
      <c r="AB211" s="90">
        <f>IF((Valores!$C$32)*D211&gt;Valores!$F$32,Valores!$F$32,(Valores!$C$32)*D211)</f>
        <v>115.13999999999999</v>
      </c>
      <c r="AC211" s="80">
        <f t="shared" si="39"/>
        <v>0</v>
      </c>
      <c r="AD211" s="80">
        <f>IF(Valores!$C$33*D211&gt;Valores!$F$33,Valores!$F$33,Valores!$C$33*D211)</f>
        <v>95.76</v>
      </c>
      <c r="AE211" s="115">
        <v>0</v>
      </c>
      <c r="AF211" s="80">
        <f>INT(((AE211*Valores!$C$2)*100)+0.5)/100</f>
        <v>0</v>
      </c>
      <c r="AG211" s="80">
        <f>IF(Valores!$D$58*'Escala Docente'!D211&gt;Valores!$F$58,Valores!$F$58,Valores!$D$58*'Escala Docente'!D211)</f>
        <v>389.5</v>
      </c>
      <c r="AH211" s="80">
        <f>IF(Valores!$D$60*D211&gt;Valores!$F$60,Valores!$F$60,Valores!$D$60*D211)</f>
        <v>111.34</v>
      </c>
      <c r="AI211" s="80">
        <f>SUM(H211,J211,L211,N211,O211,P211,Q211,R211,S211,T211,V211,W211,X211,Z211,AA211,AB211,AC211,AD211,AF211,AG211,AH211)*Valores!$C$63</f>
        <v>0</v>
      </c>
      <c r="AJ211" s="141">
        <f t="shared" si="40"/>
        <v>25489.409999999993</v>
      </c>
      <c r="AK211" s="85">
        <f>IF(Valores!$C$36*D211&gt;Valores!$F$36,Valores!$F$36,Valores!$C$36*D211)</f>
        <v>526.49</v>
      </c>
      <c r="AL211" s="82">
        <f>IF(Valores!$C$11*D211&gt;Valores!$F$11,Valores!$F$11,Valores!$C$11*D211)</f>
        <v>185.63</v>
      </c>
      <c r="AM211" s="90">
        <f>IF(Valores!$C$56*D211&gt;Valores!$F$56,Valores!$F$56,Valores!$C$56*D211)</f>
        <v>204.06</v>
      </c>
      <c r="AN211" s="82">
        <f>IF($H$4="SI",SUM(AL211+AM211),AL211)*Valores!$C$63</f>
        <v>0</v>
      </c>
      <c r="AO211" s="185">
        <f t="shared" si="44"/>
        <v>916.1800000000001</v>
      </c>
      <c r="AP211" s="154">
        <f>AJ211*-Valores!$C$65</f>
        <v>-3313.6232999999993</v>
      </c>
      <c r="AQ211" s="154">
        <f>AJ211*-Valores!$C$66</f>
        <v>-127.44704999999996</v>
      </c>
      <c r="AR211" s="81">
        <f>AJ211*-Valores!$C$67</f>
        <v>-1147.0234499999997</v>
      </c>
      <c r="AS211" s="81">
        <f>AJ211*-Valores!$C$68</f>
        <v>-688.2140699999999</v>
      </c>
      <c r="AT211" s="81">
        <f>AJ211*-Valores!$C$69</f>
        <v>-76.46822999999998</v>
      </c>
      <c r="AU211" s="54">
        <f t="shared" si="41"/>
        <v>21817.496199999994</v>
      </c>
      <c r="AV211" s="54">
        <f t="shared" si="42"/>
        <v>22199.837349999998</v>
      </c>
      <c r="AW211" s="81">
        <f>AJ211*Valores!$C$70</f>
        <v>4078.305599999999</v>
      </c>
      <c r="AX211" s="81">
        <f>AJ211*Valores!$C$71</f>
        <v>1147.0234499999997</v>
      </c>
      <c r="AY211" s="81">
        <f>AJ211*Valores!$C$73</f>
        <v>254.89409999999992</v>
      </c>
      <c r="AZ211" s="81">
        <f>AJ211*Valores!$C$74</f>
        <v>892.1293499999998</v>
      </c>
      <c r="BA211" s="81">
        <f>AJ211*Valores!$C$75</f>
        <v>152.93645999999995</v>
      </c>
      <c r="BB211" s="81">
        <f t="shared" si="45"/>
        <v>1376.4281399999995</v>
      </c>
      <c r="BC211" s="55"/>
      <c r="BD211" s="55">
        <f t="shared" si="36"/>
        <v>76</v>
      </c>
      <c r="BE211" s="52" t="s">
        <v>462</v>
      </c>
    </row>
    <row r="212" spans="1:57" s="9" customFormat="1" ht="11.25" customHeight="1">
      <c r="A212" s="20">
        <v>211</v>
      </c>
      <c r="B212" s="20"/>
      <c r="C212" s="9" t="s">
        <v>354</v>
      </c>
      <c r="D212" s="9">
        <v>20</v>
      </c>
      <c r="E212" s="9">
        <f t="shared" si="43"/>
        <v>37</v>
      </c>
      <c r="F212" s="10" t="str">
        <f t="shared" si="34"/>
        <v>Hora Cátedra Enseñanza Superior 20 hs</v>
      </c>
      <c r="G212" s="123">
        <f t="shared" si="35"/>
        <v>1980</v>
      </c>
      <c r="H212" s="7">
        <f>INT((G212*Valores!$C$2*100)+0.5)/100</f>
        <v>11878.62</v>
      </c>
      <c r="I212" s="134">
        <v>0</v>
      </c>
      <c r="J212" s="77">
        <f>INT((I212*Valores!$C$2*100)+0.5)/100</f>
        <v>0</v>
      </c>
      <c r="K212" s="146">
        <v>0</v>
      </c>
      <c r="L212" s="77">
        <f>INT((K212*Valores!$C$2*100)+0.5)/100</f>
        <v>0</v>
      </c>
      <c r="M212" s="120">
        <v>0</v>
      </c>
      <c r="N212" s="77">
        <f>INT((M212*Valores!$C$2*100)+0.5)/100</f>
        <v>0</v>
      </c>
      <c r="O212" s="77">
        <f t="shared" si="37"/>
        <v>0</v>
      </c>
      <c r="P212" s="77">
        <f t="shared" si="38"/>
        <v>6302.410000000001</v>
      </c>
      <c r="Q212" s="61">
        <f>Valores!$C$14*D212</f>
        <v>2750.7999999999997</v>
      </c>
      <c r="R212" s="61">
        <f>IF(D212&lt;15,(Valores!$E$4*D212),Valores!$D$4)</f>
        <v>2683.49</v>
      </c>
      <c r="S212" s="77">
        <v>0</v>
      </c>
      <c r="T212" s="79">
        <f>IF(Valores!$C$45*D212&gt;Valores!$C$43,Valores!$C$43,Valores!$C$45*D212)</f>
        <v>726.2</v>
      </c>
      <c r="U212" s="61">
        <f>Valores!$C$22*D212</f>
        <v>1066</v>
      </c>
      <c r="V212" s="77">
        <f t="shared" si="33"/>
        <v>1599</v>
      </c>
      <c r="W212" s="77">
        <v>0</v>
      </c>
      <c r="X212" s="77">
        <v>0</v>
      </c>
      <c r="Y212" s="37">
        <v>0</v>
      </c>
      <c r="Z212" s="77">
        <f>Y212*Valores!$C$2</f>
        <v>0</v>
      </c>
      <c r="AA212" s="77">
        <v>0</v>
      </c>
      <c r="AB212" s="89">
        <f>IF((Valores!$C$32)*D212&gt;Valores!$F$32,Valores!$F$32,(Valores!$C$32)*D212)</f>
        <v>121.19999999999999</v>
      </c>
      <c r="AC212" s="77">
        <f t="shared" si="39"/>
        <v>0</v>
      </c>
      <c r="AD212" s="77">
        <f>IF(Valores!$C$33*D212&gt;Valores!$F$33,Valores!$F$33,Valores!$C$33*D212)</f>
        <v>100.8</v>
      </c>
      <c r="AE212" s="116">
        <v>0</v>
      </c>
      <c r="AF212" s="77">
        <f>INT(((AE212*Valores!$C$2)*100)+0.5)/100</f>
        <v>0</v>
      </c>
      <c r="AG212" s="77">
        <f>IF(Valores!$D$58*'Escala Docente'!D212&gt;Valores!$F$58,Valores!$F$58,Valores!$D$58*'Escala Docente'!D212)</f>
        <v>410</v>
      </c>
      <c r="AH212" s="77">
        <f>IF(Valores!$D$60*D212&gt;Valores!$F$60,Valores!$F$60,Valores!$D$60*D212)</f>
        <v>117.2</v>
      </c>
      <c r="AI212" s="77">
        <f>SUM(H212,J212,L212,N212,O212,P212,Q212,R212,S212,T212,V212,W212,X212,Z212,AA212,AB212,AC212,AD212,AF212,AG212,AH212)*Valores!$C$63</f>
        <v>0</v>
      </c>
      <c r="AJ212" s="140">
        <f t="shared" si="40"/>
        <v>26689.72</v>
      </c>
      <c r="AK212" s="61">
        <f>IF(Valores!$C$36*D212&gt;Valores!$F$36,Valores!$F$36,Valores!$C$36*D212)</f>
        <v>554.2</v>
      </c>
      <c r="AL212" s="79">
        <f>IF(Valores!$C$11*D212&gt;Valores!$F$11,Valores!$F$11,Valores!$C$11*D212)</f>
        <v>195.39999999999998</v>
      </c>
      <c r="AM212" s="89">
        <f>IF(Valores!$C$56*D212&gt;Valores!$F$56,Valores!$F$56,Valores!$C$56*D212)</f>
        <v>214.8</v>
      </c>
      <c r="AN212" s="79">
        <f>IF($H$4="SI",SUM(AL212+AM212),AL212)*Valores!$C$63</f>
        <v>0</v>
      </c>
      <c r="AO212" s="12">
        <f t="shared" si="44"/>
        <v>964.4000000000001</v>
      </c>
      <c r="AP212" s="13">
        <f>AJ212*-Valores!$C$65</f>
        <v>-3469.6636000000003</v>
      </c>
      <c r="AQ212" s="13">
        <f>AJ212*-Valores!$C$66</f>
        <v>-133.4486</v>
      </c>
      <c r="AR212" s="78">
        <f>AJ212*-Valores!$C$67</f>
        <v>-1201.0374</v>
      </c>
      <c r="AS212" s="78">
        <f>AJ212*-Valores!$C$68</f>
        <v>-720.6224400000001</v>
      </c>
      <c r="AT212" s="78">
        <f>AJ212*-Valores!$C$69</f>
        <v>-80.06916000000001</v>
      </c>
      <c r="AU212" s="15">
        <f t="shared" si="41"/>
        <v>22849.970400000002</v>
      </c>
      <c r="AV212" s="15">
        <f t="shared" si="42"/>
        <v>23250.316200000005</v>
      </c>
      <c r="AW212" s="78">
        <f>AJ212*Valores!$C$70</f>
        <v>4270.3552</v>
      </c>
      <c r="AX212" s="78">
        <f>AJ212*Valores!$C$71</f>
        <v>1201.0374</v>
      </c>
      <c r="AY212" s="78">
        <f>AJ212*Valores!$C$73</f>
        <v>266.8972</v>
      </c>
      <c r="AZ212" s="78">
        <f>AJ212*Valores!$C$74</f>
        <v>934.1402000000002</v>
      </c>
      <c r="BA212" s="78">
        <f>AJ212*Valores!$C$75</f>
        <v>160.13832000000002</v>
      </c>
      <c r="BB212" s="78">
        <f t="shared" si="45"/>
        <v>1441.2448800000002</v>
      </c>
      <c r="BC212" s="20"/>
      <c r="BD212" s="20">
        <f t="shared" si="36"/>
        <v>80</v>
      </c>
      <c r="BE212" s="9" t="s">
        <v>462</v>
      </c>
    </row>
    <row r="213" spans="1:57" s="9" customFormat="1" ht="11.25" customHeight="1">
      <c r="A213" s="20">
        <v>212</v>
      </c>
      <c r="B213" s="20"/>
      <c r="C213" s="9" t="s">
        <v>354</v>
      </c>
      <c r="D213" s="9">
        <v>21</v>
      </c>
      <c r="E213" s="9">
        <f t="shared" si="43"/>
        <v>37</v>
      </c>
      <c r="F213" s="10" t="str">
        <f t="shared" si="34"/>
        <v>Hora Cátedra Enseñanza Superior 21 hs</v>
      </c>
      <c r="G213" s="123">
        <f t="shared" si="35"/>
        <v>2079</v>
      </c>
      <c r="H213" s="7">
        <f>INT((G213*Valores!$C$2*100)+0.5)/100</f>
        <v>12472.55</v>
      </c>
      <c r="I213" s="134">
        <v>0</v>
      </c>
      <c r="J213" s="77">
        <f>INT((I213*Valores!$C$2*100)+0.5)/100</f>
        <v>0</v>
      </c>
      <c r="K213" s="146">
        <v>0</v>
      </c>
      <c r="L213" s="77">
        <f>INT((K213*Valores!$C$2*100)+0.5)/100</f>
        <v>0</v>
      </c>
      <c r="M213" s="120">
        <v>0</v>
      </c>
      <c r="N213" s="77">
        <f>INT((M213*Valores!$C$2*100)+0.5)/100</f>
        <v>0</v>
      </c>
      <c r="O213" s="77">
        <f t="shared" si="37"/>
        <v>0</v>
      </c>
      <c r="P213" s="77">
        <f t="shared" si="38"/>
        <v>6617.53</v>
      </c>
      <c r="Q213" s="61">
        <f>Valores!$C$14*D213</f>
        <v>2888.3399999999997</v>
      </c>
      <c r="R213" s="61">
        <f>IF(D213&lt;15,(Valores!$E$4*D213),Valores!$D$4)</f>
        <v>2683.49</v>
      </c>
      <c r="S213" s="77">
        <v>0</v>
      </c>
      <c r="T213" s="79">
        <f>IF(Valores!$C$45*D213&gt;Valores!$C$43,Valores!$C$43,Valores!$C$45*D213)</f>
        <v>762.51</v>
      </c>
      <c r="U213" s="61">
        <f>Valores!$C$22*D213</f>
        <v>1119.3</v>
      </c>
      <c r="V213" s="77">
        <f t="shared" si="33"/>
        <v>1678.9499999999998</v>
      </c>
      <c r="W213" s="77">
        <v>0</v>
      </c>
      <c r="X213" s="77">
        <v>0</v>
      </c>
      <c r="Y213" s="37">
        <v>0</v>
      </c>
      <c r="Z213" s="77">
        <f>Y213*Valores!$C$2</f>
        <v>0</v>
      </c>
      <c r="AA213" s="77">
        <v>0</v>
      </c>
      <c r="AB213" s="89">
        <f>IF((Valores!$C$32)*D213&gt;Valores!$F$32,Valores!$F$32,(Valores!$C$32)*D213)</f>
        <v>127.25999999999999</v>
      </c>
      <c r="AC213" s="77">
        <f t="shared" si="39"/>
        <v>0</v>
      </c>
      <c r="AD213" s="77">
        <f>IF(Valores!$C$33*D213&gt;Valores!$F$33,Valores!$F$33,Valores!$C$33*D213)</f>
        <v>105.84</v>
      </c>
      <c r="AE213" s="116">
        <v>0</v>
      </c>
      <c r="AF213" s="77">
        <f>INT(((AE213*Valores!$C$2)*100)+0.5)/100</f>
        <v>0</v>
      </c>
      <c r="AG213" s="77">
        <f>IF(Valores!$D$58*'Escala Docente'!D213&gt;Valores!$F$58,Valores!$F$58,Valores!$D$58*'Escala Docente'!D213)</f>
        <v>430.5</v>
      </c>
      <c r="AH213" s="77">
        <f>IF(Valores!$D$60*D213&gt;Valores!$F$60,Valores!$F$60,Valores!$D$60*D213)</f>
        <v>123.06</v>
      </c>
      <c r="AI213" s="77">
        <f>SUM(H213,J213,L213,N213,O213,P213,Q213,R213,S213,T213,V213,W213,X213,Z213,AA213,AB213,AC213,AD213,AF213,AG213,AH213)*Valores!$C$63</f>
        <v>0</v>
      </c>
      <c r="AJ213" s="140">
        <f t="shared" si="40"/>
        <v>27890.029999999995</v>
      </c>
      <c r="AK213" s="61">
        <f>IF(Valores!$C$36*D213&gt;Valores!$F$36,Valores!$F$36,Valores!$C$36*D213)</f>
        <v>581.91</v>
      </c>
      <c r="AL213" s="79">
        <f>IF(Valores!$C$11*D213&gt;Valores!$F$11,Valores!$F$11,Valores!$C$11*D213)</f>
        <v>205.17</v>
      </c>
      <c r="AM213" s="89">
        <f>IF(Valores!$C$56*D213&gt;Valores!$F$56,Valores!$F$56,Valores!$C$56*D213)</f>
        <v>225.54</v>
      </c>
      <c r="AN213" s="79">
        <f>IF($H$4="SI",SUM(AL213+AM213),AL213)*Valores!$C$63</f>
        <v>0</v>
      </c>
      <c r="AO213" s="12">
        <f t="shared" si="44"/>
        <v>1012.6199999999999</v>
      </c>
      <c r="AP213" s="13">
        <f>AJ213*-Valores!$C$65</f>
        <v>-3625.7038999999995</v>
      </c>
      <c r="AQ213" s="13">
        <f>AJ213*-Valores!$C$66</f>
        <v>-139.45014999999998</v>
      </c>
      <c r="AR213" s="78">
        <f>AJ213*-Valores!$C$67</f>
        <v>-1255.0513499999997</v>
      </c>
      <c r="AS213" s="78">
        <f>AJ213*-Valores!$C$68</f>
        <v>-753.03081</v>
      </c>
      <c r="AT213" s="78">
        <f>AJ213*-Valores!$C$69</f>
        <v>-83.67008999999999</v>
      </c>
      <c r="AU213" s="15">
        <f t="shared" si="41"/>
        <v>23882.444599999995</v>
      </c>
      <c r="AV213" s="15">
        <f t="shared" si="42"/>
        <v>24300.795049999993</v>
      </c>
      <c r="AW213" s="78">
        <f>AJ213*Valores!$C$70</f>
        <v>4462.404799999999</v>
      </c>
      <c r="AX213" s="78">
        <f>AJ213*Valores!$C$71</f>
        <v>1255.0513499999997</v>
      </c>
      <c r="AY213" s="78">
        <f>AJ213*Valores!$C$73</f>
        <v>278.90029999999996</v>
      </c>
      <c r="AZ213" s="78">
        <f>AJ213*Valores!$C$74</f>
        <v>976.1510499999999</v>
      </c>
      <c r="BA213" s="78">
        <f>AJ213*Valores!$C$75</f>
        <v>167.34017999999998</v>
      </c>
      <c r="BB213" s="78">
        <f t="shared" si="45"/>
        <v>1506.0616199999997</v>
      </c>
      <c r="BC213" s="20"/>
      <c r="BD213" s="20">
        <f t="shared" si="36"/>
        <v>84</v>
      </c>
      <c r="BE213" s="9" t="s">
        <v>461</v>
      </c>
    </row>
    <row r="214" spans="1:57" s="9" customFormat="1" ht="11.25" customHeight="1">
      <c r="A214" s="20">
        <v>213</v>
      </c>
      <c r="B214" s="20"/>
      <c r="C214" s="9" t="s">
        <v>354</v>
      </c>
      <c r="D214" s="9">
        <v>22</v>
      </c>
      <c r="E214" s="9">
        <f t="shared" si="43"/>
        <v>37</v>
      </c>
      <c r="F214" s="10" t="str">
        <f t="shared" si="34"/>
        <v>Hora Cátedra Enseñanza Superior 22 hs</v>
      </c>
      <c r="G214" s="123">
        <f t="shared" si="35"/>
        <v>2178</v>
      </c>
      <c r="H214" s="7">
        <f>INT((G214*Valores!$C$2*100)+0.5)/100</f>
        <v>13066.48</v>
      </c>
      <c r="I214" s="134">
        <v>0</v>
      </c>
      <c r="J214" s="77">
        <f>INT((I214*Valores!$C$2*100)+0.5)/100</f>
        <v>0</v>
      </c>
      <c r="K214" s="146">
        <v>0</v>
      </c>
      <c r="L214" s="77">
        <f>INT((K214*Valores!$C$2*100)+0.5)/100</f>
        <v>0</v>
      </c>
      <c r="M214" s="120">
        <v>0</v>
      </c>
      <c r="N214" s="77">
        <f>INT((M214*Valores!$C$2*100)+0.5)/100</f>
        <v>0</v>
      </c>
      <c r="O214" s="77">
        <f t="shared" si="37"/>
        <v>0</v>
      </c>
      <c r="P214" s="77">
        <f t="shared" si="38"/>
        <v>6932.65</v>
      </c>
      <c r="Q214" s="61">
        <f>Valores!$C$14*D214</f>
        <v>3025.8799999999997</v>
      </c>
      <c r="R214" s="61">
        <f>IF(D214&lt;15,(Valores!$E$4*D214),Valores!$D$4)</f>
        <v>2683.49</v>
      </c>
      <c r="S214" s="77">
        <v>0</v>
      </c>
      <c r="T214" s="79">
        <f>IF(Valores!$C$45*D214&gt;Valores!$C$43,Valores!$C$43,Valores!$C$45*D214)</f>
        <v>798.82</v>
      </c>
      <c r="U214" s="61">
        <f>Valores!$C$22*D214</f>
        <v>1172.6</v>
      </c>
      <c r="V214" s="77">
        <f t="shared" si="33"/>
        <v>1758.8999999999999</v>
      </c>
      <c r="W214" s="77">
        <v>0</v>
      </c>
      <c r="X214" s="77">
        <v>0</v>
      </c>
      <c r="Y214" s="37">
        <v>0</v>
      </c>
      <c r="Z214" s="77">
        <f>Y214*Valores!$C$2</f>
        <v>0</v>
      </c>
      <c r="AA214" s="77">
        <v>0</v>
      </c>
      <c r="AB214" s="89">
        <f>IF((Valores!$C$32)*D214&gt;Valores!$F$32,Valores!$F$32,(Valores!$C$32)*D214)</f>
        <v>133.32</v>
      </c>
      <c r="AC214" s="77">
        <f t="shared" si="39"/>
        <v>0</v>
      </c>
      <c r="AD214" s="77">
        <f>IF(Valores!$C$33*D214&gt;Valores!$F$33,Valores!$F$33,Valores!$C$33*D214)</f>
        <v>110.88</v>
      </c>
      <c r="AE214" s="116">
        <v>0</v>
      </c>
      <c r="AF214" s="77">
        <f>INT(((AE214*Valores!$C$2)*100)+0.5)/100</f>
        <v>0</v>
      </c>
      <c r="AG214" s="77">
        <f>IF(Valores!$D$58*'Escala Docente'!D214&gt;Valores!$F$58,Valores!$F$58,Valores!$D$58*'Escala Docente'!D214)</f>
        <v>451</v>
      </c>
      <c r="AH214" s="77">
        <f>IF(Valores!$D$60*D214&gt;Valores!$F$60,Valores!$F$60,Valores!$D$60*D214)</f>
        <v>128.92000000000002</v>
      </c>
      <c r="AI214" s="77">
        <f>SUM(H214,J214,L214,N214,O214,P214,Q214,R214,S214,T214,V214,W214,X214,Z214,AA214,AB214,AC214,AD214,AF214,AG214,AH214)*Valores!$C$63</f>
        <v>0</v>
      </c>
      <c r="AJ214" s="140">
        <f t="shared" si="40"/>
        <v>29090.34</v>
      </c>
      <c r="AK214" s="61">
        <f>IF(Valores!$C$36*D214&gt;Valores!$F$36,Valores!$F$36,Valores!$C$36*D214)</f>
        <v>609.62</v>
      </c>
      <c r="AL214" s="79">
        <f>IF(Valores!$C$11*D214&gt;Valores!$F$11,Valores!$F$11,Valores!$C$11*D214)</f>
        <v>214.94</v>
      </c>
      <c r="AM214" s="89">
        <f>IF(Valores!$C$56*D214&gt;Valores!$F$56,Valores!$F$56,Valores!$C$56*D214)</f>
        <v>236.28</v>
      </c>
      <c r="AN214" s="79">
        <f>IF($H$4="SI",SUM(AL214+AM214),AL214)*Valores!$C$63</f>
        <v>0</v>
      </c>
      <c r="AO214" s="12">
        <f t="shared" si="44"/>
        <v>1060.84</v>
      </c>
      <c r="AP214" s="13">
        <f>AJ214*-Valores!$C$65</f>
        <v>-3781.7442</v>
      </c>
      <c r="AQ214" s="13">
        <f>AJ214*-Valores!$C$66</f>
        <v>-145.45170000000002</v>
      </c>
      <c r="AR214" s="78">
        <f>AJ214*-Valores!$C$67</f>
        <v>-1309.0653</v>
      </c>
      <c r="AS214" s="78">
        <f>AJ214*-Valores!$C$68</f>
        <v>-785.4391800000001</v>
      </c>
      <c r="AT214" s="78">
        <f>AJ214*-Valores!$C$69</f>
        <v>-87.27102000000001</v>
      </c>
      <c r="AU214" s="15">
        <f t="shared" si="41"/>
        <v>24914.9188</v>
      </c>
      <c r="AV214" s="15">
        <f t="shared" si="42"/>
        <v>25351.273899999997</v>
      </c>
      <c r="AW214" s="78">
        <f>AJ214*Valores!$C$70</f>
        <v>4654.4544000000005</v>
      </c>
      <c r="AX214" s="78">
        <f>AJ214*Valores!$C$71</f>
        <v>1309.0653</v>
      </c>
      <c r="AY214" s="78">
        <f>AJ214*Valores!$C$73</f>
        <v>290.90340000000003</v>
      </c>
      <c r="AZ214" s="78">
        <f>AJ214*Valores!$C$74</f>
        <v>1018.1619000000001</v>
      </c>
      <c r="BA214" s="78">
        <f>AJ214*Valores!$C$75</f>
        <v>174.54204000000001</v>
      </c>
      <c r="BB214" s="78">
        <f t="shared" si="45"/>
        <v>1570.8783600000002</v>
      </c>
      <c r="BC214" s="20"/>
      <c r="BD214" s="55">
        <f t="shared" si="36"/>
        <v>88</v>
      </c>
      <c r="BE214" s="9" t="s">
        <v>462</v>
      </c>
    </row>
    <row r="215" spans="1:57" s="9" customFormat="1" ht="11.25" customHeight="1">
      <c r="A215" s="20">
        <v>214</v>
      </c>
      <c r="B215" s="20"/>
      <c r="C215" s="9" t="s">
        <v>354</v>
      </c>
      <c r="D215" s="9">
        <v>23</v>
      </c>
      <c r="E215" s="9">
        <f t="shared" si="43"/>
        <v>37</v>
      </c>
      <c r="F215" s="10" t="str">
        <f t="shared" si="34"/>
        <v>Hora Cátedra Enseñanza Superior 23 hs</v>
      </c>
      <c r="G215" s="123">
        <f t="shared" si="35"/>
        <v>2277</v>
      </c>
      <c r="H215" s="7">
        <f>INT((G215*Valores!$C$2*100)+0.5)/100</f>
        <v>13660.42</v>
      </c>
      <c r="I215" s="134">
        <v>0</v>
      </c>
      <c r="J215" s="77">
        <f>INT((I215*Valores!$C$2*100)+0.5)/100</f>
        <v>0</v>
      </c>
      <c r="K215" s="146">
        <v>0</v>
      </c>
      <c r="L215" s="77">
        <f>INT((K215*Valores!$C$2*100)+0.5)/100</f>
        <v>0</v>
      </c>
      <c r="M215" s="120">
        <v>0</v>
      </c>
      <c r="N215" s="77">
        <f>INT((M215*Valores!$C$2*100)+0.5)/100</f>
        <v>0</v>
      </c>
      <c r="O215" s="77">
        <f t="shared" si="37"/>
        <v>0</v>
      </c>
      <c r="P215" s="77">
        <f t="shared" si="38"/>
        <v>7247.775</v>
      </c>
      <c r="Q215" s="61">
        <f>Valores!$C$14*D215</f>
        <v>3163.4199999999996</v>
      </c>
      <c r="R215" s="61">
        <f>IF(D215&lt;15,(Valores!$E$4*D215),Valores!$D$4)</f>
        <v>2683.49</v>
      </c>
      <c r="S215" s="77">
        <v>0</v>
      </c>
      <c r="T215" s="79">
        <f>IF(Valores!$C$45*D215&gt;Valores!$C$43,Valores!$C$43,Valores!$C$45*D215)</f>
        <v>835.1300000000001</v>
      </c>
      <c r="U215" s="61">
        <f>Valores!$C$22*D215</f>
        <v>1225.8999999999999</v>
      </c>
      <c r="V215" s="77">
        <f t="shared" si="33"/>
        <v>1838.85</v>
      </c>
      <c r="W215" s="77">
        <v>0</v>
      </c>
      <c r="X215" s="77">
        <v>0</v>
      </c>
      <c r="Y215" s="37">
        <v>0</v>
      </c>
      <c r="Z215" s="77">
        <f>Y215*Valores!$C$2</f>
        <v>0</v>
      </c>
      <c r="AA215" s="77">
        <v>0</v>
      </c>
      <c r="AB215" s="89">
        <f>IF((Valores!$C$32)*D215&gt;Valores!$F$32,Valores!$F$32,(Valores!$C$32)*D215)</f>
        <v>139.38</v>
      </c>
      <c r="AC215" s="77">
        <f t="shared" si="39"/>
        <v>0</v>
      </c>
      <c r="AD215" s="77">
        <f>IF(Valores!$C$33*D215&gt;Valores!$F$33,Valores!$F$33,Valores!$C$33*D215)</f>
        <v>115.92</v>
      </c>
      <c r="AE215" s="116">
        <v>0</v>
      </c>
      <c r="AF215" s="77">
        <f>INT(((AE215*Valores!$C$2)*100)+0.5)/100</f>
        <v>0</v>
      </c>
      <c r="AG215" s="77">
        <f>IF(Valores!$D$58*'Escala Docente'!D215&gt;Valores!$F$58,Valores!$F$58,Valores!$D$58*'Escala Docente'!D215)</f>
        <v>471.5</v>
      </c>
      <c r="AH215" s="77">
        <f>IF(Valores!$D$60*D215&gt;Valores!$F$60,Valores!$F$60,Valores!$D$60*D215)</f>
        <v>134.78</v>
      </c>
      <c r="AI215" s="77">
        <f>SUM(H215,J215,L215,N215,O215,P215,Q215,R215,S215,T215,V215,W215,X215,Z215,AA215,AB215,AC215,AD215,AF215,AG215,AH215)*Valores!$C$63</f>
        <v>0</v>
      </c>
      <c r="AJ215" s="140">
        <f t="shared" si="40"/>
        <v>30290.664999999994</v>
      </c>
      <c r="AK215" s="61">
        <f>IF(Valores!$C$36*D215&gt;Valores!$F$36,Valores!$F$36,Valores!$C$36*D215)</f>
        <v>637.33</v>
      </c>
      <c r="AL215" s="79">
        <f>IF(Valores!$C$11*D215&gt;Valores!$F$11,Valores!$F$11,Valores!$C$11*D215)</f>
        <v>224.70999999999998</v>
      </c>
      <c r="AM215" s="89">
        <f>IF(Valores!$C$56*D215&gt;Valores!$F$56,Valores!$F$56,Valores!$C$56*D215)</f>
        <v>247.02</v>
      </c>
      <c r="AN215" s="79">
        <f>IF($H$4="SI",SUM(AL215+AM215),AL215)*Valores!$C$63</f>
        <v>0</v>
      </c>
      <c r="AO215" s="12">
        <f t="shared" si="44"/>
        <v>1109.06</v>
      </c>
      <c r="AP215" s="13">
        <f>AJ215*-Valores!$C$65</f>
        <v>-3937.786449999999</v>
      </c>
      <c r="AQ215" s="13">
        <f>AJ215*-Valores!$C$66</f>
        <v>-151.45332499999998</v>
      </c>
      <c r="AR215" s="78">
        <f>AJ215*-Valores!$C$67</f>
        <v>-1363.0799249999995</v>
      </c>
      <c r="AS215" s="78">
        <f>AJ215*-Valores!$C$68</f>
        <v>-817.847955</v>
      </c>
      <c r="AT215" s="78">
        <f>AJ215*-Valores!$C$69</f>
        <v>-90.87199499999998</v>
      </c>
      <c r="AU215" s="15">
        <f t="shared" si="41"/>
        <v>25947.4053</v>
      </c>
      <c r="AV215" s="15">
        <f t="shared" si="42"/>
        <v>26401.765274999994</v>
      </c>
      <c r="AW215" s="78">
        <f>AJ215*Valores!$C$70</f>
        <v>4846.506399999999</v>
      </c>
      <c r="AX215" s="78">
        <f>AJ215*Valores!$C$71</f>
        <v>1363.0799249999995</v>
      </c>
      <c r="AY215" s="78">
        <f>AJ215*Valores!$C$73</f>
        <v>302.90664999999996</v>
      </c>
      <c r="AZ215" s="78">
        <f>AJ215*Valores!$C$74</f>
        <v>1060.1732749999999</v>
      </c>
      <c r="BA215" s="78">
        <f>AJ215*Valores!$C$75</f>
        <v>181.74398999999997</v>
      </c>
      <c r="BB215" s="78">
        <f t="shared" si="45"/>
        <v>1635.69591</v>
      </c>
      <c r="BC215" s="20"/>
      <c r="BD215" s="20">
        <f t="shared" si="36"/>
        <v>92</v>
      </c>
      <c r="BE215" s="9" t="s">
        <v>461</v>
      </c>
    </row>
    <row r="216" spans="1:57" s="9" customFormat="1" ht="11.25" customHeight="1">
      <c r="A216" s="55">
        <v>215</v>
      </c>
      <c r="B216" s="55" t="s">
        <v>458</v>
      </c>
      <c r="C216" s="52" t="s">
        <v>354</v>
      </c>
      <c r="D216" s="52">
        <v>24</v>
      </c>
      <c r="E216" s="52">
        <f t="shared" si="43"/>
        <v>37</v>
      </c>
      <c r="F216" s="53" t="str">
        <f t="shared" si="34"/>
        <v>Hora Cátedra Enseñanza Superior 24 hs</v>
      </c>
      <c r="G216" s="124">
        <f t="shared" si="35"/>
        <v>2376</v>
      </c>
      <c r="H216" s="129">
        <f>INT((G216*Valores!$C$2*100)+0.5)/100</f>
        <v>14254.35</v>
      </c>
      <c r="I216" s="133">
        <v>0</v>
      </c>
      <c r="J216" s="80">
        <f>INT((I216*Valores!$C$2*100)+0.5)/100</f>
        <v>0</v>
      </c>
      <c r="K216" s="147">
        <v>0</v>
      </c>
      <c r="L216" s="80">
        <f>INT((K216*Valores!$C$2*100)+0.5)/100</f>
        <v>0</v>
      </c>
      <c r="M216" s="121">
        <v>0</v>
      </c>
      <c r="N216" s="80">
        <f>INT((M216*Valores!$C$2*100)+0.5)/100</f>
        <v>0</v>
      </c>
      <c r="O216" s="80">
        <f t="shared" si="37"/>
        <v>0</v>
      </c>
      <c r="P216" s="80">
        <f t="shared" si="38"/>
        <v>7562.895</v>
      </c>
      <c r="Q216" s="85">
        <f>Valores!$C$14*D216</f>
        <v>3300.96</v>
      </c>
      <c r="R216" s="85">
        <f>IF(D216&lt;15,(Valores!$E$4*D216),Valores!$D$4)</f>
        <v>2683.49</v>
      </c>
      <c r="S216" s="80">
        <v>0</v>
      </c>
      <c r="T216" s="82">
        <f>IF(Valores!$C$45*D216&gt;Valores!$C$43,Valores!$C$43,Valores!$C$45*D216)</f>
        <v>871.44</v>
      </c>
      <c r="U216" s="85">
        <f>Valores!$C$22*D216</f>
        <v>1279.1999999999998</v>
      </c>
      <c r="V216" s="80">
        <f t="shared" si="33"/>
        <v>1918.7999999999997</v>
      </c>
      <c r="W216" s="80">
        <v>0</v>
      </c>
      <c r="X216" s="80">
        <v>0</v>
      </c>
      <c r="Y216" s="60">
        <v>0</v>
      </c>
      <c r="Z216" s="80">
        <f>Y216*Valores!$C$2</f>
        <v>0</v>
      </c>
      <c r="AA216" s="80">
        <v>0</v>
      </c>
      <c r="AB216" s="90">
        <f>IF((Valores!$C$32)*D216&gt;Valores!$F$32,Valores!$F$32,(Valores!$C$32)*D216)</f>
        <v>145.44</v>
      </c>
      <c r="AC216" s="80">
        <f t="shared" si="39"/>
        <v>0</v>
      </c>
      <c r="AD216" s="80">
        <f>IF(Valores!$C$33*D216&gt;Valores!$F$33,Valores!$F$33,Valores!$C$33*D216)</f>
        <v>120.96000000000001</v>
      </c>
      <c r="AE216" s="115">
        <v>0</v>
      </c>
      <c r="AF216" s="80">
        <f>INT(((AE216*Valores!$C$2)*100)+0.5)/100</f>
        <v>0</v>
      </c>
      <c r="AG216" s="80">
        <f>IF(Valores!$D$58*'Escala Docente'!D216&gt;Valores!$F$58,Valores!$F$58,Valores!$D$58*'Escala Docente'!D216)</f>
        <v>492</v>
      </c>
      <c r="AH216" s="80">
        <f>IF(Valores!$D$60*D216&gt;Valores!$F$60,Valores!$F$60,Valores!$D$60*D216)</f>
        <v>140.64000000000001</v>
      </c>
      <c r="AI216" s="80">
        <f>SUM(H216,J216,L216,N216,O216,P216,Q216,R216,S216,T216,V216,W216,X216,Z216,AA216,AB216,AC216,AD216,AF216,AG216,AH216)*Valores!$C$63</f>
        <v>0</v>
      </c>
      <c r="AJ216" s="141">
        <f t="shared" si="40"/>
        <v>31490.974999999995</v>
      </c>
      <c r="AK216" s="85">
        <f>IF(Valores!$C$36*D216&gt;Valores!$F$36,Valores!$F$36,Valores!$C$36*D216)</f>
        <v>665.04</v>
      </c>
      <c r="AL216" s="82">
        <f>IF(Valores!$C$11*D216&gt;Valores!$F$11,Valores!$F$11,Valores!$C$11*D216)</f>
        <v>234.48</v>
      </c>
      <c r="AM216" s="90">
        <f>IF(Valores!$C$56*D216&gt;Valores!$F$56,Valores!$F$56,Valores!$C$56*D216)</f>
        <v>257.67</v>
      </c>
      <c r="AN216" s="82">
        <f>IF($H$4="SI",SUM(AL216+AM216),AL216)*Valores!$C$63</f>
        <v>0</v>
      </c>
      <c r="AO216" s="185">
        <f t="shared" si="44"/>
        <v>1157.19</v>
      </c>
      <c r="AP216" s="154">
        <f>AJ216*-Valores!$C$65</f>
        <v>-4093.8267499999993</v>
      </c>
      <c r="AQ216" s="154">
        <f>AJ216*-Valores!$C$66</f>
        <v>-157.454875</v>
      </c>
      <c r="AR216" s="81">
        <f>AJ216*-Valores!$C$67</f>
        <v>-1417.0938749999998</v>
      </c>
      <c r="AS216" s="81">
        <f>AJ216*-Valores!$C$68</f>
        <v>-850.256325</v>
      </c>
      <c r="AT216" s="81">
        <f>AJ216*-Valores!$C$69</f>
        <v>-94.47292499999999</v>
      </c>
      <c r="AU216" s="54">
        <f t="shared" si="41"/>
        <v>26979.789499999995</v>
      </c>
      <c r="AV216" s="54">
        <f t="shared" si="42"/>
        <v>27452.154124999997</v>
      </c>
      <c r="AW216" s="81">
        <f>AJ216*Valores!$C$70</f>
        <v>5038.556</v>
      </c>
      <c r="AX216" s="81">
        <f>AJ216*Valores!$C$71</f>
        <v>1417.0938749999998</v>
      </c>
      <c r="AY216" s="81">
        <f>AJ216*Valores!$C$73</f>
        <v>314.90975</v>
      </c>
      <c r="AZ216" s="81">
        <f>AJ216*Valores!$C$74</f>
        <v>1102.184125</v>
      </c>
      <c r="BA216" s="81">
        <f>AJ216*Valores!$C$75</f>
        <v>188.94584999999998</v>
      </c>
      <c r="BB216" s="81">
        <f t="shared" si="45"/>
        <v>1700.51265</v>
      </c>
      <c r="BC216" s="55"/>
      <c r="BD216" s="55">
        <f t="shared" si="36"/>
        <v>96</v>
      </c>
      <c r="BE216" s="52" t="s">
        <v>461</v>
      </c>
    </row>
    <row r="217" spans="1:57" s="9" customFormat="1" ht="11.25" customHeight="1">
      <c r="A217" s="20">
        <v>216</v>
      </c>
      <c r="B217" s="20"/>
      <c r="C217" s="9" t="s">
        <v>354</v>
      </c>
      <c r="D217" s="9">
        <v>25</v>
      </c>
      <c r="E217" s="9">
        <f t="shared" si="43"/>
        <v>37</v>
      </c>
      <c r="F217" s="10" t="str">
        <f t="shared" si="34"/>
        <v>Hora Cátedra Enseñanza Superior 25 hs</v>
      </c>
      <c r="G217" s="123">
        <f t="shared" si="35"/>
        <v>2475</v>
      </c>
      <c r="H217" s="7">
        <f>INT((G217*Valores!$C$2*100)+0.5)/100</f>
        <v>14848.28</v>
      </c>
      <c r="I217" s="134">
        <v>0</v>
      </c>
      <c r="J217" s="77">
        <f>INT((I217*Valores!$C$2*100)+0.5)/100</f>
        <v>0</v>
      </c>
      <c r="K217" s="146">
        <v>0</v>
      </c>
      <c r="L217" s="77">
        <f>INT((K217*Valores!$C$2*100)+0.5)/100</f>
        <v>0</v>
      </c>
      <c r="M217" s="120">
        <v>0</v>
      </c>
      <c r="N217" s="77">
        <f>INT((M217*Valores!$C$2*100)+0.5)/100</f>
        <v>0</v>
      </c>
      <c r="O217" s="77">
        <f t="shared" si="37"/>
        <v>0</v>
      </c>
      <c r="P217" s="77">
        <f t="shared" si="38"/>
        <v>7878.015</v>
      </c>
      <c r="Q217" s="61">
        <f>Valores!$C$14*D217</f>
        <v>3438.5</v>
      </c>
      <c r="R217" s="61">
        <f>IF(D217&lt;15,(Valores!$E$4*D217),Valores!$D$4)</f>
        <v>2683.49</v>
      </c>
      <c r="S217" s="77">
        <v>0</v>
      </c>
      <c r="T217" s="79">
        <f>IF(Valores!$C$45*D217&gt;Valores!$C$43,Valores!$C$43,Valores!$C$45*D217)</f>
        <v>907.75</v>
      </c>
      <c r="U217" s="61">
        <f>Valores!$C$22*D217</f>
        <v>1332.5</v>
      </c>
      <c r="V217" s="77">
        <f t="shared" si="33"/>
        <v>1998.75</v>
      </c>
      <c r="W217" s="77">
        <v>0</v>
      </c>
      <c r="X217" s="77">
        <v>0</v>
      </c>
      <c r="Y217" s="37">
        <v>0</v>
      </c>
      <c r="Z217" s="77">
        <f>Y217*Valores!$C$2</f>
        <v>0</v>
      </c>
      <c r="AA217" s="77">
        <v>0</v>
      </c>
      <c r="AB217" s="89">
        <f>IF((Valores!$C$32)*D217&gt;Valores!$F$32,Valores!$F$32,(Valores!$C$32)*D217)</f>
        <v>151.5</v>
      </c>
      <c r="AC217" s="77">
        <f t="shared" si="39"/>
        <v>0</v>
      </c>
      <c r="AD217" s="77">
        <f>IF(Valores!$C$33*D217&gt;Valores!$F$33,Valores!$F$33,Valores!$C$33*D217)</f>
        <v>126</v>
      </c>
      <c r="AE217" s="116">
        <v>0</v>
      </c>
      <c r="AF217" s="77">
        <f>INT(((AE217*Valores!$C$2)*100)+0.5)/100</f>
        <v>0</v>
      </c>
      <c r="AG217" s="77">
        <f>IF(Valores!$D$58*'Escala Docente'!D217&gt;Valores!$F$58,Valores!$F$58,Valores!$D$58*'Escala Docente'!D217)</f>
        <v>512.5</v>
      </c>
      <c r="AH217" s="77">
        <f>IF(Valores!$D$60*D217&gt;Valores!$F$60,Valores!$F$60,Valores!$D$60*D217)</f>
        <v>146.5</v>
      </c>
      <c r="AI217" s="77">
        <f>SUM(H217,J217,L217,N217,O217,P217,Q217,R217,S217,T217,V217,W217,X217,Z217,AA217,AB217,AC217,AD217,AF217,AG217,AH217)*Valores!$C$63</f>
        <v>0</v>
      </c>
      <c r="AJ217" s="140">
        <f t="shared" si="40"/>
        <v>32691.285000000003</v>
      </c>
      <c r="AK217" s="61">
        <f>IF(Valores!$C$36*D217&gt;Valores!$F$36,Valores!$F$36,Valores!$C$36*D217)</f>
        <v>692.75</v>
      </c>
      <c r="AL217" s="79">
        <f>IF(Valores!$C$11*D217&gt;Valores!$F$11,Valores!$F$11,Valores!$C$11*D217)</f>
        <v>244.25</v>
      </c>
      <c r="AM217" s="89">
        <f>IF(Valores!$C$56*D217&gt;Valores!$F$56,Valores!$F$56,Valores!$C$56*D217)</f>
        <v>257.67</v>
      </c>
      <c r="AN217" s="79">
        <f>IF($H$4="SI",SUM(AL217+AM217),AL217)*Valores!$C$63</f>
        <v>0</v>
      </c>
      <c r="AO217" s="12">
        <f t="shared" si="44"/>
        <v>1194.67</v>
      </c>
      <c r="AP217" s="13">
        <f>AJ217*-Valores!$C$65</f>
        <v>-4249.867050000001</v>
      </c>
      <c r="AQ217" s="13">
        <f>AJ217*-Valores!$C$66</f>
        <v>-163.45642500000002</v>
      </c>
      <c r="AR217" s="78">
        <f>AJ217*-Valores!$C$67</f>
        <v>-1471.107825</v>
      </c>
      <c r="AS217" s="78">
        <f>AJ217*-Valores!$C$68</f>
        <v>-882.6646950000002</v>
      </c>
      <c r="AT217" s="78">
        <f>AJ217*-Valores!$C$69</f>
        <v>-98.07385500000001</v>
      </c>
      <c r="AU217" s="15">
        <f t="shared" si="41"/>
        <v>28001.523700000005</v>
      </c>
      <c r="AV217" s="15">
        <f t="shared" si="42"/>
        <v>28491.892975000006</v>
      </c>
      <c r="AW217" s="78">
        <f>AJ217*Valores!$C$70</f>
        <v>5230.605600000001</v>
      </c>
      <c r="AX217" s="78">
        <f>AJ217*Valores!$C$71</f>
        <v>1471.107825</v>
      </c>
      <c r="AY217" s="78">
        <f>AJ217*Valores!$C$73</f>
        <v>326.91285000000005</v>
      </c>
      <c r="AZ217" s="78">
        <f>AJ217*Valores!$C$74</f>
        <v>1144.1949750000003</v>
      </c>
      <c r="BA217" s="78">
        <f>AJ217*Valores!$C$75</f>
        <v>196.14771000000002</v>
      </c>
      <c r="BB217" s="78">
        <f t="shared" si="45"/>
        <v>1765.3293900000003</v>
      </c>
      <c r="BC217" s="20"/>
      <c r="BD217" s="20">
        <f t="shared" si="36"/>
        <v>100</v>
      </c>
      <c r="BE217" s="9" t="s">
        <v>461</v>
      </c>
    </row>
    <row r="218" spans="1:57" s="9" customFormat="1" ht="11.25" customHeight="1">
      <c r="A218" s="20">
        <v>217</v>
      </c>
      <c r="B218" s="20"/>
      <c r="C218" s="9" t="s">
        <v>354</v>
      </c>
      <c r="D218" s="9">
        <v>26</v>
      </c>
      <c r="E218" s="9">
        <f t="shared" si="43"/>
        <v>37</v>
      </c>
      <c r="F218" s="10" t="str">
        <f t="shared" si="34"/>
        <v>Hora Cátedra Enseñanza Superior 26 hs</v>
      </c>
      <c r="G218" s="123">
        <f t="shared" si="35"/>
        <v>2574</v>
      </c>
      <c r="H218" s="7">
        <f>INT((G218*Valores!$C$2*100)+0.5)/100</f>
        <v>15442.21</v>
      </c>
      <c r="I218" s="134">
        <v>0</v>
      </c>
      <c r="J218" s="77">
        <f>INT((I218*Valores!$C$2*100)+0.5)/100</f>
        <v>0</v>
      </c>
      <c r="K218" s="146">
        <v>0</v>
      </c>
      <c r="L218" s="77">
        <f>INT((K218*Valores!$C$2*100)+0.5)/100</f>
        <v>0</v>
      </c>
      <c r="M218" s="120">
        <v>0</v>
      </c>
      <c r="N218" s="77">
        <f>INT((M218*Valores!$C$2*100)+0.5)/100</f>
        <v>0</v>
      </c>
      <c r="O218" s="77">
        <f t="shared" si="37"/>
        <v>0</v>
      </c>
      <c r="P218" s="77">
        <f t="shared" si="38"/>
        <v>8193.135</v>
      </c>
      <c r="Q218" s="61">
        <f>Valores!$C$14*D218</f>
        <v>3576.04</v>
      </c>
      <c r="R218" s="61">
        <f>IF(D218&lt;15,(Valores!$E$4*D218),Valores!$D$4)</f>
        <v>2683.49</v>
      </c>
      <c r="S218" s="77">
        <v>0</v>
      </c>
      <c r="T218" s="79">
        <f>IF(Valores!$C$45*D218&gt;Valores!$C$43,Valores!$C$43,Valores!$C$45*D218)</f>
        <v>944.0600000000001</v>
      </c>
      <c r="U218" s="61">
        <f>Valores!$C$22*D218</f>
        <v>1385.8</v>
      </c>
      <c r="V218" s="77">
        <f t="shared" si="33"/>
        <v>2078.7</v>
      </c>
      <c r="W218" s="77">
        <v>0</v>
      </c>
      <c r="X218" s="77">
        <v>0</v>
      </c>
      <c r="Y218" s="37">
        <v>0</v>
      </c>
      <c r="Z218" s="77">
        <f>Y218*Valores!$C$2</f>
        <v>0</v>
      </c>
      <c r="AA218" s="77">
        <v>0</v>
      </c>
      <c r="AB218" s="89">
        <f>IF((Valores!$C$32)*D218&gt;Valores!$F$32,Valores!$F$32,(Valores!$C$32)*D218)</f>
        <v>157.56</v>
      </c>
      <c r="AC218" s="77">
        <f t="shared" si="39"/>
        <v>0</v>
      </c>
      <c r="AD218" s="77">
        <f>IF(Valores!$C$33*D218&gt;Valores!$F$33,Valores!$F$33,Valores!$C$33*D218)</f>
        <v>131.04</v>
      </c>
      <c r="AE218" s="116">
        <v>0</v>
      </c>
      <c r="AF218" s="77">
        <f>INT(((AE218*Valores!$C$2)*100)+0.5)/100</f>
        <v>0</v>
      </c>
      <c r="AG218" s="77">
        <f>IF(Valores!$D$58*'Escala Docente'!D218&gt;Valores!$F$58,Valores!$F$58,Valores!$D$58*'Escala Docente'!D218)</f>
        <v>533</v>
      </c>
      <c r="AH218" s="77">
        <f>IF(Valores!$D$60*D218&gt;Valores!$F$60,Valores!$F$60,Valores!$D$60*D218)</f>
        <v>152.36</v>
      </c>
      <c r="AI218" s="77">
        <f>SUM(H218,J218,L218,N218,O218,P218,Q218,R218,S218,T218,V218,W218,X218,Z218,AA218,AB218,AC218,AD218,AF218,AG218,AH218)*Valores!$C$63</f>
        <v>0</v>
      </c>
      <c r="AJ218" s="140">
        <f t="shared" si="40"/>
        <v>33891.595</v>
      </c>
      <c r="AK218" s="61">
        <f>IF(Valores!$C$36*D218&gt;Valores!$F$36,Valores!$F$36,Valores!$C$36*D218)</f>
        <v>720.46</v>
      </c>
      <c r="AL218" s="79">
        <f>IF(Valores!$C$11*D218&gt;Valores!$F$11,Valores!$F$11,Valores!$C$11*D218)</f>
        <v>254.01999999999998</v>
      </c>
      <c r="AM218" s="89">
        <f>IF(Valores!$C$56*D218&gt;Valores!$F$56,Valores!$F$56,Valores!$C$56*D218)</f>
        <v>257.67</v>
      </c>
      <c r="AN218" s="79">
        <f>IF($H$4="SI",SUM(AL218+AM218),AL218)*Valores!$C$63</f>
        <v>0</v>
      </c>
      <c r="AO218" s="12">
        <f t="shared" si="44"/>
        <v>1232.15</v>
      </c>
      <c r="AP218" s="13">
        <f>AJ218*-Valores!$C$65</f>
        <v>-4405.90735</v>
      </c>
      <c r="AQ218" s="13">
        <f>AJ218*-Valores!$C$66</f>
        <v>-169.457975</v>
      </c>
      <c r="AR218" s="78">
        <f>AJ218*-Valores!$C$67</f>
        <v>-1525.121775</v>
      </c>
      <c r="AS218" s="78">
        <f>AJ218*-Valores!$C$68</f>
        <v>-915.0730650000002</v>
      </c>
      <c r="AT218" s="78">
        <f>AJ218*-Valores!$C$69</f>
        <v>-101.674785</v>
      </c>
      <c r="AU218" s="15">
        <f t="shared" si="41"/>
        <v>29023.257900000004</v>
      </c>
      <c r="AV218" s="15">
        <f t="shared" si="42"/>
        <v>29531.631825000008</v>
      </c>
      <c r="AW218" s="78">
        <f>AJ218*Valores!$C$70</f>
        <v>5422.6552</v>
      </c>
      <c r="AX218" s="78">
        <f>AJ218*Valores!$C$71</f>
        <v>1525.121775</v>
      </c>
      <c r="AY218" s="78">
        <f>AJ218*Valores!$C$73</f>
        <v>338.91595</v>
      </c>
      <c r="AZ218" s="78">
        <f>AJ218*Valores!$C$74</f>
        <v>1186.2058250000002</v>
      </c>
      <c r="BA218" s="78">
        <f>AJ218*Valores!$C$75</f>
        <v>203.34957</v>
      </c>
      <c r="BB218" s="78">
        <f t="shared" si="45"/>
        <v>1830.14613</v>
      </c>
      <c r="BC218" s="20"/>
      <c r="BD218" s="20">
        <f t="shared" si="36"/>
        <v>104</v>
      </c>
      <c r="BE218" s="9" t="s">
        <v>461</v>
      </c>
    </row>
    <row r="219" spans="1:57" s="9" customFormat="1" ht="11.25" customHeight="1">
      <c r="A219" s="20">
        <v>218</v>
      </c>
      <c r="B219" s="20"/>
      <c r="C219" s="9" t="s">
        <v>354</v>
      </c>
      <c r="D219" s="9">
        <v>27</v>
      </c>
      <c r="E219" s="9">
        <f t="shared" si="43"/>
        <v>37</v>
      </c>
      <c r="F219" s="10" t="str">
        <f t="shared" si="34"/>
        <v>Hora Cátedra Enseñanza Superior 27 hs</v>
      </c>
      <c r="G219" s="123">
        <f t="shared" si="35"/>
        <v>2673</v>
      </c>
      <c r="H219" s="7">
        <f>INT((G219*Valores!$C$2*100)+0.5)/100</f>
        <v>16036.14</v>
      </c>
      <c r="I219" s="134">
        <v>0</v>
      </c>
      <c r="J219" s="77">
        <f>INT((I219*Valores!$C$2*100)+0.5)/100</f>
        <v>0</v>
      </c>
      <c r="K219" s="146">
        <v>0</v>
      </c>
      <c r="L219" s="77">
        <f>INT((K219*Valores!$C$2*100)+0.5)/100</f>
        <v>0</v>
      </c>
      <c r="M219" s="120">
        <v>0</v>
      </c>
      <c r="N219" s="77">
        <f>INT((M219*Valores!$C$2*100)+0.5)/100</f>
        <v>0</v>
      </c>
      <c r="O219" s="77">
        <f t="shared" si="37"/>
        <v>0</v>
      </c>
      <c r="P219" s="77">
        <f t="shared" si="38"/>
        <v>8508.255</v>
      </c>
      <c r="Q219" s="61">
        <f>Valores!$C$14*D219</f>
        <v>3713.58</v>
      </c>
      <c r="R219" s="61">
        <f>IF(D219&lt;15,(Valores!$E$4*D219),Valores!$D$4)</f>
        <v>2683.49</v>
      </c>
      <c r="S219" s="77">
        <v>0</v>
      </c>
      <c r="T219" s="79">
        <f>IF(Valores!$C$45*D219&gt;Valores!$C$43,Valores!$C$43,Valores!$C$45*D219)</f>
        <v>980.3700000000001</v>
      </c>
      <c r="U219" s="79">
        <f>Valores!$C$22*D219</f>
        <v>1439.1</v>
      </c>
      <c r="V219" s="77">
        <f t="shared" si="33"/>
        <v>2158.6499999999996</v>
      </c>
      <c r="W219" s="77">
        <v>0</v>
      </c>
      <c r="X219" s="77">
        <v>0</v>
      </c>
      <c r="Y219" s="37">
        <v>0</v>
      </c>
      <c r="Z219" s="77">
        <f>Y219*Valores!$C$2</f>
        <v>0</v>
      </c>
      <c r="AA219" s="77">
        <v>0</v>
      </c>
      <c r="AB219" s="89">
        <f>IF((Valores!$C$32)*D219&gt;Valores!$F$32,Valores!$F$32,(Valores!$C$32)*D219)</f>
        <v>163.61999999999998</v>
      </c>
      <c r="AC219" s="77">
        <f t="shared" si="39"/>
        <v>0</v>
      </c>
      <c r="AD219" s="77">
        <f>IF(Valores!$C$33*D219&gt;Valores!$F$33,Valores!$F$33,Valores!$C$33*D219)</f>
        <v>136.08</v>
      </c>
      <c r="AE219" s="116">
        <v>0</v>
      </c>
      <c r="AF219" s="77">
        <f>INT(((AE219*Valores!$C$2)*100)+0.5)/100</f>
        <v>0</v>
      </c>
      <c r="AG219" s="77">
        <f>IF(Valores!$D$58*'Escala Docente'!D219&gt;Valores!$F$58,Valores!$F$58,Valores!$D$58*'Escala Docente'!D219)</f>
        <v>553.5</v>
      </c>
      <c r="AH219" s="77">
        <f>IF(Valores!$D$60*D219&gt;Valores!$F$60,Valores!$F$60,Valores!$D$60*D219)</f>
        <v>158.22</v>
      </c>
      <c r="AI219" s="77">
        <f>SUM(H219,J219,L219,N219,O219,P219,Q219,R219,S219,T219,V219,W219,X219,Z219,AA219,AB219,AC219,AD219,AF219,AG219,AH219)*Valores!$C$63</f>
        <v>0</v>
      </c>
      <c r="AJ219" s="140">
        <f t="shared" si="40"/>
        <v>35091.905000000006</v>
      </c>
      <c r="AK219" s="61">
        <f>IF(Valores!$C$36*D219&gt;Valores!$F$36,Valores!$F$36,Valores!$C$36*D219)</f>
        <v>748.1700000000001</v>
      </c>
      <c r="AL219" s="79">
        <f>IF(Valores!$C$11*D219&gt;Valores!$F$11,Valores!$F$11,Valores!$C$11*D219)</f>
        <v>263.78999999999996</v>
      </c>
      <c r="AM219" s="89">
        <f>IF(Valores!$C$56*D219&gt;Valores!$F$56,Valores!$F$56,Valores!$C$56*D219)</f>
        <v>257.67</v>
      </c>
      <c r="AN219" s="79">
        <f>IF($H$4="SI",SUM(AL219+AM219),AL219)*Valores!$C$63</f>
        <v>0</v>
      </c>
      <c r="AO219" s="12">
        <f t="shared" si="44"/>
        <v>1269.63</v>
      </c>
      <c r="AP219" s="13">
        <f>AJ219*-Valores!$C$65</f>
        <v>-4561.947650000001</v>
      </c>
      <c r="AQ219" s="13">
        <f>AJ219*-Valores!$C$66</f>
        <v>-175.45952500000004</v>
      </c>
      <c r="AR219" s="78">
        <f>AJ219*-Valores!$C$67</f>
        <v>-1579.1357250000003</v>
      </c>
      <c r="AS219" s="78">
        <f>AJ219*-Valores!$C$68</f>
        <v>-947.4814350000003</v>
      </c>
      <c r="AT219" s="78">
        <f>AJ219*-Valores!$C$69</f>
        <v>-105.27571500000002</v>
      </c>
      <c r="AU219" s="15">
        <f t="shared" si="41"/>
        <v>30044.992100000003</v>
      </c>
      <c r="AV219" s="15">
        <f t="shared" si="42"/>
        <v>30571.370675000002</v>
      </c>
      <c r="AW219" s="78">
        <f>AJ219*Valores!$C$70</f>
        <v>5614.704800000001</v>
      </c>
      <c r="AX219" s="78">
        <f>AJ219*Valores!$C$71</f>
        <v>1579.1357250000003</v>
      </c>
      <c r="AY219" s="78">
        <f>AJ219*Valores!$C$73</f>
        <v>350.9190500000001</v>
      </c>
      <c r="AZ219" s="78">
        <f>AJ219*Valores!$C$74</f>
        <v>1228.2166750000004</v>
      </c>
      <c r="BA219" s="78">
        <f>AJ219*Valores!$C$75</f>
        <v>210.55143000000004</v>
      </c>
      <c r="BB219" s="78">
        <f t="shared" si="45"/>
        <v>1894.9628700000003</v>
      </c>
      <c r="BC219" s="20"/>
      <c r="BD219" s="20">
        <f t="shared" si="36"/>
        <v>108</v>
      </c>
      <c r="BE219" s="9" t="s">
        <v>461</v>
      </c>
    </row>
    <row r="220" spans="1:57" s="9" customFormat="1" ht="11.25" customHeight="1">
      <c r="A220" s="20">
        <v>219</v>
      </c>
      <c r="B220" s="20"/>
      <c r="C220" s="9" t="s">
        <v>354</v>
      </c>
      <c r="D220" s="9">
        <v>28</v>
      </c>
      <c r="E220" s="9">
        <f t="shared" si="43"/>
        <v>37</v>
      </c>
      <c r="F220" s="10" t="str">
        <f t="shared" si="34"/>
        <v>Hora Cátedra Enseñanza Superior 28 hs</v>
      </c>
      <c r="G220" s="123">
        <f t="shared" si="35"/>
        <v>2772</v>
      </c>
      <c r="H220" s="7">
        <f>INT((G220*Valores!$C$2*100)+0.5)/100</f>
        <v>16630.07</v>
      </c>
      <c r="I220" s="134">
        <v>0</v>
      </c>
      <c r="J220" s="77">
        <f>INT((I220*Valores!$C$2*100)+0.5)/100</f>
        <v>0</v>
      </c>
      <c r="K220" s="146">
        <v>0</v>
      </c>
      <c r="L220" s="77">
        <f>INT((K220*Valores!$C$2*100)+0.5)/100</f>
        <v>0</v>
      </c>
      <c r="M220" s="120">
        <v>0</v>
      </c>
      <c r="N220" s="77">
        <f>INT((M220*Valores!$C$2*100)+0.5)/100</f>
        <v>0</v>
      </c>
      <c r="O220" s="77">
        <f t="shared" si="37"/>
        <v>0</v>
      </c>
      <c r="P220" s="77">
        <f t="shared" si="38"/>
        <v>8823.375</v>
      </c>
      <c r="Q220" s="61">
        <f>Valores!$C$14*D220</f>
        <v>3851.12</v>
      </c>
      <c r="R220" s="61">
        <f>IF(D220&lt;15,(Valores!$E$4*D220),Valores!$D$4)</f>
        <v>2683.49</v>
      </c>
      <c r="S220" s="77">
        <v>0</v>
      </c>
      <c r="T220" s="79">
        <f>IF(Valores!$C$45*D220&gt;Valores!$C$43,Valores!$C$43,Valores!$C$45*D220)</f>
        <v>1016.6800000000001</v>
      </c>
      <c r="U220" s="61">
        <f>Valores!$C$22*D220</f>
        <v>1492.3999999999999</v>
      </c>
      <c r="V220" s="77">
        <f t="shared" si="33"/>
        <v>2238.6</v>
      </c>
      <c r="W220" s="77">
        <v>0</v>
      </c>
      <c r="X220" s="77">
        <v>0</v>
      </c>
      <c r="Y220" s="37">
        <v>0</v>
      </c>
      <c r="Z220" s="77">
        <f>Y220*Valores!$C$2</f>
        <v>0</v>
      </c>
      <c r="AA220" s="77">
        <v>0</v>
      </c>
      <c r="AB220" s="89">
        <f>IF((Valores!$C$32)*D220&gt;Valores!$F$32,Valores!$F$32,(Valores!$C$32)*D220)</f>
        <v>169.67999999999998</v>
      </c>
      <c r="AC220" s="77">
        <f t="shared" si="39"/>
        <v>0</v>
      </c>
      <c r="AD220" s="77">
        <f>IF(Valores!$C$33*D220&gt;Valores!$F$33,Valores!$F$33,Valores!$C$33*D220)</f>
        <v>141.12</v>
      </c>
      <c r="AE220" s="116">
        <v>0</v>
      </c>
      <c r="AF220" s="77">
        <f>INT(((AE220*Valores!$C$2)*100)+0.5)/100</f>
        <v>0</v>
      </c>
      <c r="AG220" s="77">
        <f>IF(Valores!$D$58*'Escala Docente'!D220&gt;Valores!$F$58,Valores!$F$58,Valores!$D$58*'Escala Docente'!D220)</f>
        <v>574</v>
      </c>
      <c r="AH220" s="77">
        <f>IF(Valores!$D$60*D220&gt;Valores!$F$60,Valores!$F$60,Valores!$D$60*D220)</f>
        <v>164.08</v>
      </c>
      <c r="AI220" s="77">
        <f>SUM(H220,J220,L220,N220,O220,P220,Q220,R220,S220,T220,V220,W220,X220,Z220,AA220,AB220,AC220,AD220,AF220,AG220,AH220)*Valores!$C$63</f>
        <v>0</v>
      </c>
      <c r="AJ220" s="140">
        <f t="shared" si="40"/>
        <v>36292.215000000004</v>
      </c>
      <c r="AK220" s="61">
        <f>IF(Valores!$C$36*D220&gt;Valores!$F$36,Valores!$F$36,Valores!$C$36*D220)</f>
        <v>775.88</v>
      </c>
      <c r="AL220" s="79">
        <f>IF(Valores!$C$11*D220&gt;Valores!$F$11,Valores!$F$11,Valores!$C$11*D220)</f>
        <v>273.56</v>
      </c>
      <c r="AM220" s="89">
        <f>IF(Valores!$C$56*D220&gt;Valores!$F$56,Valores!$F$56,Valores!$C$56*D220)</f>
        <v>257.67</v>
      </c>
      <c r="AN220" s="79">
        <f>IF($H$4="SI",SUM(AL220+AM220),AL220)*Valores!$C$63</f>
        <v>0</v>
      </c>
      <c r="AO220" s="12">
        <f t="shared" si="44"/>
        <v>1307.1100000000001</v>
      </c>
      <c r="AP220" s="13">
        <f>AJ220*-Valores!$C$65</f>
        <v>-4717.987950000001</v>
      </c>
      <c r="AQ220" s="13">
        <f>AJ220*-Valores!$C$66</f>
        <v>-181.46107500000002</v>
      </c>
      <c r="AR220" s="78">
        <f>AJ220*-Valores!$C$67</f>
        <v>-1633.1496750000001</v>
      </c>
      <c r="AS220" s="78">
        <f>AJ220*-Valores!$C$68</f>
        <v>-979.8898050000003</v>
      </c>
      <c r="AT220" s="78">
        <f>AJ220*-Valores!$C$69</f>
        <v>-108.87664500000001</v>
      </c>
      <c r="AU220" s="15">
        <f t="shared" si="41"/>
        <v>31066.726300000002</v>
      </c>
      <c r="AV220" s="15">
        <f t="shared" si="42"/>
        <v>31611.109525000003</v>
      </c>
      <c r="AW220" s="78">
        <f>AJ220*Valores!$C$70</f>
        <v>5806.754400000001</v>
      </c>
      <c r="AX220" s="78">
        <f>AJ220*Valores!$C$71</f>
        <v>1633.1496750000001</v>
      </c>
      <c r="AY220" s="78">
        <f>AJ220*Valores!$C$73</f>
        <v>362.92215000000004</v>
      </c>
      <c r="AZ220" s="78">
        <f>AJ220*Valores!$C$74</f>
        <v>1270.2275250000002</v>
      </c>
      <c r="BA220" s="78">
        <f>AJ220*Valores!$C$75</f>
        <v>217.75329000000002</v>
      </c>
      <c r="BB220" s="78">
        <f t="shared" si="45"/>
        <v>1959.7796100000005</v>
      </c>
      <c r="BC220" s="20"/>
      <c r="BD220" s="20">
        <f t="shared" si="36"/>
        <v>112</v>
      </c>
      <c r="BE220" s="9" t="s">
        <v>461</v>
      </c>
    </row>
    <row r="221" spans="1:57" s="9" customFormat="1" ht="11.25" customHeight="1">
      <c r="A221" s="55">
        <v>220</v>
      </c>
      <c r="B221" s="55" t="s">
        <v>458</v>
      </c>
      <c r="C221" s="52" t="s">
        <v>354</v>
      </c>
      <c r="D221" s="52">
        <v>29</v>
      </c>
      <c r="E221" s="52">
        <f t="shared" si="43"/>
        <v>37</v>
      </c>
      <c r="F221" s="53" t="str">
        <f t="shared" si="34"/>
        <v>Hora Cátedra Enseñanza Superior 29 hs</v>
      </c>
      <c r="G221" s="124">
        <f t="shared" si="35"/>
        <v>2871</v>
      </c>
      <c r="H221" s="129">
        <f>INT((G221*Valores!$C$2*100)+0.5)/100</f>
        <v>17224</v>
      </c>
      <c r="I221" s="133">
        <v>0</v>
      </c>
      <c r="J221" s="80">
        <f>INT((I221*Valores!$C$2*100)+0.5)/100</f>
        <v>0</v>
      </c>
      <c r="K221" s="147">
        <v>0</v>
      </c>
      <c r="L221" s="80">
        <f>INT((K221*Valores!$C$2*100)+0.5)/100</f>
        <v>0</v>
      </c>
      <c r="M221" s="121">
        <v>0</v>
      </c>
      <c r="N221" s="80">
        <f>INT((M221*Valores!$C$2*100)+0.5)/100</f>
        <v>0</v>
      </c>
      <c r="O221" s="80">
        <f t="shared" si="37"/>
        <v>0</v>
      </c>
      <c r="P221" s="80">
        <f t="shared" si="38"/>
        <v>9138.495</v>
      </c>
      <c r="Q221" s="85">
        <f>Valores!$C$14*D221</f>
        <v>3988.66</v>
      </c>
      <c r="R221" s="85">
        <f>IF(D221&lt;15,(Valores!$E$4*D221),Valores!$D$4)</f>
        <v>2683.49</v>
      </c>
      <c r="S221" s="80">
        <v>0</v>
      </c>
      <c r="T221" s="82">
        <f>IF(Valores!$C$45*D221&gt;Valores!$C$43,Valores!$C$43,Valores!$C$45*D221)</f>
        <v>1052.99</v>
      </c>
      <c r="U221" s="82">
        <f>Valores!$C$22*D221</f>
        <v>1545.6999999999998</v>
      </c>
      <c r="V221" s="80">
        <f t="shared" si="33"/>
        <v>2318.5499999999997</v>
      </c>
      <c r="W221" s="80">
        <v>0</v>
      </c>
      <c r="X221" s="80">
        <v>0</v>
      </c>
      <c r="Y221" s="60">
        <v>0</v>
      </c>
      <c r="Z221" s="80">
        <f>Y221*Valores!$C$2</f>
        <v>0</v>
      </c>
      <c r="AA221" s="80">
        <v>0</v>
      </c>
      <c r="AB221" s="90">
        <f>IF((Valores!$C$32)*D221&gt;Valores!$F$32,Valores!$F$32,(Valores!$C$32)*D221)</f>
        <v>175.73999999999998</v>
      </c>
      <c r="AC221" s="80">
        <f t="shared" si="39"/>
        <v>0</v>
      </c>
      <c r="AD221" s="80">
        <f>IF(Valores!$C$33*D221&gt;Valores!$F$33,Valores!$F$33,Valores!$C$33*D221)</f>
        <v>146.16</v>
      </c>
      <c r="AE221" s="115">
        <v>0</v>
      </c>
      <c r="AF221" s="80">
        <f>INT(((AE221*Valores!$C$2)*100)+0.5)/100</f>
        <v>0</v>
      </c>
      <c r="AG221" s="80">
        <f>IF(Valores!$D$58*'Escala Docente'!D221&gt;Valores!$F$58,Valores!$F$58,Valores!$D$58*'Escala Docente'!D221)</f>
        <v>594.5</v>
      </c>
      <c r="AH221" s="80">
        <f>IF(Valores!$D$60*D221&gt;Valores!$F$60,Valores!$F$60,Valores!$D$60*D221)</f>
        <v>169.94</v>
      </c>
      <c r="AI221" s="80">
        <f>SUM(H221,J221,L221,N221,O221,P221,Q221,R221,S221,T221,V221,W221,X221,Z221,AA221,AB221,AC221,AD221,AF221,AG221,AH221)*Valores!$C$63</f>
        <v>0</v>
      </c>
      <c r="AJ221" s="141">
        <f t="shared" si="40"/>
        <v>37492.52500000001</v>
      </c>
      <c r="AK221" s="85">
        <f>IF(Valores!$C$36*D221&gt;Valores!$F$36,Valores!$F$36,Valores!$C$36*D221)</f>
        <v>803.59</v>
      </c>
      <c r="AL221" s="82">
        <f>IF(Valores!$C$11*D221&gt;Valores!$F$11,Valores!$F$11,Valores!$C$11*D221)</f>
        <v>283.33</v>
      </c>
      <c r="AM221" s="90">
        <f>IF(Valores!$C$56*D221&gt;Valores!$F$56,Valores!$F$56,Valores!$C$56*D221)</f>
        <v>257.67</v>
      </c>
      <c r="AN221" s="82">
        <f>IF($H$4="SI",SUM(AL221+AM221),AL221)*Valores!$C$63</f>
        <v>0</v>
      </c>
      <c r="AO221" s="185">
        <f t="shared" si="44"/>
        <v>1344.5900000000001</v>
      </c>
      <c r="AP221" s="154">
        <f>AJ221*-Valores!$C$65</f>
        <v>-4874.028250000001</v>
      </c>
      <c r="AQ221" s="154">
        <f>AJ221*-Valores!$C$66</f>
        <v>-187.46262500000006</v>
      </c>
      <c r="AR221" s="81">
        <f>AJ221*-Valores!$C$67</f>
        <v>-1687.1636250000004</v>
      </c>
      <c r="AS221" s="81">
        <f>AJ221*-Valores!$C$68</f>
        <v>-1012.2981750000004</v>
      </c>
      <c r="AT221" s="81">
        <f>AJ221*-Valores!$C$69</f>
        <v>-112.47757500000003</v>
      </c>
      <c r="AU221" s="54">
        <f t="shared" si="41"/>
        <v>32088.4605</v>
      </c>
      <c r="AV221" s="54">
        <f t="shared" si="42"/>
        <v>32650.848374999998</v>
      </c>
      <c r="AW221" s="81">
        <f>AJ221*Valores!$C$70</f>
        <v>5998.804000000002</v>
      </c>
      <c r="AX221" s="81">
        <f>AJ221*Valores!$C$71</f>
        <v>1687.1636250000004</v>
      </c>
      <c r="AY221" s="81">
        <f>AJ221*Valores!$C$73</f>
        <v>374.9252500000001</v>
      </c>
      <c r="AZ221" s="81">
        <f>AJ221*Valores!$C$74</f>
        <v>1312.2383750000004</v>
      </c>
      <c r="BA221" s="81">
        <f>AJ221*Valores!$C$75</f>
        <v>224.95515000000006</v>
      </c>
      <c r="BB221" s="81">
        <f t="shared" si="45"/>
        <v>2024.5963500000007</v>
      </c>
      <c r="BC221" s="55"/>
      <c r="BD221" s="55">
        <f t="shared" si="36"/>
        <v>116</v>
      </c>
      <c r="BE221" s="52" t="s">
        <v>461</v>
      </c>
    </row>
    <row r="222" spans="1:57" s="9" customFormat="1" ht="11.25" customHeight="1" thickBot="1">
      <c r="A222" s="20">
        <v>221</v>
      </c>
      <c r="B222" s="20"/>
      <c r="C222" s="9" t="s">
        <v>354</v>
      </c>
      <c r="D222" s="9">
        <v>30</v>
      </c>
      <c r="E222" s="9">
        <f t="shared" si="43"/>
        <v>37</v>
      </c>
      <c r="F222" s="10" t="str">
        <f t="shared" si="34"/>
        <v>Hora Cátedra Enseñanza Superior 30 hs</v>
      </c>
      <c r="G222" s="123">
        <f t="shared" si="35"/>
        <v>2970</v>
      </c>
      <c r="H222" s="7">
        <f>INT((G222*Valores!$C$2*100)+0.5)/100</f>
        <v>17817.93</v>
      </c>
      <c r="I222" s="134">
        <v>0</v>
      </c>
      <c r="J222" s="77">
        <f>INT((I222*Valores!$C$2*100)+0.5)/100</f>
        <v>0</v>
      </c>
      <c r="K222" s="146">
        <v>0</v>
      </c>
      <c r="L222" s="77">
        <f>INT((K222*Valores!$C$2*100)+0.5)/100</f>
        <v>0</v>
      </c>
      <c r="M222" s="120">
        <v>0</v>
      </c>
      <c r="N222" s="77">
        <f>INT((M222*Valores!$C$2*100)+0.5)/100</f>
        <v>0</v>
      </c>
      <c r="O222" s="77">
        <f t="shared" si="37"/>
        <v>0</v>
      </c>
      <c r="P222" s="77">
        <f t="shared" si="38"/>
        <v>9453.615</v>
      </c>
      <c r="Q222" s="61">
        <f>Valores!$C$14*D222</f>
        <v>4126.2</v>
      </c>
      <c r="R222" s="61">
        <f>IF(D222&lt;15,(Valores!$E$4*D222),Valores!$D$4)</f>
        <v>2683.49</v>
      </c>
      <c r="S222" s="77">
        <v>0</v>
      </c>
      <c r="T222" s="79">
        <f>IF(Valores!$C$45*D222&gt;Valores!$C$43,Valores!$C$43,Valores!$C$45*D222)</f>
        <v>1089.3000000000002</v>
      </c>
      <c r="U222" s="61">
        <f>Valores!$C$22*D222</f>
        <v>1599</v>
      </c>
      <c r="V222" s="77">
        <f t="shared" si="33"/>
        <v>2398.5</v>
      </c>
      <c r="W222" s="77">
        <v>0</v>
      </c>
      <c r="X222" s="77">
        <v>0</v>
      </c>
      <c r="Y222" s="37">
        <v>0</v>
      </c>
      <c r="Z222" s="77">
        <f>Y222*Valores!$C$2</f>
        <v>0</v>
      </c>
      <c r="AA222" s="77">
        <v>0</v>
      </c>
      <c r="AB222" s="89">
        <f>IF((Valores!$C$32)*D222&gt;Valores!$F$32,Valores!$F$32,(Valores!$C$32)*D222)</f>
        <v>181.79999999999998</v>
      </c>
      <c r="AC222" s="77">
        <f t="shared" si="39"/>
        <v>0</v>
      </c>
      <c r="AD222" s="77">
        <f>IF(Valores!$C$33*D222&gt;Valores!$F$33,Valores!$F$33,Valores!$C$33*D222)</f>
        <v>151.15</v>
      </c>
      <c r="AE222" s="116">
        <v>0</v>
      </c>
      <c r="AF222" s="77">
        <f>INT(((AE222*Valores!$C$2)*100)+0.5)/100</f>
        <v>0</v>
      </c>
      <c r="AG222" s="77">
        <f>IF(Valores!$D$58*'Escala Docente'!D222&gt;Valores!$F$58,Valores!$F$58,Valores!$D$58*'Escala Docente'!D222)</f>
        <v>614.92</v>
      </c>
      <c r="AH222" s="77">
        <f>IF(Valores!$D$60*D222&gt;Valores!$F$60,Valores!$F$60,Valores!$D$60*D222)</f>
        <v>175.7</v>
      </c>
      <c r="AI222" s="77">
        <f>SUM(H222,J222,L222,N222,O222,P222,Q222,R222,S222,T222,V222,W222,X222,Z222,AA222,AB222,AC222,AD222,AF222,AG222,AH222)*Valores!$C$63</f>
        <v>0</v>
      </c>
      <c r="AJ222" s="140">
        <f t="shared" si="40"/>
        <v>38692.605</v>
      </c>
      <c r="AK222" s="61">
        <f>IF(Valores!$C$36*D222&gt;Valores!$F$36,Valores!$F$36,Valores!$C$36*D222)</f>
        <v>831.18</v>
      </c>
      <c r="AL222" s="79">
        <f>IF(Valores!$C$11*D222&gt;Valores!$F$11,Valores!$F$11,Valores!$C$11*D222)</f>
        <v>293.09999999999997</v>
      </c>
      <c r="AM222" s="89">
        <f>IF(Valores!$C$56*D222&gt;Valores!$F$56,Valores!$F$56,Valores!$C$56*D222)</f>
        <v>257.67</v>
      </c>
      <c r="AN222" s="79">
        <f>IF($H$4="SI",SUM(AL222+AM222),AL222)*Valores!$C$63</f>
        <v>0</v>
      </c>
      <c r="AO222" s="12">
        <f t="shared" si="44"/>
        <v>1381.95</v>
      </c>
      <c r="AP222" s="13">
        <f>AJ222*-Valores!$C$65</f>
        <v>-5030.03865</v>
      </c>
      <c r="AQ222" s="13">
        <f>AJ222*-Valores!$C$66</f>
        <v>-193.46302500000002</v>
      </c>
      <c r="AR222" s="78">
        <f>AJ222*-Valores!$C$67</f>
        <v>-1741.1672250000001</v>
      </c>
      <c r="AS222" s="78">
        <f>AJ222*-Valores!$C$68</f>
        <v>-1044.7003350000002</v>
      </c>
      <c r="AT222" s="78">
        <f>AJ222*-Valores!$C$69</f>
        <v>-116.07781500000002</v>
      </c>
      <c r="AU222" s="15">
        <f t="shared" si="41"/>
        <v>33109.8861</v>
      </c>
      <c r="AV222" s="15">
        <f t="shared" si="42"/>
        <v>33690.275175</v>
      </c>
      <c r="AW222" s="78">
        <f>AJ222*Valores!$C$70</f>
        <v>6190.8168000000005</v>
      </c>
      <c r="AX222" s="78">
        <f>AJ222*Valores!$C$71</f>
        <v>1741.1672250000001</v>
      </c>
      <c r="AY222" s="78">
        <f>AJ222*Valores!$C$73</f>
        <v>386.92605000000003</v>
      </c>
      <c r="AZ222" s="78">
        <f>AJ222*Valores!$C$74</f>
        <v>1354.2411750000003</v>
      </c>
      <c r="BA222" s="78">
        <f>AJ222*Valores!$C$75</f>
        <v>232.15563000000003</v>
      </c>
      <c r="BB222" s="78">
        <f t="shared" si="45"/>
        <v>2089.4006700000004</v>
      </c>
      <c r="BC222" s="20"/>
      <c r="BD222" s="110">
        <f t="shared" si="36"/>
        <v>120</v>
      </c>
      <c r="BE222" s="9" t="s">
        <v>461</v>
      </c>
    </row>
    <row r="223" spans="1:57" s="9" customFormat="1" ht="11.25" customHeight="1" thickBot="1" thickTop="1">
      <c r="A223" s="20">
        <v>222</v>
      </c>
      <c r="B223" s="20"/>
      <c r="C223" s="9" t="s">
        <v>354</v>
      </c>
      <c r="D223" s="9">
        <v>31</v>
      </c>
      <c r="E223" s="9">
        <f t="shared" si="43"/>
        <v>37</v>
      </c>
      <c r="F223" s="10" t="str">
        <f t="shared" si="34"/>
        <v>Hora Cátedra Enseñanza Superior 31 hs</v>
      </c>
      <c r="G223" s="123">
        <f t="shared" si="35"/>
        <v>3069</v>
      </c>
      <c r="H223" s="7">
        <f>INT((G223*Valores!$C$2*100)+0.5)/100</f>
        <v>18411.86</v>
      </c>
      <c r="I223" s="134">
        <v>0</v>
      </c>
      <c r="J223" s="77">
        <f>INT((I223*Valores!$C$2*100)+0.5)/100</f>
        <v>0</v>
      </c>
      <c r="K223" s="146">
        <v>0</v>
      </c>
      <c r="L223" s="77">
        <f>INT((K223*Valores!$C$2*100)+0.5)/100</f>
        <v>0</v>
      </c>
      <c r="M223" s="120">
        <v>0</v>
      </c>
      <c r="N223" s="77">
        <f>INT((M223*Valores!$C$2*100)+0.5)/100</f>
        <v>0</v>
      </c>
      <c r="O223" s="77">
        <f t="shared" si="37"/>
        <v>0</v>
      </c>
      <c r="P223" s="77">
        <f t="shared" si="38"/>
        <v>9768.735</v>
      </c>
      <c r="Q223" s="61">
        <f>Valores!$C$14*D223</f>
        <v>4263.74</v>
      </c>
      <c r="R223" s="61">
        <f>IF(D223&lt;15,(Valores!$E$4*D223),Valores!$D$4)</f>
        <v>2683.49</v>
      </c>
      <c r="S223" s="77">
        <v>0</v>
      </c>
      <c r="T223" s="79">
        <f>IF(Valores!$C$45*D223&gt;Valores!$C$43,Valores!$C$43,Valores!$C$45*D223)</f>
        <v>1125.6100000000001</v>
      </c>
      <c r="U223" s="79">
        <f>Valores!$C$22*D223</f>
        <v>1652.3</v>
      </c>
      <c r="V223" s="77">
        <f t="shared" si="33"/>
        <v>2478.45</v>
      </c>
      <c r="W223" s="77">
        <v>0</v>
      </c>
      <c r="X223" s="77">
        <v>0</v>
      </c>
      <c r="Y223" s="37">
        <v>0</v>
      </c>
      <c r="Z223" s="77">
        <f>Y223*Valores!$C$2</f>
        <v>0</v>
      </c>
      <c r="AA223" s="77">
        <v>0</v>
      </c>
      <c r="AB223" s="89">
        <f>IF((Valores!$C$32)*D223&gt;Valores!$F$32,Valores!$F$32,(Valores!$C$32)*D223)</f>
        <v>187.85999999999999</v>
      </c>
      <c r="AC223" s="77">
        <f t="shared" si="39"/>
        <v>0</v>
      </c>
      <c r="AD223" s="77">
        <f>IF(Valores!$C$33*D223&gt;Valores!$F$33,Valores!$F$33,Valores!$C$33*D223)</f>
        <v>151.15</v>
      </c>
      <c r="AE223" s="116">
        <v>0</v>
      </c>
      <c r="AF223" s="77">
        <f>INT(((AE223*Valores!$C$2)*100)+0.5)/100</f>
        <v>0</v>
      </c>
      <c r="AG223" s="77">
        <f>IF(Valores!$D$58*'Escala Docente'!D223&gt;Valores!$F$58,Valores!$F$58,Valores!$D$58*'Escala Docente'!D223)</f>
        <v>614.92</v>
      </c>
      <c r="AH223" s="77">
        <f>IF(Valores!$D$60*D223&gt;Valores!$F$60,Valores!$F$60,Valores!$D$60*D223)</f>
        <v>175.7</v>
      </c>
      <c r="AI223" s="77">
        <f>SUM(H223,J223,L223,N223,O223,P223,Q223,R223,S223,T223,V223,W223,X223,Z223,AA223,AB223,AC223,AD223,AF223,AG223,AH223)*Valores!$C$63</f>
        <v>0</v>
      </c>
      <c r="AJ223" s="140">
        <f t="shared" si="40"/>
        <v>39861.51499999999</v>
      </c>
      <c r="AK223" s="61">
        <f>IF(Valores!$C$36*D223&gt;Valores!$F$36,Valores!$F$36,Valores!$C$36*D223)</f>
        <v>831.18</v>
      </c>
      <c r="AL223" s="79">
        <f>IF(Valores!$C$11*D223&gt;Valores!$F$11,Valores!$F$11,Valores!$C$11*D223)</f>
        <v>302.87</v>
      </c>
      <c r="AM223" s="89">
        <f>IF(Valores!$C$56*D223&gt;Valores!$F$56,Valores!$F$56,Valores!$C$56*D223)</f>
        <v>257.67</v>
      </c>
      <c r="AN223" s="79">
        <f>IF($H$4="SI",SUM(AL223+AM223),AL223)*Valores!$C$63</f>
        <v>0</v>
      </c>
      <c r="AO223" s="12">
        <f t="shared" si="44"/>
        <v>1391.72</v>
      </c>
      <c r="AP223" s="13">
        <f>AJ223*-Valores!$C$65</f>
        <v>-5181.996949999999</v>
      </c>
      <c r="AQ223" s="13">
        <f>AJ223*-Valores!$C$66</f>
        <v>-199.30757499999996</v>
      </c>
      <c r="AR223" s="78">
        <f>AJ223*-Valores!$C$67</f>
        <v>-1793.7681749999995</v>
      </c>
      <c r="AS223" s="78">
        <f>AJ223*-Valores!$C$68</f>
        <v>-1076.2609049999999</v>
      </c>
      <c r="AT223" s="78">
        <f>AJ223*-Valores!$C$69</f>
        <v>-119.58454499999998</v>
      </c>
      <c r="AU223" s="15">
        <f t="shared" si="41"/>
        <v>34078.162299999996</v>
      </c>
      <c r="AV223" s="15">
        <f t="shared" si="42"/>
        <v>34676.08502499999</v>
      </c>
      <c r="AW223" s="78">
        <f>AJ223*Valores!$C$70</f>
        <v>6377.842399999999</v>
      </c>
      <c r="AX223" s="78">
        <f>AJ223*Valores!$C$71</f>
        <v>1793.7681749999995</v>
      </c>
      <c r="AY223" s="78">
        <f>AJ223*Valores!$C$73</f>
        <v>398.6151499999999</v>
      </c>
      <c r="AZ223" s="78">
        <f>AJ223*Valores!$C$74</f>
        <v>1395.1530249999998</v>
      </c>
      <c r="BA223" s="78">
        <f>AJ223*Valores!$C$75</f>
        <v>239.16908999999995</v>
      </c>
      <c r="BB223" s="78">
        <f t="shared" si="45"/>
        <v>2152.5218099999997</v>
      </c>
      <c r="BC223" s="20"/>
      <c r="BD223" s="110">
        <f t="shared" si="36"/>
        <v>124</v>
      </c>
      <c r="BE223" s="9" t="s">
        <v>461</v>
      </c>
    </row>
    <row r="224" spans="1:57" s="9" customFormat="1" ht="11.25" customHeight="1" thickTop="1">
      <c r="A224" s="20">
        <v>223</v>
      </c>
      <c r="B224" s="20"/>
      <c r="C224" s="9" t="s">
        <v>354</v>
      </c>
      <c r="D224" s="9">
        <v>32</v>
      </c>
      <c r="E224" s="9">
        <f t="shared" si="43"/>
        <v>37</v>
      </c>
      <c r="F224" s="10" t="str">
        <f t="shared" si="34"/>
        <v>Hora Cátedra Enseñanza Superior 32 hs</v>
      </c>
      <c r="G224" s="123">
        <f t="shared" si="35"/>
        <v>3168</v>
      </c>
      <c r="H224" s="7">
        <f>INT((G224*Valores!$C$2*100)+0.5)/100</f>
        <v>19005.8</v>
      </c>
      <c r="I224" s="134">
        <v>0</v>
      </c>
      <c r="J224" s="77">
        <f>INT((I224*Valores!$C$2*100)+0.5)/100</f>
        <v>0</v>
      </c>
      <c r="K224" s="146">
        <v>0</v>
      </c>
      <c r="L224" s="77">
        <f>INT((K224*Valores!$C$2*100)+0.5)/100</f>
        <v>0</v>
      </c>
      <c r="M224" s="120">
        <v>0</v>
      </c>
      <c r="N224" s="77">
        <f>INT((M224*Valores!$C$2*100)+0.5)/100</f>
        <v>0</v>
      </c>
      <c r="O224" s="77">
        <f t="shared" si="37"/>
        <v>0</v>
      </c>
      <c r="P224" s="77">
        <f t="shared" si="38"/>
        <v>10083.86</v>
      </c>
      <c r="Q224" s="61">
        <f>Valores!$C$14*D224</f>
        <v>4401.28</v>
      </c>
      <c r="R224" s="61">
        <f>IF(D224&lt;15,(Valores!$E$4*D224),Valores!$D$4)</f>
        <v>2683.49</v>
      </c>
      <c r="S224" s="77">
        <v>0</v>
      </c>
      <c r="T224" s="79">
        <f>IF(Valores!$C$45*D224&gt;Valores!$C$43,Valores!$C$43,Valores!$C$45*D224)</f>
        <v>1161.92</v>
      </c>
      <c r="U224" s="61">
        <f>Valores!$C$22*D224</f>
        <v>1705.6</v>
      </c>
      <c r="V224" s="77">
        <f t="shared" si="33"/>
        <v>2558.3999999999996</v>
      </c>
      <c r="W224" s="77">
        <v>0</v>
      </c>
      <c r="X224" s="77">
        <v>0</v>
      </c>
      <c r="Y224" s="37">
        <v>0</v>
      </c>
      <c r="Z224" s="77">
        <f>Y224*Valores!$C$2</f>
        <v>0</v>
      </c>
      <c r="AA224" s="77">
        <v>0</v>
      </c>
      <c r="AB224" s="89">
        <f>IF((Valores!$C$32)*D224&gt;Valores!$F$32,Valores!$F$32,(Valores!$C$32)*D224)</f>
        <v>193.92</v>
      </c>
      <c r="AC224" s="77">
        <f t="shared" si="39"/>
        <v>0</v>
      </c>
      <c r="AD224" s="77">
        <f>IF(Valores!$C$33*D224&gt;Valores!$F$33,Valores!$F$33,Valores!$C$33*D224)</f>
        <v>151.15</v>
      </c>
      <c r="AE224" s="116">
        <v>0</v>
      </c>
      <c r="AF224" s="77">
        <f>INT(((AE224*Valores!$C$2)*100)+0.5)/100</f>
        <v>0</v>
      </c>
      <c r="AG224" s="77">
        <f>IF(Valores!$D$58*'Escala Docente'!D224&gt;Valores!$F$58,Valores!$F$58,Valores!$D$58*'Escala Docente'!D224)</f>
        <v>614.92</v>
      </c>
      <c r="AH224" s="77">
        <f>IF(Valores!$D$60*D224&gt;Valores!$F$60,Valores!$F$60,Valores!$D$60*D224)</f>
        <v>175.7</v>
      </c>
      <c r="AI224" s="77">
        <f>SUM(H224,J224,L224,N224,O224,P224,Q224,R224,S224,T224,V224,W224,X224,Z224,AA224,AB224,AC224,AD224,AF224,AG224,AH224)*Valores!$C$63</f>
        <v>0</v>
      </c>
      <c r="AJ224" s="140">
        <f t="shared" si="40"/>
        <v>41030.439999999995</v>
      </c>
      <c r="AK224" s="61">
        <f>IF(Valores!$C$36*D224&gt;Valores!$F$36,Valores!$F$36,Valores!$C$36*D224)</f>
        <v>831.18</v>
      </c>
      <c r="AL224" s="79">
        <f>IF(Valores!$C$11*D224&gt;Valores!$F$11,Valores!$F$11,Valores!$C$11*D224)</f>
        <v>312.64</v>
      </c>
      <c r="AM224" s="89">
        <f>IF(Valores!$C$56*D224&gt;Valores!$F$56,Valores!$F$56,Valores!$C$56*D224)</f>
        <v>257.67</v>
      </c>
      <c r="AN224" s="79">
        <f>IF($H$4="SI",SUM(AL224+AM224),AL224)*Valores!$C$63</f>
        <v>0</v>
      </c>
      <c r="AO224" s="12">
        <f t="shared" si="44"/>
        <v>1401.49</v>
      </c>
      <c r="AP224" s="13">
        <f>AJ224*-Valores!$C$65</f>
        <v>-5333.9572</v>
      </c>
      <c r="AQ224" s="13">
        <f>AJ224*-Valores!$C$66</f>
        <v>-205.1522</v>
      </c>
      <c r="AR224" s="78">
        <f>AJ224*-Valores!$C$67</f>
        <v>-1846.3697999999997</v>
      </c>
      <c r="AS224" s="78">
        <f>AJ224*-Valores!$C$68</f>
        <v>-1107.82188</v>
      </c>
      <c r="AT224" s="78">
        <f>AJ224*-Valores!$C$69</f>
        <v>-123.09131999999998</v>
      </c>
      <c r="AU224" s="15">
        <f t="shared" si="41"/>
        <v>35046.4508</v>
      </c>
      <c r="AV224" s="15">
        <f t="shared" si="42"/>
        <v>35661.9074</v>
      </c>
      <c r="AW224" s="78">
        <f>AJ224*Valores!$C$70</f>
        <v>6564.8704</v>
      </c>
      <c r="AX224" s="78">
        <f>AJ224*Valores!$C$71</f>
        <v>1846.3697999999997</v>
      </c>
      <c r="AY224" s="78">
        <f>AJ224*Valores!$C$73</f>
        <v>410.3044</v>
      </c>
      <c r="AZ224" s="78">
        <f>AJ224*Valores!$C$74</f>
        <v>1436.0654</v>
      </c>
      <c r="BA224" s="78">
        <f>AJ224*Valores!$C$75</f>
        <v>246.18263999999996</v>
      </c>
      <c r="BB224" s="78">
        <f t="shared" si="45"/>
        <v>2215.64376</v>
      </c>
      <c r="BC224" s="20"/>
      <c r="BD224" s="55">
        <f t="shared" si="36"/>
        <v>128</v>
      </c>
      <c r="BE224" s="9" t="s">
        <v>461</v>
      </c>
    </row>
    <row r="225" spans="1:57" s="9" customFormat="1" ht="11.25" customHeight="1">
      <c r="A225" s="20">
        <v>224</v>
      </c>
      <c r="B225" s="20"/>
      <c r="C225" s="9" t="s">
        <v>354</v>
      </c>
      <c r="D225" s="9">
        <v>33</v>
      </c>
      <c r="E225" s="9">
        <f t="shared" si="43"/>
        <v>37</v>
      </c>
      <c r="F225" s="10" t="str">
        <f t="shared" si="34"/>
        <v>Hora Cátedra Enseñanza Superior 33 hs</v>
      </c>
      <c r="G225" s="123">
        <f t="shared" si="35"/>
        <v>3267</v>
      </c>
      <c r="H225" s="7">
        <f>INT((G225*Valores!$C$2*100)+0.5)/100</f>
        <v>19599.73</v>
      </c>
      <c r="I225" s="134">
        <v>0</v>
      </c>
      <c r="J225" s="77">
        <f>INT((I225*Valores!$C$2*100)+0.5)/100</f>
        <v>0</v>
      </c>
      <c r="K225" s="146">
        <v>0</v>
      </c>
      <c r="L225" s="77">
        <f>INT((K225*Valores!$C$2*100)+0.5)/100</f>
        <v>0</v>
      </c>
      <c r="M225" s="120">
        <v>0</v>
      </c>
      <c r="N225" s="77">
        <f>INT((M225*Valores!$C$2*100)+0.5)/100</f>
        <v>0</v>
      </c>
      <c r="O225" s="77">
        <f t="shared" si="37"/>
        <v>0</v>
      </c>
      <c r="P225" s="77">
        <f t="shared" si="38"/>
        <v>10398.98</v>
      </c>
      <c r="Q225" s="61">
        <f>Valores!$C$14*D225</f>
        <v>4538.82</v>
      </c>
      <c r="R225" s="61">
        <f>IF(D225&lt;15,(Valores!$E$4*D225),Valores!$D$4)</f>
        <v>2683.49</v>
      </c>
      <c r="S225" s="77">
        <v>0</v>
      </c>
      <c r="T225" s="79">
        <f>IF(Valores!$C$45*D225&gt;Valores!$C$43,Valores!$C$43,Valores!$C$45*D225)</f>
        <v>1198.23</v>
      </c>
      <c r="U225" s="61">
        <f>Valores!$C$22*D225</f>
        <v>1758.8999999999999</v>
      </c>
      <c r="V225" s="77">
        <f t="shared" si="33"/>
        <v>2638.35</v>
      </c>
      <c r="W225" s="77">
        <v>0</v>
      </c>
      <c r="X225" s="77">
        <v>0</v>
      </c>
      <c r="Y225" s="37">
        <v>0</v>
      </c>
      <c r="Z225" s="77">
        <f>Y225*Valores!$C$2</f>
        <v>0</v>
      </c>
      <c r="AA225" s="77">
        <v>0</v>
      </c>
      <c r="AB225" s="89">
        <f>IF((Valores!$C$32)*D225&gt;Valores!$F$32,Valores!$F$32,(Valores!$C$32)*D225)</f>
        <v>199.98</v>
      </c>
      <c r="AC225" s="77">
        <f t="shared" si="39"/>
        <v>0</v>
      </c>
      <c r="AD225" s="77">
        <f>IF(Valores!$C$33*D225&gt;Valores!$F$33,Valores!$F$33,Valores!$C$33*D225)</f>
        <v>151.15</v>
      </c>
      <c r="AE225" s="116">
        <v>0</v>
      </c>
      <c r="AF225" s="77">
        <f>INT(((AE225*Valores!$C$2)*100)+0.5)/100</f>
        <v>0</v>
      </c>
      <c r="AG225" s="77">
        <f>IF(Valores!$D$58*'Escala Docente'!D225&gt;Valores!$F$58,Valores!$F$58,Valores!$D$58*'Escala Docente'!D225)</f>
        <v>614.92</v>
      </c>
      <c r="AH225" s="77">
        <f>IF(Valores!$D$60*D225&gt;Valores!$F$60,Valores!$F$60,Valores!$D$60*D225)</f>
        <v>175.7</v>
      </c>
      <c r="AI225" s="77">
        <f>SUM(H225,J225,L225,N225,O225,P225,Q225,R225,S225,T225,V225,W225,X225,Z225,AA225,AB225,AC225,AD225,AF225,AG225,AH225)*Valores!$C$63</f>
        <v>0</v>
      </c>
      <c r="AJ225" s="140">
        <f t="shared" si="40"/>
        <v>42199.35</v>
      </c>
      <c r="AK225" s="61">
        <f>IF(Valores!$C$36*D225&gt;Valores!$F$36,Valores!$F$36,Valores!$C$36*D225)</f>
        <v>831.18</v>
      </c>
      <c r="AL225" s="79">
        <f>IF(Valores!$C$11*D225&gt;Valores!$F$11,Valores!$F$11,Valores!$C$11*D225)</f>
        <v>322.40999999999997</v>
      </c>
      <c r="AM225" s="89">
        <f>IF(Valores!$C$56*D225&gt;Valores!$F$56,Valores!$F$56,Valores!$C$56*D225)</f>
        <v>257.67</v>
      </c>
      <c r="AN225" s="79">
        <f>IF($H$4="SI",SUM(AL225+AM225),AL225)*Valores!$C$63</f>
        <v>0</v>
      </c>
      <c r="AO225" s="12">
        <f t="shared" si="44"/>
        <v>1411.26</v>
      </c>
      <c r="AP225" s="13">
        <f>AJ225*-Valores!$C$65</f>
        <v>-5485.9155</v>
      </c>
      <c r="AQ225" s="13">
        <f>AJ225*-Valores!$C$66</f>
        <v>-210.99675</v>
      </c>
      <c r="AR225" s="78">
        <f>AJ225*-Valores!$C$67</f>
        <v>-1898.97075</v>
      </c>
      <c r="AS225" s="78">
        <f>AJ225*-Valores!$C$68</f>
        <v>-1139.38245</v>
      </c>
      <c r="AT225" s="78">
        <f>AJ225*-Valores!$C$69</f>
        <v>-126.59805</v>
      </c>
      <c r="AU225" s="15">
        <f t="shared" si="41"/>
        <v>36014.727</v>
      </c>
      <c r="AV225" s="15">
        <f t="shared" si="42"/>
        <v>36647.71725</v>
      </c>
      <c r="AW225" s="78">
        <f>AJ225*Valores!$C$70</f>
        <v>6751.896</v>
      </c>
      <c r="AX225" s="78">
        <f>AJ225*Valores!$C$71</f>
        <v>1898.97075</v>
      </c>
      <c r="AY225" s="78">
        <f>AJ225*Valores!$C$73</f>
        <v>421.9935</v>
      </c>
      <c r="AZ225" s="78">
        <f>AJ225*Valores!$C$74</f>
        <v>1476.9772500000001</v>
      </c>
      <c r="BA225" s="78">
        <f>AJ225*Valores!$C$75</f>
        <v>253.1961</v>
      </c>
      <c r="BB225" s="78">
        <f t="shared" si="45"/>
        <v>2278.7649</v>
      </c>
      <c r="BC225" s="20"/>
      <c r="BD225" s="20">
        <f aca="true" t="shared" si="46" ref="BD225:BD256">4*D225</f>
        <v>132</v>
      </c>
      <c r="BE225" s="9" t="s">
        <v>461</v>
      </c>
    </row>
    <row r="226" spans="1:57" s="9" customFormat="1" ht="11.25" customHeight="1">
      <c r="A226" s="55">
        <v>225</v>
      </c>
      <c r="B226" s="55" t="s">
        <v>458</v>
      </c>
      <c r="C226" s="52" t="s">
        <v>354</v>
      </c>
      <c r="D226" s="52">
        <v>34</v>
      </c>
      <c r="E226" s="52">
        <f t="shared" si="43"/>
        <v>37</v>
      </c>
      <c r="F226" s="53" t="str">
        <f t="shared" si="34"/>
        <v>Hora Cátedra Enseñanza Superior 34 hs</v>
      </c>
      <c r="G226" s="124">
        <f t="shared" si="35"/>
        <v>3366</v>
      </c>
      <c r="H226" s="129">
        <f>INT((G226*Valores!$C$2*100)+0.5)/100</f>
        <v>20193.66</v>
      </c>
      <c r="I226" s="133">
        <v>0</v>
      </c>
      <c r="J226" s="80">
        <f>INT((I226*Valores!$C$2*100)+0.5)/100</f>
        <v>0</v>
      </c>
      <c r="K226" s="147">
        <v>0</v>
      </c>
      <c r="L226" s="80">
        <f>INT((K226*Valores!$C$2*100)+0.5)/100</f>
        <v>0</v>
      </c>
      <c r="M226" s="121">
        <v>0</v>
      </c>
      <c r="N226" s="80">
        <f>INT((M226*Valores!$C$2*100)+0.5)/100</f>
        <v>0</v>
      </c>
      <c r="O226" s="80">
        <f t="shared" si="37"/>
        <v>0</v>
      </c>
      <c r="P226" s="80">
        <f t="shared" si="38"/>
        <v>10714.1</v>
      </c>
      <c r="Q226" s="85">
        <f>Valores!$C$14*D226</f>
        <v>4676.36</v>
      </c>
      <c r="R226" s="85">
        <f>IF(D226&lt;15,(Valores!$E$4*D226),Valores!$D$4)</f>
        <v>2683.49</v>
      </c>
      <c r="S226" s="80">
        <v>0</v>
      </c>
      <c r="T226" s="82">
        <f>IF(Valores!$C$45*D226&gt;Valores!$C$43,Valores!$C$43,Valores!$C$45*D226)</f>
        <v>1234.54</v>
      </c>
      <c r="U226" s="85">
        <f>Valores!$C$22*D226</f>
        <v>1812.1999999999998</v>
      </c>
      <c r="V226" s="80">
        <f t="shared" si="33"/>
        <v>2718.2999999999997</v>
      </c>
      <c r="W226" s="80">
        <v>0</v>
      </c>
      <c r="X226" s="80">
        <v>0</v>
      </c>
      <c r="Y226" s="60">
        <v>0</v>
      </c>
      <c r="Z226" s="80">
        <f>Y226*Valores!$C$2</f>
        <v>0</v>
      </c>
      <c r="AA226" s="80">
        <v>0</v>
      </c>
      <c r="AB226" s="90">
        <f>IF((Valores!$C$32)*D226&gt;Valores!$F$32,Valores!$F$32,(Valores!$C$32)*D226)</f>
        <v>206.04</v>
      </c>
      <c r="AC226" s="80">
        <f t="shared" si="39"/>
        <v>0</v>
      </c>
      <c r="AD226" s="80">
        <f>IF(Valores!$C$33*D226&gt;Valores!$F$33,Valores!$F$33,Valores!$C$33*D226)</f>
        <v>151.15</v>
      </c>
      <c r="AE226" s="115">
        <v>0</v>
      </c>
      <c r="AF226" s="80">
        <f>INT(((AE226*Valores!$C$2)*100)+0.5)/100</f>
        <v>0</v>
      </c>
      <c r="AG226" s="80">
        <f>IF(Valores!$D$58*'Escala Docente'!D226&gt;Valores!$F$58,Valores!$F$58,Valores!$D$58*'Escala Docente'!D226)</f>
        <v>614.92</v>
      </c>
      <c r="AH226" s="80">
        <f>IF(Valores!$D$60*D226&gt;Valores!$F$60,Valores!$F$60,Valores!$D$60*D226)</f>
        <v>175.7</v>
      </c>
      <c r="AI226" s="80">
        <f>SUM(H226,J226,L226,N226,O226,P226,Q226,R226,S226,T226,V226,W226,X226,Z226,AA226,AB226,AC226,AD226,AF226,AG226,AH226)*Valores!$C$63</f>
        <v>0</v>
      </c>
      <c r="AJ226" s="141">
        <f t="shared" si="40"/>
        <v>43368.26</v>
      </c>
      <c r="AK226" s="85">
        <f>IF(Valores!$C$36*D226&gt;Valores!$F$36,Valores!$F$36,Valores!$C$36*D226)</f>
        <v>831.18</v>
      </c>
      <c r="AL226" s="82">
        <f>IF(Valores!$C$11*D226&gt;Valores!$F$11,Valores!$F$11,Valores!$C$11*D226)</f>
        <v>332.18</v>
      </c>
      <c r="AM226" s="90">
        <f>IF(Valores!$C$56*D226&gt;Valores!$F$56,Valores!$F$56,Valores!$C$56*D226)</f>
        <v>257.67</v>
      </c>
      <c r="AN226" s="82">
        <f>IF($H$4="SI",SUM(AL226+AM226),AL226)*Valores!$C$63</f>
        <v>0</v>
      </c>
      <c r="AO226" s="185">
        <f t="shared" si="44"/>
        <v>1421.03</v>
      </c>
      <c r="AP226" s="154">
        <f>AJ226*-Valores!$C$65</f>
        <v>-5637.8738</v>
      </c>
      <c r="AQ226" s="154">
        <f>AJ226*-Valores!$C$66</f>
        <v>-216.84130000000002</v>
      </c>
      <c r="AR226" s="81">
        <f>AJ226*-Valores!$C$67</f>
        <v>-1951.5717</v>
      </c>
      <c r="AS226" s="81">
        <f>AJ226*-Valores!$C$68</f>
        <v>-1170.9430200000002</v>
      </c>
      <c r="AT226" s="81">
        <f>AJ226*-Valores!$C$69</f>
        <v>-130.10478</v>
      </c>
      <c r="AU226" s="54">
        <f t="shared" si="41"/>
        <v>36983.0032</v>
      </c>
      <c r="AV226" s="54">
        <f t="shared" si="42"/>
        <v>37633.5271</v>
      </c>
      <c r="AW226" s="81">
        <f>AJ226*Valores!$C$70</f>
        <v>6938.921600000001</v>
      </c>
      <c r="AX226" s="81">
        <f>AJ226*Valores!$C$71</f>
        <v>1951.5717</v>
      </c>
      <c r="AY226" s="81">
        <f>AJ226*Valores!$C$73</f>
        <v>433.68260000000004</v>
      </c>
      <c r="AZ226" s="81">
        <f>AJ226*Valores!$C$74</f>
        <v>1517.8891000000003</v>
      </c>
      <c r="BA226" s="81">
        <f>AJ226*Valores!$C$75</f>
        <v>260.20956</v>
      </c>
      <c r="BB226" s="81">
        <f t="shared" si="45"/>
        <v>2341.8860400000003</v>
      </c>
      <c r="BC226" s="55"/>
      <c r="BD226" s="55">
        <f t="shared" si="46"/>
        <v>136</v>
      </c>
      <c r="BE226" s="52" t="s">
        <v>461</v>
      </c>
    </row>
    <row r="227" spans="1:57" s="9" customFormat="1" ht="11.25" customHeight="1">
      <c r="A227" s="20">
        <v>226</v>
      </c>
      <c r="B227" s="20"/>
      <c r="C227" s="9" t="s">
        <v>354</v>
      </c>
      <c r="D227" s="9">
        <v>35</v>
      </c>
      <c r="E227" s="9">
        <f t="shared" si="43"/>
        <v>37</v>
      </c>
      <c r="F227" s="10" t="str">
        <f t="shared" si="34"/>
        <v>Hora Cátedra Enseñanza Superior 35 hs</v>
      </c>
      <c r="G227" s="123">
        <f t="shared" si="35"/>
        <v>3465</v>
      </c>
      <c r="H227" s="7">
        <f>INT((G227*Valores!$C$2*100)+0.5)/100</f>
        <v>20787.59</v>
      </c>
      <c r="I227" s="134">
        <v>0</v>
      </c>
      <c r="J227" s="77">
        <f>INT((I227*Valores!$C$2*100)+0.5)/100</f>
        <v>0</v>
      </c>
      <c r="K227" s="146">
        <v>0</v>
      </c>
      <c r="L227" s="77">
        <f>INT((K227*Valores!$C$2*100)+0.5)/100</f>
        <v>0</v>
      </c>
      <c r="M227" s="120">
        <v>0</v>
      </c>
      <c r="N227" s="77">
        <f>INT((M227*Valores!$C$2*100)+0.5)/100</f>
        <v>0</v>
      </c>
      <c r="O227" s="77">
        <f t="shared" si="37"/>
        <v>0</v>
      </c>
      <c r="P227" s="77">
        <f t="shared" si="38"/>
        <v>11029.22</v>
      </c>
      <c r="Q227" s="61">
        <f>Valores!$C$14*D227</f>
        <v>4813.9</v>
      </c>
      <c r="R227" s="61">
        <f>IF(D227&lt;15,(Valores!$E$4*D227),Valores!$D$4)</f>
        <v>2683.49</v>
      </c>
      <c r="S227" s="77">
        <v>0</v>
      </c>
      <c r="T227" s="79">
        <f>IF(Valores!$C$45*D227&gt;Valores!$C$43,Valores!$C$43,Valores!$C$45*D227)</f>
        <v>1270.8500000000001</v>
      </c>
      <c r="U227" s="61">
        <f>Valores!$C$22*D227</f>
        <v>1865.5</v>
      </c>
      <c r="V227" s="77">
        <f t="shared" si="33"/>
        <v>2798.25</v>
      </c>
      <c r="W227" s="77">
        <v>0</v>
      </c>
      <c r="X227" s="77">
        <v>0</v>
      </c>
      <c r="Y227" s="37">
        <v>0</v>
      </c>
      <c r="Z227" s="77">
        <f>Y227*Valores!$C$2</f>
        <v>0</v>
      </c>
      <c r="AA227" s="77">
        <v>0</v>
      </c>
      <c r="AB227" s="89">
        <f>IF((Valores!$C$32)*D227&gt;Valores!$F$32,Valores!$F$32,(Valores!$C$32)*D227)</f>
        <v>212.1</v>
      </c>
      <c r="AC227" s="77">
        <f t="shared" si="39"/>
        <v>0</v>
      </c>
      <c r="AD227" s="77">
        <f>IF(Valores!$C$33*D227&gt;Valores!$F$33,Valores!$F$33,Valores!$C$33*D227)</f>
        <v>151.15</v>
      </c>
      <c r="AE227" s="116">
        <v>0</v>
      </c>
      <c r="AF227" s="77">
        <f>INT(((AE227*Valores!$C$2)*100)+0.5)/100</f>
        <v>0</v>
      </c>
      <c r="AG227" s="77">
        <f>IF(Valores!$D$58*'Escala Docente'!D227&gt;Valores!$F$58,Valores!$F$58,Valores!$D$58*'Escala Docente'!D227)</f>
        <v>614.92</v>
      </c>
      <c r="AH227" s="77">
        <f>IF(Valores!$D$60*D227&gt;Valores!$F$60,Valores!$F$60,Valores!$D$60*D227)</f>
        <v>175.7</v>
      </c>
      <c r="AI227" s="77">
        <f>SUM(H227,J227,L227,N227,O227,P227,Q227,R227,S227,T227,V227,W227,X227,Z227,AA227,AB227,AC227,AD227,AF227,AG227,AH227)*Valores!$C$63</f>
        <v>0</v>
      </c>
      <c r="AJ227" s="140">
        <f t="shared" si="40"/>
        <v>44537.16999999999</v>
      </c>
      <c r="AK227" s="61">
        <f>IF(Valores!$C$36*D227&gt;Valores!$F$36,Valores!$F$36,Valores!$C$36*D227)</f>
        <v>831.18</v>
      </c>
      <c r="AL227" s="79">
        <f>IF(Valores!$C$11*D227&gt;Valores!$F$11,Valores!$F$11,Valores!$C$11*D227)</f>
        <v>341.95</v>
      </c>
      <c r="AM227" s="89">
        <f>IF(Valores!$C$56*D227&gt;Valores!$F$56,Valores!$F$56,Valores!$C$56*D227)</f>
        <v>257.67</v>
      </c>
      <c r="AN227" s="79">
        <f>IF($H$4="SI",SUM(AL227+AM227),AL227)*Valores!$C$63</f>
        <v>0</v>
      </c>
      <c r="AO227" s="12">
        <f t="shared" si="44"/>
        <v>1430.8</v>
      </c>
      <c r="AP227" s="13">
        <f>AJ227*-Valores!$C$65</f>
        <v>-5789.832099999999</v>
      </c>
      <c r="AQ227" s="13">
        <f>AJ227*-Valores!$C$66</f>
        <v>-222.68584999999996</v>
      </c>
      <c r="AR227" s="78">
        <f>AJ227*-Valores!$C$67</f>
        <v>-2004.1726499999995</v>
      </c>
      <c r="AS227" s="78">
        <f>AJ227*-Valores!$C$68</f>
        <v>-1202.5035899999998</v>
      </c>
      <c r="AT227" s="78">
        <f>AJ227*-Valores!$C$69</f>
        <v>-133.61150999999998</v>
      </c>
      <c r="AU227" s="15">
        <f t="shared" si="41"/>
        <v>37951.27939999999</v>
      </c>
      <c r="AV227" s="15">
        <f t="shared" si="42"/>
        <v>38619.33694999999</v>
      </c>
      <c r="AW227" s="78">
        <f>AJ227*Valores!$C$70</f>
        <v>7125.947199999999</v>
      </c>
      <c r="AX227" s="78">
        <f>AJ227*Valores!$C$71</f>
        <v>2004.1726499999995</v>
      </c>
      <c r="AY227" s="78">
        <f>AJ227*Valores!$C$73</f>
        <v>445.3716999999999</v>
      </c>
      <c r="AZ227" s="78">
        <f>AJ227*Valores!$C$74</f>
        <v>1558.8009499999998</v>
      </c>
      <c r="BA227" s="78">
        <f>AJ227*Valores!$C$75</f>
        <v>267.22301999999996</v>
      </c>
      <c r="BB227" s="78">
        <f t="shared" si="45"/>
        <v>2405.0071799999996</v>
      </c>
      <c r="BC227" s="20"/>
      <c r="BD227" s="20">
        <f t="shared" si="46"/>
        <v>140</v>
      </c>
      <c r="BE227" s="9" t="s">
        <v>461</v>
      </c>
    </row>
    <row r="228" spans="1:57" s="9" customFormat="1" ht="11.25" customHeight="1">
      <c r="A228" s="20">
        <v>227</v>
      </c>
      <c r="B228" s="20"/>
      <c r="C228" s="9" t="s">
        <v>354</v>
      </c>
      <c r="D228" s="9">
        <v>36</v>
      </c>
      <c r="E228" s="9">
        <f t="shared" si="43"/>
        <v>37</v>
      </c>
      <c r="F228" s="10" t="str">
        <f t="shared" si="34"/>
        <v>Hora Cátedra Enseñanza Superior 36 hs</v>
      </c>
      <c r="G228" s="123">
        <f t="shared" si="35"/>
        <v>3564</v>
      </c>
      <c r="H228" s="7">
        <f>INT((G228*Valores!$C$2*100)+0.5)/100</f>
        <v>21381.52</v>
      </c>
      <c r="I228" s="134">
        <v>0</v>
      </c>
      <c r="J228" s="77">
        <f>INT((I228*Valores!$C$2*100)+0.5)/100</f>
        <v>0</v>
      </c>
      <c r="K228" s="146">
        <v>0</v>
      </c>
      <c r="L228" s="77">
        <f>INT((K228*Valores!$C$2*100)+0.5)/100</f>
        <v>0</v>
      </c>
      <c r="M228" s="120">
        <v>0</v>
      </c>
      <c r="N228" s="77">
        <f>INT((M228*Valores!$C$2*100)+0.5)/100</f>
        <v>0</v>
      </c>
      <c r="O228" s="77">
        <f t="shared" si="37"/>
        <v>0</v>
      </c>
      <c r="P228" s="77">
        <f t="shared" si="38"/>
        <v>11344.25</v>
      </c>
      <c r="Q228" s="61">
        <f>Valores!$C$14*D228</f>
        <v>4951.44</v>
      </c>
      <c r="R228" s="61">
        <f>IF(D228&lt;15,(Valores!$E$4*D228),Valores!$D$4)</f>
        <v>2683.49</v>
      </c>
      <c r="S228" s="77">
        <v>0</v>
      </c>
      <c r="T228" s="79">
        <f>IF(Valores!$C$45*D228&gt;Valores!$C$43,Valores!$C$43,Valores!$C$45*D228)</f>
        <v>1306.98</v>
      </c>
      <c r="U228" s="61">
        <f>Valores!$C$22*D228</f>
        <v>1918.8</v>
      </c>
      <c r="V228" s="77">
        <f t="shared" si="33"/>
        <v>2878.2</v>
      </c>
      <c r="W228" s="77">
        <v>0</v>
      </c>
      <c r="X228" s="77">
        <v>0</v>
      </c>
      <c r="Y228" s="37">
        <v>0</v>
      </c>
      <c r="Z228" s="77">
        <f>Y228*Valores!$C$2</f>
        <v>0</v>
      </c>
      <c r="AA228" s="77">
        <v>0</v>
      </c>
      <c r="AB228" s="89">
        <f>IF((Valores!$C$32)*D228&gt;Valores!$F$32,Valores!$F$32,(Valores!$C$32)*D228)</f>
        <v>218.16</v>
      </c>
      <c r="AC228" s="77">
        <f t="shared" si="39"/>
        <v>0</v>
      </c>
      <c r="AD228" s="77">
        <f>IF(Valores!$C$33*D228&gt;Valores!$F$33,Valores!$F$33,Valores!$C$33*D228)</f>
        <v>151.15</v>
      </c>
      <c r="AE228" s="116">
        <v>0</v>
      </c>
      <c r="AF228" s="77">
        <f>INT(((AE228*Valores!$C$2)*100)+0.5)/100</f>
        <v>0</v>
      </c>
      <c r="AG228" s="77">
        <f>IF(Valores!$D$58*'Escala Docente'!D228&gt;Valores!$F$58,Valores!$F$58,Valores!$D$58*'Escala Docente'!D228)</f>
        <v>614.92</v>
      </c>
      <c r="AH228" s="77">
        <f>IF(Valores!$D$60*D228&gt;Valores!$F$60,Valores!$F$60,Valores!$D$60*D228)</f>
        <v>175.7</v>
      </c>
      <c r="AI228" s="77">
        <f>SUM(H228,J228,L228,N228,O228,P228,Q228,R228,S228,T228,V228,W228,X228,Z228,AA228,AB228,AC228,AD228,AF228,AG228,AH228)*Valores!$C$63</f>
        <v>0</v>
      </c>
      <c r="AJ228" s="140">
        <f t="shared" si="40"/>
        <v>45705.81</v>
      </c>
      <c r="AK228" s="61">
        <f>IF(Valores!$C$36*D228&gt;Valores!$F$36,Valores!$F$36,Valores!$C$36*D228)</f>
        <v>831.18</v>
      </c>
      <c r="AL228" s="79">
        <f>IF(Valores!$C$11*D228&gt;Valores!$F$11,Valores!$F$11,Valores!$C$11*D228)</f>
        <v>351.39</v>
      </c>
      <c r="AM228" s="89">
        <f>IF(Valores!$C$56*D228&gt;Valores!$F$56,Valores!$F$56,Valores!$C$56*D228)</f>
        <v>257.67</v>
      </c>
      <c r="AN228" s="79">
        <f>IF($H$4="SI",SUM(AL228+AM228),AL228)*Valores!$C$63</f>
        <v>0</v>
      </c>
      <c r="AO228" s="12">
        <f t="shared" si="44"/>
        <v>1440.24</v>
      </c>
      <c r="AP228" s="13">
        <f>AJ228*-Valores!$C$65</f>
        <v>-5941.7553</v>
      </c>
      <c r="AQ228" s="13">
        <f>AJ228*-Valores!$C$66</f>
        <v>-228.52904999999998</v>
      </c>
      <c r="AR228" s="78">
        <f>AJ228*-Valores!$C$67</f>
        <v>-2056.76145</v>
      </c>
      <c r="AS228" s="78">
        <f>AJ228*-Valores!$C$68</f>
        <v>-1234.0568700000001</v>
      </c>
      <c r="AT228" s="78">
        <f>AJ228*-Valores!$C$69</f>
        <v>-137.11742999999998</v>
      </c>
      <c r="AU228" s="15">
        <f t="shared" si="41"/>
        <v>38919.0042</v>
      </c>
      <c r="AV228" s="15">
        <f t="shared" si="42"/>
        <v>39604.59135</v>
      </c>
      <c r="AW228" s="78">
        <f>AJ228*Valores!$C$70</f>
        <v>7312.9295999999995</v>
      </c>
      <c r="AX228" s="78">
        <f>AJ228*Valores!$C$71</f>
        <v>2056.76145</v>
      </c>
      <c r="AY228" s="78">
        <f>AJ228*Valores!$C$73</f>
        <v>457.05809999999997</v>
      </c>
      <c r="AZ228" s="78">
        <f>AJ228*Valores!$C$74</f>
        <v>1599.70335</v>
      </c>
      <c r="BA228" s="78">
        <f>AJ228*Valores!$C$75</f>
        <v>274.23485999999997</v>
      </c>
      <c r="BB228" s="78">
        <f t="shared" si="45"/>
        <v>2468.1137400000002</v>
      </c>
      <c r="BC228" s="20"/>
      <c r="BD228" s="20">
        <f t="shared" si="46"/>
        <v>144</v>
      </c>
      <c r="BE228" s="9" t="s">
        <v>461</v>
      </c>
    </row>
    <row r="229" spans="1:57" s="9" customFormat="1" ht="11.25" customHeight="1">
      <c r="A229" s="20">
        <v>228</v>
      </c>
      <c r="B229" s="20"/>
      <c r="C229" s="9" t="s">
        <v>355</v>
      </c>
      <c r="D229" s="9">
        <v>1</v>
      </c>
      <c r="E229" s="9">
        <f t="shared" si="43"/>
        <v>33</v>
      </c>
      <c r="F229" s="10" t="str">
        <f>CONCATENATE("Hora Cátedra Enseñanza Media ",D229," hs")</f>
        <v>Hora Cátedra Enseñanza Media 1 hs</v>
      </c>
      <c r="G229" s="123">
        <f aca="true" t="shared" si="47" ref="G229:G260">79*D229</f>
        <v>79</v>
      </c>
      <c r="H229" s="7">
        <f>INT((G229*Valores!$C$2*100))/100</f>
        <v>473.94</v>
      </c>
      <c r="I229" s="134">
        <v>0</v>
      </c>
      <c r="J229" s="77">
        <f>INT((I229*Valores!$C$2*100)+0.5)/100</f>
        <v>0</v>
      </c>
      <c r="K229" s="146">
        <v>0</v>
      </c>
      <c r="L229" s="77">
        <f>INT((K229*Valores!$C$2*100)+0.5)/100</f>
        <v>0</v>
      </c>
      <c r="M229" s="120">
        <v>0</v>
      </c>
      <c r="N229" s="77">
        <f>INT((M229*Valores!$C$2*100)+0.5)/100</f>
        <v>0</v>
      </c>
      <c r="O229" s="77">
        <f t="shared" si="37"/>
        <v>0</v>
      </c>
      <c r="P229" s="77">
        <f t="shared" si="38"/>
        <v>255.125</v>
      </c>
      <c r="Q229" s="61">
        <f>Valores!$C$14*D229</f>
        <v>137.54</v>
      </c>
      <c r="R229" s="61">
        <f>IF(D229&lt;15,(Valores!$E$4*D229),Valores!$D$4)</f>
        <v>178.89999999999998</v>
      </c>
      <c r="S229" s="77">
        <v>0</v>
      </c>
      <c r="T229" s="79">
        <f>IF(Valores!$C$45*D229&gt;Valores!$C$43,Valores!$C$43,Valores!$C$45*D229)</f>
        <v>36.31</v>
      </c>
      <c r="U229" s="61">
        <f>Valores!$C$22*D229</f>
        <v>53.3</v>
      </c>
      <c r="V229" s="77">
        <f t="shared" si="33"/>
        <v>79.94999999999999</v>
      </c>
      <c r="W229" s="77">
        <v>0</v>
      </c>
      <c r="X229" s="77">
        <v>0</v>
      </c>
      <c r="Y229" s="37">
        <v>0</v>
      </c>
      <c r="Z229" s="77">
        <f>Y229*Valores!$C$2</f>
        <v>0</v>
      </c>
      <c r="AA229" s="77">
        <v>0</v>
      </c>
      <c r="AB229" s="89">
        <f>IF((Valores!$C$32)*D229&gt;Valores!$F$32,Valores!$F$32,(Valores!$C$32)*D229)</f>
        <v>6.06</v>
      </c>
      <c r="AC229" s="77">
        <f t="shared" si="39"/>
        <v>0</v>
      </c>
      <c r="AD229" s="77">
        <f>IF(Valores!$C$33*D229&gt;Valores!$F$33,Valores!$F$33,Valores!$C$33*D229)</f>
        <v>5.04</v>
      </c>
      <c r="AE229" s="116">
        <v>0</v>
      </c>
      <c r="AF229" s="77">
        <f>INT(((AE229*Valores!$C$2)*100)+0.5)/100</f>
        <v>0</v>
      </c>
      <c r="AG229" s="77">
        <f>IF(Valores!$D$58*'Escala Docente'!D229&gt;Valores!$F$58,Valores!$F$58,Valores!$D$58*'Escala Docente'!D229)</f>
        <v>20.5</v>
      </c>
      <c r="AH229" s="77">
        <f>IF(Valores!$D$60*D229&gt;Valores!$F$60,Valores!$F$60,Valores!$D$60*D229)</f>
        <v>5.86</v>
      </c>
      <c r="AI229" s="77">
        <f>SUM(H229,J229,L229,N229,O229,P229,Q229,R229,S229,T229,V229,W229,X229,Z229,AA229,AB229,AC229,AD229,AF229,AG229,AH229)*Valores!$C$63</f>
        <v>0</v>
      </c>
      <c r="AJ229" s="140">
        <f t="shared" si="40"/>
        <v>1199.225</v>
      </c>
      <c r="AK229" s="61">
        <f>IF(Valores!$C$36*D229&gt;Valores!$F$36,Valores!$F$36,Valores!$C$36*D229)</f>
        <v>27.71</v>
      </c>
      <c r="AL229" s="79">
        <f>IF(Valores!$C$11*D229&gt;Valores!$F$11,Valores!$F$11,Valores!$C$11*D229)</f>
        <v>9.77</v>
      </c>
      <c r="AM229" s="89">
        <f>IF(Valores!$C$57*D229&gt;Valores!$F$57,Valores!$F$57,Valores!$C$57*D229)</f>
        <v>8.59</v>
      </c>
      <c r="AN229" s="79">
        <f>IF($H$4="SI",SUM(AL229+AM229),AL229)*Valores!$C$63</f>
        <v>0</v>
      </c>
      <c r="AO229" s="12">
        <f t="shared" si="44"/>
        <v>46.07000000000001</v>
      </c>
      <c r="AP229" s="13">
        <f>AJ229*-Valores!$C$65</f>
        <v>-155.89925</v>
      </c>
      <c r="AQ229" s="13">
        <f>AJ229*-Valores!$C$66</f>
        <v>-5.996124999999999</v>
      </c>
      <c r="AR229" s="78">
        <f>AJ229*-Valores!$C$67</f>
        <v>-53.96512499999999</v>
      </c>
      <c r="AS229" s="78">
        <f>AJ229*-Valores!$C$68</f>
        <v>-32.379075</v>
      </c>
      <c r="AT229" s="78">
        <f>AJ229*-Valores!$C$69</f>
        <v>-3.5976749999999997</v>
      </c>
      <c r="AU229" s="15">
        <f t="shared" si="41"/>
        <v>1029.4345</v>
      </c>
      <c r="AV229" s="15">
        <f t="shared" si="42"/>
        <v>1047.422875</v>
      </c>
      <c r="AW229" s="78">
        <f>AJ229*Valores!$C$70</f>
        <v>191.87599999999998</v>
      </c>
      <c r="AX229" s="78">
        <f>AJ229*Valores!$C$71</f>
        <v>53.96512499999999</v>
      </c>
      <c r="AY229" s="78">
        <f>AJ229*Valores!$C$73</f>
        <v>11.992249999999999</v>
      </c>
      <c r="AZ229" s="78">
        <f>AJ229*Valores!$C$74</f>
        <v>41.972875</v>
      </c>
      <c r="BA229" s="78">
        <f>AJ229*Valores!$C$75</f>
        <v>7.1953499999999995</v>
      </c>
      <c r="BB229" s="78">
        <f t="shared" si="45"/>
        <v>64.75815</v>
      </c>
      <c r="BC229" s="20"/>
      <c r="BD229" s="55">
        <f t="shared" si="46"/>
        <v>4</v>
      </c>
      <c r="BE229" s="9" t="s">
        <v>462</v>
      </c>
    </row>
    <row r="230" spans="1:57" s="9" customFormat="1" ht="11.25" customHeight="1">
      <c r="A230" s="20">
        <v>229</v>
      </c>
      <c r="B230" s="20"/>
      <c r="C230" s="9" t="s">
        <v>355</v>
      </c>
      <c r="D230" s="9">
        <v>1</v>
      </c>
      <c r="E230" s="9">
        <f t="shared" si="43"/>
        <v>41</v>
      </c>
      <c r="F230" s="10" t="str">
        <f>CONCATENATE("Hora Cátedra Enseñanza Media ",D230," hs Esc Esp")</f>
        <v>Hora Cátedra Enseñanza Media 1 hs Esc Esp</v>
      </c>
      <c r="G230" s="123">
        <f t="shared" si="47"/>
        <v>79</v>
      </c>
      <c r="H230" s="7">
        <f>INT((G230*Valores!$C$2*100))/100</f>
        <v>473.94</v>
      </c>
      <c r="I230" s="134">
        <v>0</v>
      </c>
      <c r="J230" s="77">
        <f>INT((I230*Valores!$C$2*100)+0.5)/100</f>
        <v>0</v>
      </c>
      <c r="K230" s="146">
        <v>0</v>
      </c>
      <c r="L230" s="77">
        <f>INT((K230*Valores!$C$2*100)+0.5)/100</f>
        <v>0</v>
      </c>
      <c r="M230" s="120">
        <v>0</v>
      </c>
      <c r="N230" s="77">
        <f>INT((M230*Valores!$C$2*100)+0.5)/100</f>
        <v>0</v>
      </c>
      <c r="O230" s="77">
        <f t="shared" si="37"/>
        <v>0</v>
      </c>
      <c r="P230" s="77">
        <f t="shared" si="38"/>
        <v>255.125</v>
      </c>
      <c r="Q230" s="61">
        <f>Valores!$C$14*D230</f>
        <v>137.54</v>
      </c>
      <c r="R230" s="61">
        <f>IF(D230&lt;15,(Valores!$E$4*D230),Valores!$D$4)</f>
        <v>178.89999999999998</v>
      </c>
      <c r="S230" s="77">
        <v>0</v>
      </c>
      <c r="T230" s="79">
        <f>IF(Valores!$C$45*D230&gt;Valores!$C$43,Valores!$C$43,Valores!$C$45*D230)</f>
        <v>36.31</v>
      </c>
      <c r="U230" s="61">
        <f>Valores!$C$22*D230</f>
        <v>53.3</v>
      </c>
      <c r="V230" s="77">
        <f t="shared" si="33"/>
        <v>79.94999999999999</v>
      </c>
      <c r="W230" s="77">
        <v>0</v>
      </c>
      <c r="X230" s="77">
        <v>0</v>
      </c>
      <c r="Y230" s="37">
        <v>0</v>
      </c>
      <c r="Z230" s="77">
        <f>Y230*Valores!$C$2</f>
        <v>0</v>
      </c>
      <c r="AA230" s="77">
        <v>0</v>
      </c>
      <c r="AB230" s="89">
        <f>IF((Valores!$C$32)*D230&gt;Valores!$F$32,Valores!$F$32,(Valores!$C$32)*D230)</f>
        <v>6.06</v>
      </c>
      <c r="AC230" s="77">
        <f t="shared" si="39"/>
        <v>0</v>
      </c>
      <c r="AD230" s="77">
        <f>IF(Valores!$C$33*D230&gt;Valores!$F$33,Valores!$F$33,Valores!$C$33*D230)</f>
        <v>5.04</v>
      </c>
      <c r="AE230" s="116">
        <v>94</v>
      </c>
      <c r="AF230" s="77">
        <f>INT(((AE230*Valores!$C$2)*100)+0.5)/100</f>
        <v>563.93</v>
      </c>
      <c r="AG230" s="77">
        <f>IF(Valores!$D$58*'Escala Docente'!D230&gt;Valores!$F$58,Valores!$F$58,Valores!$D$58*'Escala Docente'!D230)</f>
        <v>20.5</v>
      </c>
      <c r="AH230" s="77">
        <f>IF(Valores!$D$60*D230&gt;Valores!$F$60,Valores!$F$60,Valores!$D$60*D230)</f>
        <v>5.86</v>
      </c>
      <c r="AI230" s="77">
        <f>SUM(H230,J230,L230,N230,O230,P230,Q230,R230,S230,T230,V230,W230,X230,Z230,AA230,AB230,AC230,AD230,AF230,AG230,AH230)*Valores!$C$63</f>
        <v>0</v>
      </c>
      <c r="AJ230" s="140">
        <f t="shared" si="40"/>
        <v>1763.155</v>
      </c>
      <c r="AK230" s="61">
        <f>IF(Valores!$C$36*D230&gt;Valores!$F$36,Valores!$F$36,Valores!$C$36*D230)</f>
        <v>27.71</v>
      </c>
      <c r="AL230" s="79">
        <f>IF(Valores!$C$11*D230&gt;Valores!$F$11,Valores!$F$11,Valores!$C$11*D230)</f>
        <v>9.77</v>
      </c>
      <c r="AM230" s="89">
        <f>IF(Valores!$C$57*D230&gt;Valores!$F$57,Valores!$F$57,Valores!$C$57*D230)</f>
        <v>8.59</v>
      </c>
      <c r="AN230" s="79">
        <f>IF($H$4="SI",SUM(AL230+AM230),AL230)*Valores!$C$63</f>
        <v>0</v>
      </c>
      <c r="AO230" s="12">
        <f t="shared" si="44"/>
        <v>46.07000000000001</v>
      </c>
      <c r="AP230" s="13">
        <f>AJ230*-Valores!$C$65</f>
        <v>-229.21015</v>
      </c>
      <c r="AQ230" s="13">
        <f>AJ230*-Valores!$C$66</f>
        <v>-8.815775</v>
      </c>
      <c r="AR230" s="78">
        <f>AJ230*-Valores!$C$67</f>
        <v>-79.34197499999999</v>
      </c>
      <c r="AS230" s="78">
        <f>AJ230*-Valores!$C$68</f>
        <v>-47.605185000000006</v>
      </c>
      <c r="AT230" s="78">
        <f>AJ230*-Valores!$C$69</f>
        <v>-5.289465</v>
      </c>
      <c r="AU230" s="15">
        <f t="shared" si="41"/>
        <v>1491.8570999999997</v>
      </c>
      <c r="AV230" s="15">
        <f t="shared" si="42"/>
        <v>1518.304425</v>
      </c>
      <c r="AW230" s="78">
        <f>AJ230*Valores!$C$70</f>
        <v>282.1048</v>
      </c>
      <c r="AX230" s="78">
        <f>AJ230*Valores!$C$71</f>
        <v>79.34197499999999</v>
      </c>
      <c r="AY230" s="78">
        <f>AJ230*Valores!$C$73</f>
        <v>17.63155</v>
      </c>
      <c r="AZ230" s="78">
        <f>AJ230*Valores!$C$74</f>
        <v>61.71042500000001</v>
      </c>
      <c r="BA230" s="78">
        <f>AJ230*Valores!$C$75</f>
        <v>10.57893</v>
      </c>
      <c r="BB230" s="78">
        <f t="shared" si="45"/>
        <v>95.21037</v>
      </c>
      <c r="BC230" s="20"/>
      <c r="BD230" s="20">
        <f t="shared" si="46"/>
        <v>4</v>
      </c>
      <c r="BE230" s="9" t="s">
        <v>462</v>
      </c>
    </row>
    <row r="231" spans="1:57" s="9" customFormat="1" ht="11.25" customHeight="1">
      <c r="A231" s="55">
        <v>230</v>
      </c>
      <c r="B231" s="55" t="s">
        <v>458</v>
      </c>
      <c r="C231" s="52" t="s">
        <v>355</v>
      </c>
      <c r="D231" s="52">
        <v>2</v>
      </c>
      <c r="E231" s="52">
        <f t="shared" si="43"/>
        <v>33</v>
      </c>
      <c r="F231" s="53" t="str">
        <f>CONCATENATE("Hora Cátedra Enseñanza Media ",D231," hs")</f>
        <v>Hora Cátedra Enseñanza Media 2 hs</v>
      </c>
      <c r="G231" s="124">
        <f t="shared" si="47"/>
        <v>158</v>
      </c>
      <c r="H231" s="129">
        <f>INT((G231*Valores!$C$2*100))/100</f>
        <v>947.89</v>
      </c>
      <c r="I231" s="133">
        <v>0</v>
      </c>
      <c r="J231" s="80">
        <f>INT((I231*Valores!$C$2*100)+0.5)/100</f>
        <v>0</v>
      </c>
      <c r="K231" s="147">
        <v>0</v>
      </c>
      <c r="L231" s="80">
        <f>INT((K231*Valores!$C$2*100)+0.5)/100</f>
        <v>0</v>
      </c>
      <c r="M231" s="121">
        <v>0</v>
      </c>
      <c r="N231" s="80">
        <f>INT((M231*Valores!$C$2*100)+0.5)/100</f>
        <v>0</v>
      </c>
      <c r="O231" s="80">
        <f t="shared" si="37"/>
        <v>0</v>
      </c>
      <c r="P231" s="80">
        <f t="shared" si="38"/>
        <v>510.255</v>
      </c>
      <c r="Q231" s="85">
        <f>Valores!$C$14*D231</f>
        <v>275.08</v>
      </c>
      <c r="R231" s="85">
        <f>IF(D231&lt;15,(Valores!$E$4*D231),Valores!$D$4)</f>
        <v>357.79999999999995</v>
      </c>
      <c r="S231" s="80">
        <v>0</v>
      </c>
      <c r="T231" s="82">
        <f>IF(Valores!$C$45*D231&gt;Valores!$C$43,Valores!$C$43,Valores!$C$45*D231)</f>
        <v>72.62</v>
      </c>
      <c r="U231" s="85">
        <f>Valores!$C$22*D231</f>
        <v>106.6</v>
      </c>
      <c r="V231" s="80">
        <f t="shared" si="33"/>
        <v>159.89999999999998</v>
      </c>
      <c r="W231" s="80">
        <v>0</v>
      </c>
      <c r="X231" s="80">
        <v>0</v>
      </c>
      <c r="Y231" s="60">
        <v>0</v>
      </c>
      <c r="Z231" s="80">
        <f>Y231*Valores!$C$2</f>
        <v>0</v>
      </c>
      <c r="AA231" s="80">
        <v>0</v>
      </c>
      <c r="AB231" s="90">
        <f>IF((Valores!$C$32)*D231&gt;Valores!$F$32,Valores!$F$32,(Valores!$C$32)*D231)</f>
        <v>12.12</v>
      </c>
      <c r="AC231" s="80">
        <f t="shared" si="39"/>
        <v>0</v>
      </c>
      <c r="AD231" s="80">
        <f>IF(Valores!$C$33*D231&gt;Valores!$F$33,Valores!$F$33,Valores!$C$33*D231)</f>
        <v>10.08</v>
      </c>
      <c r="AE231" s="115">
        <v>0</v>
      </c>
      <c r="AF231" s="80">
        <f>INT(((AE231*Valores!$C$2)*100)+0.5)/100</f>
        <v>0</v>
      </c>
      <c r="AG231" s="80">
        <f>IF(Valores!$D$58*'Escala Docente'!D231&gt;Valores!$F$58,Valores!$F$58,Valores!$D$58*'Escala Docente'!D231)</f>
        <v>41</v>
      </c>
      <c r="AH231" s="80">
        <f>IF(Valores!$D$60*D231&gt;Valores!$F$60,Valores!$F$60,Valores!$D$60*D231)</f>
        <v>11.72</v>
      </c>
      <c r="AI231" s="80">
        <f>SUM(H231,J231,L231,N231,O231,P231,Q231,R231,S231,T231,V231,W231,X231,Z231,AA231,AB231,AC231,AD231,AF231,AG231,AH231)*Valores!$C$63</f>
        <v>0</v>
      </c>
      <c r="AJ231" s="141">
        <f t="shared" si="40"/>
        <v>2398.4649999999992</v>
      </c>
      <c r="AK231" s="85">
        <f>IF(Valores!$C$36*D231&gt;Valores!$F$36,Valores!$F$36,Valores!$C$36*D231)</f>
        <v>55.42</v>
      </c>
      <c r="AL231" s="82">
        <f>IF(Valores!$C$11*D231&gt;Valores!$F$11,Valores!$F$11,Valores!$C$11*D231)</f>
        <v>19.54</v>
      </c>
      <c r="AM231" s="90">
        <f>IF(Valores!$C$57*D231&gt;Valores!$F$57,Valores!$F$57,Valores!$C$57*D231)</f>
        <v>17.18</v>
      </c>
      <c r="AN231" s="82">
        <f>IF($H$4="SI",SUM(AL231+AM231),AL231)*Valores!$C$63</f>
        <v>0</v>
      </c>
      <c r="AO231" s="185">
        <f t="shared" si="44"/>
        <v>92.14000000000001</v>
      </c>
      <c r="AP231" s="154">
        <f>AJ231*-Valores!$C$65</f>
        <v>-311.8004499999999</v>
      </c>
      <c r="AQ231" s="154">
        <f>AJ231*-Valores!$C$66</f>
        <v>-11.992324999999996</v>
      </c>
      <c r="AR231" s="81">
        <f>AJ231*-Valores!$C$67</f>
        <v>-107.93092499999996</v>
      </c>
      <c r="AS231" s="81">
        <f>AJ231*-Valores!$C$68</f>
        <v>-64.75855499999999</v>
      </c>
      <c r="AT231" s="81">
        <f>AJ231*-Valores!$C$69</f>
        <v>-7.195394999999998</v>
      </c>
      <c r="AU231" s="54">
        <f t="shared" si="41"/>
        <v>2058.881299999999</v>
      </c>
      <c r="AV231" s="54">
        <f t="shared" si="42"/>
        <v>2094.858274999999</v>
      </c>
      <c r="AW231" s="81">
        <f>AJ231*Valores!$C$70</f>
        <v>383.75439999999986</v>
      </c>
      <c r="AX231" s="81">
        <f>AJ231*Valores!$C$71</f>
        <v>107.93092499999996</v>
      </c>
      <c r="AY231" s="81">
        <f>AJ231*Valores!$C$73</f>
        <v>23.98464999999999</v>
      </c>
      <c r="AZ231" s="81">
        <f>AJ231*Valores!$C$74</f>
        <v>83.94627499999999</v>
      </c>
      <c r="BA231" s="81">
        <f>AJ231*Valores!$C$75</f>
        <v>14.390789999999996</v>
      </c>
      <c r="BB231" s="81">
        <f t="shared" si="45"/>
        <v>129.51710999999997</v>
      </c>
      <c r="BC231" s="55"/>
      <c r="BD231" s="55">
        <f t="shared" si="46"/>
        <v>8</v>
      </c>
      <c r="BE231" s="52" t="s">
        <v>462</v>
      </c>
    </row>
    <row r="232" spans="1:57" s="9" customFormat="1" ht="11.25" customHeight="1">
      <c r="A232" s="20">
        <v>231</v>
      </c>
      <c r="B232" s="20"/>
      <c r="C232" s="9" t="s">
        <v>355</v>
      </c>
      <c r="D232" s="9">
        <v>2</v>
      </c>
      <c r="E232" s="9">
        <f t="shared" si="43"/>
        <v>41</v>
      </c>
      <c r="F232" s="10" t="str">
        <f>CONCATENATE("Hora Cátedra Enseñanza Media ",D232," hs Esc Esp")</f>
        <v>Hora Cátedra Enseñanza Media 2 hs Esc Esp</v>
      </c>
      <c r="G232" s="123">
        <f t="shared" si="47"/>
        <v>158</v>
      </c>
      <c r="H232" s="7">
        <f>INT((G232*Valores!$C$2*100))/100</f>
        <v>947.89</v>
      </c>
      <c r="I232" s="134">
        <v>0</v>
      </c>
      <c r="J232" s="77">
        <f>INT((I232*Valores!$C$2*100)+0.5)/100</f>
        <v>0</v>
      </c>
      <c r="K232" s="146">
        <v>0</v>
      </c>
      <c r="L232" s="77">
        <f>INT((K232*Valores!$C$2*100)+0.5)/100</f>
        <v>0</v>
      </c>
      <c r="M232" s="120">
        <v>0</v>
      </c>
      <c r="N232" s="77">
        <f>INT((M232*Valores!$C$2*100)+0.5)/100</f>
        <v>0</v>
      </c>
      <c r="O232" s="77">
        <f t="shared" si="37"/>
        <v>0</v>
      </c>
      <c r="P232" s="77">
        <f t="shared" si="38"/>
        <v>510.255</v>
      </c>
      <c r="Q232" s="61">
        <f>Valores!$C$14*D232</f>
        <v>275.08</v>
      </c>
      <c r="R232" s="61">
        <f>IF(D232&lt;15,(Valores!$E$4*D232),Valores!$D$4)</f>
        <v>357.79999999999995</v>
      </c>
      <c r="S232" s="77">
        <v>0</v>
      </c>
      <c r="T232" s="79">
        <f>IF(Valores!$C$45*D232&gt;Valores!$C$43,Valores!$C$43,Valores!$C$45*D232)</f>
        <v>72.62</v>
      </c>
      <c r="U232" s="61">
        <f>Valores!$C$22*D232</f>
        <v>106.6</v>
      </c>
      <c r="V232" s="77">
        <f t="shared" si="33"/>
        <v>159.89999999999998</v>
      </c>
      <c r="W232" s="77">
        <v>0</v>
      </c>
      <c r="X232" s="77">
        <v>0</v>
      </c>
      <c r="Y232" s="37">
        <v>0</v>
      </c>
      <c r="Z232" s="77">
        <f>Y232*Valores!$C$2</f>
        <v>0</v>
      </c>
      <c r="AA232" s="77">
        <v>0</v>
      </c>
      <c r="AB232" s="89">
        <f>IF((Valores!$C$32)*D232&gt;Valores!$F$32,Valores!$F$32,(Valores!$C$32)*D232)</f>
        <v>12.12</v>
      </c>
      <c r="AC232" s="77">
        <f t="shared" si="39"/>
        <v>0</v>
      </c>
      <c r="AD232" s="77">
        <f>IF(Valores!$C$33*D232&gt;Valores!$F$33,Valores!$F$33,Valores!$C$33*D232)</f>
        <v>10.08</v>
      </c>
      <c r="AE232" s="116">
        <v>94</v>
      </c>
      <c r="AF232" s="77">
        <f>INT(((AE232*Valores!$C$2)*100)+0.5)/100</f>
        <v>563.93</v>
      </c>
      <c r="AG232" s="77">
        <f>IF(Valores!$D$58*'Escala Docente'!D232&gt;Valores!$F$58,Valores!$F$58,Valores!$D$58*'Escala Docente'!D232)</f>
        <v>41</v>
      </c>
      <c r="AH232" s="77">
        <f>IF(Valores!$D$60*D232&gt;Valores!$F$60,Valores!$F$60,Valores!$D$60*D232)</f>
        <v>11.72</v>
      </c>
      <c r="AI232" s="77">
        <f>SUM(H232,J232,L232,N232,O232,P232,Q232,R232,S232,T232,V232,W232,X232,Z232,AA232,AB232,AC232,AD232,AF232,AG232,AH232)*Valores!$C$63</f>
        <v>0</v>
      </c>
      <c r="AJ232" s="140">
        <f t="shared" si="40"/>
        <v>2962.394999999999</v>
      </c>
      <c r="AK232" s="61">
        <f>IF(Valores!$C$36*D232&gt;Valores!$F$36,Valores!$F$36,Valores!$C$36*D232)</f>
        <v>55.42</v>
      </c>
      <c r="AL232" s="79">
        <f>IF(Valores!$C$11*D232&gt;Valores!$F$11,Valores!$F$11,Valores!$C$11*D232)</f>
        <v>19.54</v>
      </c>
      <c r="AM232" s="89">
        <f>IF(Valores!$C$57*D232&gt;Valores!$F$57,Valores!$F$57,Valores!$C$57*D232)</f>
        <v>17.18</v>
      </c>
      <c r="AN232" s="79">
        <f>IF($H$4="SI",SUM(AL232+AM232),AL232)*Valores!$C$63</f>
        <v>0</v>
      </c>
      <c r="AO232" s="12">
        <f t="shared" si="44"/>
        <v>92.14000000000001</v>
      </c>
      <c r="AP232" s="13">
        <f>AJ232*-Valores!$C$65</f>
        <v>-385.1113499999999</v>
      </c>
      <c r="AQ232" s="13">
        <f>AJ232*-Valores!$C$66</f>
        <v>-14.811974999999995</v>
      </c>
      <c r="AR232" s="78">
        <f>AJ232*-Valores!$C$67</f>
        <v>-133.30777499999996</v>
      </c>
      <c r="AS232" s="78">
        <f>AJ232*-Valores!$C$68</f>
        <v>-79.98466499999998</v>
      </c>
      <c r="AT232" s="78">
        <f>AJ232*-Valores!$C$69</f>
        <v>-8.887184999999997</v>
      </c>
      <c r="AU232" s="15">
        <f t="shared" si="41"/>
        <v>2521.303899999999</v>
      </c>
      <c r="AV232" s="15">
        <f t="shared" si="42"/>
        <v>2565.739824999999</v>
      </c>
      <c r="AW232" s="78">
        <f>AJ232*Valores!$C$70</f>
        <v>473.98319999999984</v>
      </c>
      <c r="AX232" s="78">
        <f>AJ232*Valores!$C$71</f>
        <v>133.30777499999996</v>
      </c>
      <c r="AY232" s="78">
        <f>AJ232*Valores!$C$73</f>
        <v>29.62394999999999</v>
      </c>
      <c r="AZ232" s="78">
        <f>AJ232*Valores!$C$74</f>
        <v>103.68382499999997</v>
      </c>
      <c r="BA232" s="78">
        <f>AJ232*Valores!$C$75</f>
        <v>17.774369999999994</v>
      </c>
      <c r="BB232" s="78">
        <f t="shared" si="45"/>
        <v>159.96932999999996</v>
      </c>
      <c r="BC232" s="20"/>
      <c r="BD232" s="20">
        <f t="shared" si="46"/>
        <v>8</v>
      </c>
      <c r="BE232" s="9" t="s">
        <v>462</v>
      </c>
    </row>
    <row r="233" spans="1:57" s="9" customFormat="1" ht="11.25" customHeight="1">
      <c r="A233" s="20">
        <v>232</v>
      </c>
      <c r="B233" s="20"/>
      <c r="C233" s="9" t="s">
        <v>355</v>
      </c>
      <c r="D233" s="9">
        <v>3</v>
      </c>
      <c r="E233" s="9">
        <f t="shared" si="43"/>
        <v>33</v>
      </c>
      <c r="F233" s="10" t="str">
        <f>CONCATENATE("Hora Cátedra Enseñanza Media ",D233," hs")</f>
        <v>Hora Cátedra Enseñanza Media 3 hs</v>
      </c>
      <c r="G233" s="123">
        <f t="shared" si="47"/>
        <v>237</v>
      </c>
      <c r="H233" s="7">
        <f>INT((G233*Valores!$C$2*100))/100</f>
        <v>1421.83</v>
      </c>
      <c r="I233" s="134">
        <v>0</v>
      </c>
      <c r="J233" s="77">
        <f>INT((I233*Valores!$C$2*100)+0.5)/100</f>
        <v>0</v>
      </c>
      <c r="K233" s="146">
        <v>0</v>
      </c>
      <c r="L233" s="77">
        <f>INT((K233*Valores!$C$2*100)+0.5)/100</f>
        <v>0</v>
      </c>
      <c r="M233" s="120">
        <v>0</v>
      </c>
      <c r="N233" s="77">
        <f>INT((M233*Valores!$C$2*100)+0.5)/100</f>
        <v>0</v>
      </c>
      <c r="O233" s="77">
        <f t="shared" si="37"/>
        <v>0</v>
      </c>
      <c r="P233" s="77">
        <f t="shared" si="38"/>
        <v>765.38</v>
      </c>
      <c r="Q233" s="61">
        <f>Valores!$C$14*D233</f>
        <v>412.62</v>
      </c>
      <c r="R233" s="61">
        <f>IF(D233&lt;15,(Valores!$E$4*D233),Valores!$D$4)</f>
        <v>536.6999999999999</v>
      </c>
      <c r="S233" s="77">
        <v>0</v>
      </c>
      <c r="T233" s="79">
        <f>IF(Valores!$C$45*D233&gt;Valores!$C$43,Valores!$C$43,Valores!$C$45*D233)</f>
        <v>108.93</v>
      </c>
      <c r="U233" s="61">
        <f>Valores!$C$22*D233</f>
        <v>159.89999999999998</v>
      </c>
      <c r="V233" s="77">
        <f t="shared" si="33"/>
        <v>239.84999999999997</v>
      </c>
      <c r="W233" s="77">
        <v>0</v>
      </c>
      <c r="X233" s="77">
        <v>0</v>
      </c>
      <c r="Y233" s="37">
        <v>0</v>
      </c>
      <c r="Z233" s="77">
        <f>Y233*Valores!$C$2</f>
        <v>0</v>
      </c>
      <c r="AA233" s="77">
        <v>0</v>
      </c>
      <c r="AB233" s="89">
        <f>IF((Valores!$C$32)*D233&gt;Valores!$F$32,Valores!$F$32,(Valores!$C$32)*D233)</f>
        <v>18.18</v>
      </c>
      <c r="AC233" s="77">
        <f t="shared" si="39"/>
        <v>0</v>
      </c>
      <c r="AD233" s="77">
        <f>IF(Valores!$C$33*D233&gt;Valores!$F$33,Valores!$F$33,Valores!$C$33*D233)</f>
        <v>15.120000000000001</v>
      </c>
      <c r="AE233" s="116">
        <v>0</v>
      </c>
      <c r="AF233" s="77">
        <f>INT(((AE233*Valores!$C$2)*100)+0.5)/100</f>
        <v>0</v>
      </c>
      <c r="AG233" s="77">
        <f>IF(Valores!$D$58*'Escala Docente'!D233&gt;Valores!$F$58,Valores!$F$58,Valores!$D$58*'Escala Docente'!D233)</f>
        <v>61.5</v>
      </c>
      <c r="AH233" s="77">
        <f>IF(Valores!$D$60*D233&gt;Valores!$F$60,Valores!$F$60,Valores!$D$60*D233)</f>
        <v>17.580000000000002</v>
      </c>
      <c r="AI233" s="77">
        <f>SUM(H233,J233,L233,N233,O233,P233,Q233,R233,S233,T233,V233,W233,X233,Z233,AA233,AB233,AC233,AD233,AF233,AG233,AH233)*Valores!$C$63</f>
        <v>0</v>
      </c>
      <c r="AJ233" s="140">
        <f t="shared" si="40"/>
        <v>3597.689999999999</v>
      </c>
      <c r="AK233" s="61">
        <f>IF(Valores!$C$36*D233&gt;Valores!$F$36,Valores!$F$36,Valores!$C$36*D233)</f>
        <v>83.13</v>
      </c>
      <c r="AL233" s="79">
        <f>IF(Valores!$C$11*D233&gt;Valores!$F$11,Valores!$F$11,Valores!$C$11*D233)</f>
        <v>29.31</v>
      </c>
      <c r="AM233" s="89">
        <f>IF(Valores!$C$57*D233&gt;Valores!$F$57,Valores!$F$57,Valores!$C$57*D233)</f>
        <v>25.77</v>
      </c>
      <c r="AN233" s="79">
        <f>IF($H$4="SI",SUM(AL233+AM233),AL233)*Valores!$C$63</f>
        <v>0</v>
      </c>
      <c r="AO233" s="12">
        <f t="shared" si="44"/>
        <v>138.21</v>
      </c>
      <c r="AP233" s="13">
        <f>AJ233*-Valores!$C$65</f>
        <v>-467.6996999999999</v>
      </c>
      <c r="AQ233" s="13">
        <f>AJ233*-Valores!$C$66</f>
        <v>-17.988449999999997</v>
      </c>
      <c r="AR233" s="78">
        <f>AJ233*-Valores!$C$67</f>
        <v>-161.89604999999995</v>
      </c>
      <c r="AS233" s="78">
        <f>AJ233*-Valores!$C$68</f>
        <v>-97.13762999999999</v>
      </c>
      <c r="AT233" s="78">
        <f>AJ233*-Valores!$C$69</f>
        <v>-10.793069999999998</v>
      </c>
      <c r="AU233" s="15">
        <f t="shared" si="41"/>
        <v>3088.3157999999994</v>
      </c>
      <c r="AV233" s="15">
        <f t="shared" si="42"/>
        <v>3142.2811499999993</v>
      </c>
      <c r="AW233" s="78">
        <f>AJ233*Valores!$C$70</f>
        <v>575.6303999999999</v>
      </c>
      <c r="AX233" s="78">
        <f>AJ233*Valores!$C$71</f>
        <v>161.89604999999995</v>
      </c>
      <c r="AY233" s="78">
        <f>AJ233*Valores!$C$73</f>
        <v>35.97689999999999</v>
      </c>
      <c r="AZ233" s="78">
        <f>AJ233*Valores!$C$74</f>
        <v>125.91914999999999</v>
      </c>
      <c r="BA233" s="78">
        <f>AJ233*Valores!$C$75</f>
        <v>21.586139999999997</v>
      </c>
      <c r="BB233" s="78">
        <f t="shared" si="45"/>
        <v>194.27525999999997</v>
      </c>
      <c r="BC233" s="20"/>
      <c r="BD233" s="20">
        <f t="shared" si="46"/>
        <v>12</v>
      </c>
      <c r="BE233" s="9" t="s">
        <v>462</v>
      </c>
    </row>
    <row r="234" spans="1:57" s="9" customFormat="1" ht="11.25" customHeight="1">
      <c r="A234" s="20">
        <v>233</v>
      </c>
      <c r="B234" s="20"/>
      <c r="C234" s="9" t="s">
        <v>355</v>
      </c>
      <c r="D234" s="9">
        <v>3</v>
      </c>
      <c r="E234" s="9">
        <f t="shared" si="43"/>
        <v>41</v>
      </c>
      <c r="F234" s="10" t="str">
        <f>CONCATENATE("Hora Cátedra Enseñanza Media ",D234," hs Esc Esp")</f>
        <v>Hora Cátedra Enseñanza Media 3 hs Esc Esp</v>
      </c>
      <c r="G234" s="123">
        <f t="shared" si="47"/>
        <v>237</v>
      </c>
      <c r="H234" s="7">
        <f>INT((G234*Valores!$C$2*100))/100</f>
        <v>1421.83</v>
      </c>
      <c r="I234" s="134">
        <v>0</v>
      </c>
      <c r="J234" s="77">
        <f>INT((I234*Valores!$C$2*100)+0.5)/100</f>
        <v>0</v>
      </c>
      <c r="K234" s="146">
        <v>0</v>
      </c>
      <c r="L234" s="77">
        <f>INT((K234*Valores!$C$2*100)+0.5)/100</f>
        <v>0</v>
      </c>
      <c r="M234" s="120">
        <v>0</v>
      </c>
      <c r="N234" s="77">
        <f>INT((M234*Valores!$C$2*100)+0.5)/100</f>
        <v>0</v>
      </c>
      <c r="O234" s="77">
        <f t="shared" si="37"/>
        <v>0</v>
      </c>
      <c r="P234" s="77">
        <f t="shared" si="38"/>
        <v>765.38</v>
      </c>
      <c r="Q234" s="61">
        <f>Valores!$C$14*D234</f>
        <v>412.62</v>
      </c>
      <c r="R234" s="61">
        <f>IF(D234&lt;15,(Valores!$E$4*D234),Valores!$D$4)</f>
        <v>536.6999999999999</v>
      </c>
      <c r="S234" s="77">
        <v>0</v>
      </c>
      <c r="T234" s="79">
        <f>IF(Valores!$C$45*D234&gt;Valores!$C$43,Valores!$C$43,Valores!$C$45*D234)</f>
        <v>108.93</v>
      </c>
      <c r="U234" s="61">
        <f>Valores!$C$22*D234</f>
        <v>159.89999999999998</v>
      </c>
      <c r="V234" s="77">
        <f t="shared" si="33"/>
        <v>239.84999999999997</v>
      </c>
      <c r="W234" s="77">
        <v>0</v>
      </c>
      <c r="X234" s="77">
        <v>0</v>
      </c>
      <c r="Y234" s="37">
        <v>0</v>
      </c>
      <c r="Z234" s="77">
        <f>Y234*Valores!$C$2</f>
        <v>0</v>
      </c>
      <c r="AA234" s="77">
        <v>0</v>
      </c>
      <c r="AB234" s="89">
        <f>IF((Valores!$C$32)*D234&gt;Valores!$F$32,Valores!$F$32,(Valores!$C$32)*D234)</f>
        <v>18.18</v>
      </c>
      <c r="AC234" s="77">
        <f t="shared" si="39"/>
        <v>0</v>
      </c>
      <c r="AD234" s="77">
        <f>IF(Valores!$C$33*D234&gt;Valores!$F$33,Valores!$F$33,Valores!$C$33*D234)</f>
        <v>15.120000000000001</v>
      </c>
      <c r="AE234" s="116">
        <v>94</v>
      </c>
      <c r="AF234" s="77">
        <f>INT(((AE234*Valores!$C$2)*100)+0.5)/100</f>
        <v>563.93</v>
      </c>
      <c r="AG234" s="77">
        <f>IF(Valores!$D$58*'Escala Docente'!D234&gt;Valores!$F$58,Valores!$F$58,Valores!$D$58*'Escala Docente'!D234)</f>
        <v>61.5</v>
      </c>
      <c r="AH234" s="77">
        <f>IF(Valores!$D$60*D234&gt;Valores!$F$60,Valores!$F$60,Valores!$D$60*D234)</f>
        <v>17.580000000000002</v>
      </c>
      <c r="AI234" s="77">
        <f>SUM(H234,J234,L234,N234,O234,P234,Q234,R234,S234,T234,V234,W234,X234,Z234,AA234,AB234,AC234,AD234,AF234,AG234,AH234)*Valores!$C$63</f>
        <v>0</v>
      </c>
      <c r="AJ234" s="140">
        <f t="shared" si="40"/>
        <v>4161.619999999999</v>
      </c>
      <c r="AK234" s="61">
        <f>IF(Valores!$C$36*D234&gt;Valores!$F$36,Valores!$F$36,Valores!$C$36*D234)</f>
        <v>83.13</v>
      </c>
      <c r="AL234" s="79">
        <f>IF(Valores!$C$11*D234&gt;Valores!$F$11,Valores!$F$11,Valores!$C$11*D234)</f>
        <v>29.31</v>
      </c>
      <c r="AM234" s="89">
        <f>IF(Valores!$C$57*D234&gt;Valores!$F$57,Valores!$F$57,Valores!$C$57*D234)</f>
        <v>25.77</v>
      </c>
      <c r="AN234" s="79">
        <f>IF($H$4="SI",SUM(AL234+AM234),AL234)*Valores!$C$63</f>
        <v>0</v>
      </c>
      <c r="AO234" s="12">
        <f t="shared" si="44"/>
        <v>138.21</v>
      </c>
      <c r="AP234" s="13">
        <f>AJ234*-Valores!$C$65</f>
        <v>-541.0105999999998</v>
      </c>
      <c r="AQ234" s="13">
        <f>AJ234*-Valores!$C$66</f>
        <v>-20.808099999999996</v>
      </c>
      <c r="AR234" s="78">
        <f>AJ234*-Valores!$C$67</f>
        <v>-187.27289999999994</v>
      </c>
      <c r="AS234" s="78">
        <f>AJ234*-Valores!$C$68</f>
        <v>-112.36373999999998</v>
      </c>
      <c r="AT234" s="78">
        <f>AJ234*-Valores!$C$69</f>
        <v>-12.484859999999998</v>
      </c>
      <c r="AU234" s="15">
        <f t="shared" si="41"/>
        <v>3550.7383999999993</v>
      </c>
      <c r="AV234" s="15">
        <f t="shared" si="42"/>
        <v>3613.1626999999994</v>
      </c>
      <c r="AW234" s="78">
        <f>AJ234*Valores!$C$70</f>
        <v>665.8591999999999</v>
      </c>
      <c r="AX234" s="78">
        <f>AJ234*Valores!$C$71</f>
        <v>187.27289999999994</v>
      </c>
      <c r="AY234" s="78">
        <f>AJ234*Valores!$C$73</f>
        <v>41.61619999999999</v>
      </c>
      <c r="AZ234" s="78">
        <f>AJ234*Valores!$C$74</f>
        <v>145.65669999999997</v>
      </c>
      <c r="BA234" s="78">
        <f>AJ234*Valores!$C$75</f>
        <v>24.969719999999995</v>
      </c>
      <c r="BB234" s="78">
        <f t="shared" si="45"/>
        <v>224.72747999999996</v>
      </c>
      <c r="BC234" s="20"/>
      <c r="BD234" s="55">
        <f t="shared" si="46"/>
        <v>12</v>
      </c>
      <c r="BE234" s="9" t="s">
        <v>462</v>
      </c>
    </row>
    <row r="235" spans="1:57" s="9" customFormat="1" ht="11.25" customHeight="1">
      <c r="A235" s="20">
        <v>234</v>
      </c>
      <c r="B235" s="20"/>
      <c r="C235" s="9" t="s">
        <v>355</v>
      </c>
      <c r="D235" s="9">
        <v>4</v>
      </c>
      <c r="E235" s="9">
        <f t="shared" si="43"/>
        <v>33</v>
      </c>
      <c r="F235" s="10" t="str">
        <f>CONCATENATE("Hora Cátedra Enseñanza Media ",D235," hs")</f>
        <v>Hora Cátedra Enseñanza Media 4 hs</v>
      </c>
      <c r="G235" s="123">
        <f t="shared" si="47"/>
        <v>316</v>
      </c>
      <c r="H235" s="7">
        <f>INT((G235*Valores!$C$2*100))/100</f>
        <v>1895.78</v>
      </c>
      <c r="I235" s="134">
        <v>0</v>
      </c>
      <c r="J235" s="77">
        <f>INT((I235*Valores!$C$2*100)+0.5)/100</f>
        <v>0</v>
      </c>
      <c r="K235" s="146">
        <v>0</v>
      </c>
      <c r="L235" s="77">
        <f>INT((K235*Valores!$C$2*100)+0.5)/100</f>
        <v>0</v>
      </c>
      <c r="M235" s="120">
        <v>0</v>
      </c>
      <c r="N235" s="77">
        <f>INT((M235*Valores!$C$2*100)+0.5)/100</f>
        <v>0</v>
      </c>
      <c r="O235" s="77">
        <f t="shared" si="37"/>
        <v>0</v>
      </c>
      <c r="P235" s="77">
        <f t="shared" si="38"/>
        <v>1020.51</v>
      </c>
      <c r="Q235" s="61">
        <f>Valores!$C$14*D235</f>
        <v>550.16</v>
      </c>
      <c r="R235" s="61">
        <f>IF(D235&lt;15,(Valores!$E$4*D235),Valores!$D$4)</f>
        <v>715.5999999999999</v>
      </c>
      <c r="S235" s="77">
        <v>0</v>
      </c>
      <c r="T235" s="79">
        <f>IF(Valores!$C$45*D235&gt;Valores!$C$43,Valores!$C$43,Valores!$C$45*D235)</f>
        <v>145.24</v>
      </c>
      <c r="U235" s="61">
        <f>Valores!$C$22*D235</f>
        <v>213.2</v>
      </c>
      <c r="V235" s="77">
        <f t="shared" si="33"/>
        <v>319.79999999999995</v>
      </c>
      <c r="W235" s="77">
        <v>0</v>
      </c>
      <c r="X235" s="77">
        <v>0</v>
      </c>
      <c r="Y235" s="37">
        <v>0</v>
      </c>
      <c r="Z235" s="77">
        <f>Y235*Valores!$C$2</f>
        <v>0</v>
      </c>
      <c r="AA235" s="77">
        <v>0</v>
      </c>
      <c r="AB235" s="89">
        <f>IF((Valores!$C$32)*D235&gt;Valores!$F$32,Valores!$F$32,(Valores!$C$32)*D235)</f>
        <v>24.24</v>
      </c>
      <c r="AC235" s="77">
        <f t="shared" si="39"/>
        <v>0</v>
      </c>
      <c r="AD235" s="77">
        <f>IF(Valores!$C$33*D235&gt;Valores!$F$33,Valores!$F$33,Valores!$C$33*D235)</f>
        <v>20.16</v>
      </c>
      <c r="AE235" s="116">
        <v>0</v>
      </c>
      <c r="AF235" s="77">
        <f>INT(((AE235*Valores!$C$2)*100)+0.5)/100</f>
        <v>0</v>
      </c>
      <c r="AG235" s="77">
        <f>IF(Valores!$D$58*'Escala Docente'!D235&gt;Valores!$F$58,Valores!$F$58,Valores!$D$58*'Escala Docente'!D235)</f>
        <v>82</v>
      </c>
      <c r="AH235" s="77">
        <f>IF(Valores!$D$60*D235&gt;Valores!$F$60,Valores!$F$60,Valores!$D$60*D235)</f>
        <v>23.44</v>
      </c>
      <c r="AI235" s="77">
        <f>SUM(H235,J235,L235,N235,O235,P235,Q235,R235,S235,T235,V235,W235,X235,Z235,AA235,AB235,AC235,AD235,AF235,AG235,AH235)*Valores!$C$63</f>
        <v>0</v>
      </c>
      <c r="AJ235" s="140">
        <f t="shared" si="40"/>
        <v>4796.9299999999985</v>
      </c>
      <c r="AK235" s="61">
        <f>IF(Valores!$C$36*D235&gt;Valores!$F$36,Valores!$F$36,Valores!$C$36*D235)</f>
        <v>110.84</v>
      </c>
      <c r="AL235" s="79">
        <f>IF(Valores!$C$11*D235&gt;Valores!$F$11,Valores!$F$11,Valores!$C$11*D235)</f>
        <v>39.08</v>
      </c>
      <c r="AM235" s="89">
        <f>IF(Valores!$C$57*D235&gt;Valores!$F$57,Valores!$F$57,Valores!$C$57*D235)</f>
        <v>34.36</v>
      </c>
      <c r="AN235" s="79">
        <f>IF($H$4="SI",SUM(AL235+AM235),AL235)*Valores!$C$63</f>
        <v>0</v>
      </c>
      <c r="AO235" s="12">
        <f t="shared" si="44"/>
        <v>184.28000000000003</v>
      </c>
      <c r="AP235" s="13">
        <f>AJ235*-Valores!$C$65</f>
        <v>-623.6008999999998</v>
      </c>
      <c r="AQ235" s="13">
        <f>AJ235*-Valores!$C$66</f>
        <v>-23.98464999999999</v>
      </c>
      <c r="AR235" s="78">
        <f>AJ235*-Valores!$C$67</f>
        <v>-215.86184999999992</v>
      </c>
      <c r="AS235" s="78">
        <f>AJ235*-Valores!$C$68</f>
        <v>-129.51710999999997</v>
      </c>
      <c r="AT235" s="78">
        <f>AJ235*-Valores!$C$69</f>
        <v>-14.390789999999996</v>
      </c>
      <c r="AU235" s="15">
        <f t="shared" si="41"/>
        <v>4117.762599999998</v>
      </c>
      <c r="AV235" s="15">
        <f t="shared" si="42"/>
        <v>4189.716549999998</v>
      </c>
      <c r="AW235" s="78">
        <f>AJ235*Valores!$C$70</f>
        <v>767.5087999999997</v>
      </c>
      <c r="AX235" s="78">
        <f>AJ235*Valores!$C$71</f>
        <v>215.86184999999992</v>
      </c>
      <c r="AY235" s="78">
        <f>AJ235*Valores!$C$73</f>
        <v>47.96929999999998</v>
      </c>
      <c r="AZ235" s="78">
        <f>AJ235*Valores!$C$74</f>
        <v>167.89254999999997</v>
      </c>
      <c r="BA235" s="78">
        <f>AJ235*Valores!$C$75</f>
        <v>28.78157999999999</v>
      </c>
      <c r="BB235" s="78">
        <f t="shared" si="45"/>
        <v>259.03421999999995</v>
      </c>
      <c r="BC235" s="20"/>
      <c r="BD235" s="20">
        <f t="shared" si="46"/>
        <v>16</v>
      </c>
      <c r="BE235" s="9" t="s">
        <v>462</v>
      </c>
    </row>
    <row r="236" spans="1:57" s="9" customFormat="1" ht="11.25" customHeight="1">
      <c r="A236" s="55">
        <v>235</v>
      </c>
      <c r="B236" s="55" t="s">
        <v>458</v>
      </c>
      <c r="C236" s="52" t="s">
        <v>355</v>
      </c>
      <c r="D236" s="52">
        <v>4</v>
      </c>
      <c r="E236" s="52">
        <f t="shared" si="43"/>
        <v>41</v>
      </c>
      <c r="F236" s="53" t="str">
        <f>CONCATENATE("Hora Cátedra Enseñanza Media ",D236," hs Esc Esp")</f>
        <v>Hora Cátedra Enseñanza Media 4 hs Esc Esp</v>
      </c>
      <c r="G236" s="124">
        <f t="shared" si="47"/>
        <v>316</v>
      </c>
      <c r="H236" s="129">
        <f>INT((G236*Valores!$C$2*100))/100</f>
        <v>1895.78</v>
      </c>
      <c r="I236" s="133">
        <v>0</v>
      </c>
      <c r="J236" s="80">
        <f>INT((I236*Valores!$C$2*100)+0.5)/100</f>
        <v>0</v>
      </c>
      <c r="K236" s="147">
        <v>0</v>
      </c>
      <c r="L236" s="80">
        <f>INT((K236*Valores!$C$2*100)+0.5)/100</f>
        <v>0</v>
      </c>
      <c r="M236" s="121">
        <v>0</v>
      </c>
      <c r="N236" s="80">
        <f>INT((M236*Valores!$C$2*100)+0.5)/100</f>
        <v>0</v>
      </c>
      <c r="O236" s="80">
        <f t="shared" si="37"/>
        <v>0</v>
      </c>
      <c r="P236" s="80">
        <f t="shared" si="38"/>
        <v>1020.51</v>
      </c>
      <c r="Q236" s="85">
        <f>Valores!$C$14*D236</f>
        <v>550.16</v>
      </c>
      <c r="R236" s="85">
        <f>IF(D236&lt;15,(Valores!$E$4*D236),Valores!$D$4)</f>
        <v>715.5999999999999</v>
      </c>
      <c r="S236" s="80">
        <v>0</v>
      </c>
      <c r="T236" s="82">
        <f>IF(Valores!$C$45*D236&gt;Valores!$C$43,Valores!$C$43,Valores!$C$45*D236)</f>
        <v>145.24</v>
      </c>
      <c r="U236" s="85">
        <f>Valores!$C$22*D236</f>
        <v>213.2</v>
      </c>
      <c r="V236" s="80">
        <f t="shared" si="33"/>
        <v>319.79999999999995</v>
      </c>
      <c r="W236" s="80">
        <v>0</v>
      </c>
      <c r="X236" s="80">
        <v>0</v>
      </c>
      <c r="Y236" s="60">
        <v>0</v>
      </c>
      <c r="Z236" s="80">
        <f>Y236*Valores!$C$2</f>
        <v>0</v>
      </c>
      <c r="AA236" s="80">
        <v>0</v>
      </c>
      <c r="AB236" s="90">
        <f>IF((Valores!$C$32)*D236&gt;Valores!$F$32,Valores!$F$32,(Valores!$C$32)*D236)</f>
        <v>24.24</v>
      </c>
      <c r="AC236" s="80">
        <f t="shared" si="39"/>
        <v>0</v>
      </c>
      <c r="AD236" s="80">
        <f>IF(Valores!$C$33*D236&gt;Valores!$F$33,Valores!$F$33,Valores!$C$33*D236)</f>
        <v>20.16</v>
      </c>
      <c r="AE236" s="115">
        <v>94</v>
      </c>
      <c r="AF236" s="80">
        <f>INT(((AE236*Valores!$C$2)*100)+0.5)/100</f>
        <v>563.93</v>
      </c>
      <c r="AG236" s="80">
        <f>IF(Valores!$D$58*'Escala Docente'!D236&gt;Valores!$F$58,Valores!$F$58,Valores!$D$58*'Escala Docente'!D236)</f>
        <v>82</v>
      </c>
      <c r="AH236" s="80">
        <f>IF(Valores!$D$60*D236&gt;Valores!$F$60,Valores!$F$60,Valores!$D$60*D236)</f>
        <v>23.44</v>
      </c>
      <c r="AI236" s="80">
        <f>SUM(H236,J236,L236,N236,O236,P236,Q236,R236,S236,T236,V236,W236,X236,Z236,AA236,AB236,AC236,AD236,AF236,AG236,AH236)*Valores!$C$63</f>
        <v>0</v>
      </c>
      <c r="AJ236" s="141">
        <f t="shared" si="40"/>
        <v>5360.859999999999</v>
      </c>
      <c r="AK236" s="85">
        <f>IF(Valores!$C$36*D236&gt;Valores!$F$36,Valores!$F$36,Valores!$C$36*D236)</f>
        <v>110.84</v>
      </c>
      <c r="AL236" s="82">
        <f>IF(Valores!$C$11*D236&gt;Valores!$F$11,Valores!$F$11,Valores!$C$11*D236)</f>
        <v>39.08</v>
      </c>
      <c r="AM236" s="90">
        <f>IF(Valores!$C$57*D236&gt;Valores!$F$57,Valores!$F$57,Valores!$C$57*D236)</f>
        <v>34.36</v>
      </c>
      <c r="AN236" s="82">
        <f>IF($H$4="SI",SUM(AL236+AM236),AL236)*Valores!$C$63</f>
        <v>0</v>
      </c>
      <c r="AO236" s="185">
        <f t="shared" si="44"/>
        <v>184.28000000000003</v>
      </c>
      <c r="AP236" s="154">
        <f>AJ236*-Valores!$C$65</f>
        <v>-696.9117999999999</v>
      </c>
      <c r="AQ236" s="154">
        <f>AJ236*-Valores!$C$66</f>
        <v>-26.804299999999994</v>
      </c>
      <c r="AR236" s="81">
        <f>AJ236*-Valores!$C$67</f>
        <v>-241.23869999999994</v>
      </c>
      <c r="AS236" s="81">
        <f>AJ236*-Valores!$C$68</f>
        <v>-144.74321999999998</v>
      </c>
      <c r="AT236" s="81">
        <f>AJ236*-Valores!$C$69</f>
        <v>-16.082579999999997</v>
      </c>
      <c r="AU236" s="54">
        <f t="shared" si="41"/>
        <v>4580.185199999999</v>
      </c>
      <c r="AV236" s="54">
        <f t="shared" si="42"/>
        <v>4660.598099999998</v>
      </c>
      <c r="AW236" s="81">
        <f>AJ236*Valores!$C$70</f>
        <v>857.7375999999998</v>
      </c>
      <c r="AX236" s="81">
        <f>AJ236*Valores!$C$71</f>
        <v>241.23869999999994</v>
      </c>
      <c r="AY236" s="81">
        <f>AJ236*Valores!$C$73</f>
        <v>53.60859999999999</v>
      </c>
      <c r="AZ236" s="81">
        <f>AJ236*Valores!$C$74</f>
        <v>187.63009999999997</v>
      </c>
      <c r="BA236" s="81">
        <f>AJ236*Valores!$C$75</f>
        <v>32.16515999999999</v>
      </c>
      <c r="BB236" s="81">
        <f t="shared" si="45"/>
        <v>289.48643999999996</v>
      </c>
      <c r="BC236" s="55"/>
      <c r="BD236" s="55">
        <f t="shared" si="46"/>
        <v>16</v>
      </c>
      <c r="BE236" s="52" t="s">
        <v>462</v>
      </c>
    </row>
    <row r="237" spans="1:57" s="9" customFormat="1" ht="11.25" customHeight="1">
      <c r="A237" s="20">
        <v>236</v>
      </c>
      <c r="B237" s="20"/>
      <c r="C237" s="9" t="s">
        <v>355</v>
      </c>
      <c r="D237" s="9">
        <v>5</v>
      </c>
      <c r="E237" s="9">
        <f t="shared" si="43"/>
        <v>33</v>
      </c>
      <c r="F237" s="10" t="str">
        <f>CONCATENATE("Hora Cátedra Enseñanza Media ",D237," hs")</f>
        <v>Hora Cátedra Enseñanza Media 5 hs</v>
      </c>
      <c r="G237" s="123">
        <f t="shared" si="47"/>
        <v>395</v>
      </c>
      <c r="H237" s="7">
        <f>INT((G237*Valores!$C$2*100))/100</f>
        <v>2369.72</v>
      </c>
      <c r="I237" s="134">
        <v>0</v>
      </c>
      <c r="J237" s="77">
        <f>INT((I237*Valores!$C$2*100)+0.5)/100</f>
        <v>0</v>
      </c>
      <c r="K237" s="146">
        <v>0</v>
      </c>
      <c r="L237" s="77">
        <f>INT((K237*Valores!$C$2*100)+0.5)/100</f>
        <v>0</v>
      </c>
      <c r="M237" s="120">
        <v>0</v>
      </c>
      <c r="N237" s="77">
        <f>INT((M237*Valores!$C$2*100)+0.5)/100</f>
        <v>0</v>
      </c>
      <c r="O237" s="77">
        <f t="shared" si="37"/>
        <v>0</v>
      </c>
      <c r="P237" s="77">
        <f t="shared" si="38"/>
        <v>1275.635</v>
      </c>
      <c r="Q237" s="61">
        <f>Valores!$C$14*D237</f>
        <v>687.6999999999999</v>
      </c>
      <c r="R237" s="61">
        <f>IF(D237&lt;15,(Valores!$E$4*D237),Valores!$D$4)</f>
        <v>894.4999999999999</v>
      </c>
      <c r="S237" s="77">
        <v>0</v>
      </c>
      <c r="T237" s="79">
        <f>IF(Valores!$C$45*D237&gt;Valores!$C$43,Valores!$C$43,Valores!$C$45*D237)</f>
        <v>181.55</v>
      </c>
      <c r="U237" s="61">
        <f>Valores!$C$22*D237</f>
        <v>266.5</v>
      </c>
      <c r="V237" s="77">
        <f t="shared" si="33"/>
        <v>399.75</v>
      </c>
      <c r="W237" s="77">
        <v>0</v>
      </c>
      <c r="X237" s="77">
        <v>0</v>
      </c>
      <c r="Y237" s="37">
        <v>0</v>
      </c>
      <c r="Z237" s="77">
        <f>Y237*Valores!$C$2</f>
        <v>0</v>
      </c>
      <c r="AA237" s="77">
        <v>0</v>
      </c>
      <c r="AB237" s="89">
        <f>IF((Valores!$C$32)*D237&gt;Valores!$F$32,Valores!$F$32,(Valores!$C$32)*D237)</f>
        <v>30.299999999999997</v>
      </c>
      <c r="AC237" s="77">
        <f t="shared" si="39"/>
        <v>0</v>
      </c>
      <c r="AD237" s="77">
        <f>IF(Valores!$C$33*D237&gt;Valores!$F$33,Valores!$F$33,Valores!$C$33*D237)</f>
        <v>25.2</v>
      </c>
      <c r="AE237" s="116">
        <v>0</v>
      </c>
      <c r="AF237" s="77">
        <f>INT(((AE237*Valores!$C$2)*100)+0.5)/100</f>
        <v>0</v>
      </c>
      <c r="AG237" s="77">
        <f>IF(Valores!$D$58*'Escala Docente'!D237&gt;Valores!$F$58,Valores!$F$58,Valores!$D$58*'Escala Docente'!D237)</f>
        <v>102.5</v>
      </c>
      <c r="AH237" s="77">
        <f>IF(Valores!$D$60*D237&gt;Valores!$F$60,Valores!$F$60,Valores!$D$60*D237)</f>
        <v>29.3</v>
      </c>
      <c r="AI237" s="77">
        <f>SUM(H237,J237,L237,N237,O237,P237,Q237,R237,S237,T237,V237,W237,X237,Z237,AA237,AB237,AC237,AD237,AF237,AG237,AH237)*Valores!$C$63</f>
        <v>0</v>
      </c>
      <c r="AJ237" s="140">
        <f t="shared" si="40"/>
        <v>5996.155</v>
      </c>
      <c r="AK237" s="61">
        <f>IF(Valores!$C$36*D237&gt;Valores!$F$36,Valores!$F$36,Valores!$C$36*D237)</f>
        <v>138.55</v>
      </c>
      <c r="AL237" s="79">
        <f>IF(Valores!$C$11*D237&gt;Valores!$F$11,Valores!$F$11,Valores!$C$11*D237)</f>
        <v>48.849999999999994</v>
      </c>
      <c r="AM237" s="89">
        <f>IF(Valores!$C$57*D237&gt;Valores!$F$57,Valores!$F$57,Valores!$C$57*D237)</f>
        <v>42.95</v>
      </c>
      <c r="AN237" s="79">
        <f>IF($H$4="SI",SUM(AL237+AM237),AL237)*Valores!$C$63</f>
        <v>0</v>
      </c>
      <c r="AO237" s="12">
        <f t="shared" si="44"/>
        <v>230.35000000000002</v>
      </c>
      <c r="AP237" s="13">
        <f>AJ237*-Valores!$C$65</f>
        <v>-779.50015</v>
      </c>
      <c r="AQ237" s="13">
        <f>AJ237*-Valores!$C$66</f>
        <v>-29.980774999999998</v>
      </c>
      <c r="AR237" s="78">
        <f>AJ237*-Valores!$C$67</f>
        <v>-269.826975</v>
      </c>
      <c r="AS237" s="78">
        <f>AJ237*-Valores!$C$68</f>
        <v>-161.896185</v>
      </c>
      <c r="AT237" s="78">
        <f>AJ237*-Valores!$C$69</f>
        <v>-17.988464999999998</v>
      </c>
      <c r="AU237" s="15">
        <f t="shared" si="41"/>
        <v>5147.1971</v>
      </c>
      <c r="AV237" s="15">
        <f t="shared" si="42"/>
        <v>5237.139425</v>
      </c>
      <c r="AW237" s="78">
        <f>AJ237*Valores!$C$70</f>
        <v>959.3847999999999</v>
      </c>
      <c r="AX237" s="78">
        <f>AJ237*Valores!$C$71</f>
        <v>269.826975</v>
      </c>
      <c r="AY237" s="78">
        <f>AJ237*Valores!$C$73</f>
        <v>59.961549999999995</v>
      </c>
      <c r="AZ237" s="78">
        <f>AJ237*Valores!$C$74</f>
        <v>209.86542500000002</v>
      </c>
      <c r="BA237" s="78">
        <f>AJ237*Valores!$C$75</f>
        <v>35.976929999999996</v>
      </c>
      <c r="BB237" s="78">
        <f t="shared" si="45"/>
        <v>323.79237</v>
      </c>
      <c r="BC237" s="20"/>
      <c r="BD237" s="20">
        <f t="shared" si="46"/>
        <v>20</v>
      </c>
      <c r="BE237" s="9" t="s">
        <v>462</v>
      </c>
    </row>
    <row r="238" spans="1:57" s="9" customFormat="1" ht="11.25" customHeight="1">
      <c r="A238" s="20">
        <v>237</v>
      </c>
      <c r="B238" s="20"/>
      <c r="C238" s="9" t="s">
        <v>355</v>
      </c>
      <c r="D238" s="9">
        <v>5</v>
      </c>
      <c r="E238" s="9">
        <f t="shared" si="43"/>
        <v>41</v>
      </c>
      <c r="F238" s="10" t="str">
        <f>CONCATENATE("Hora Cátedra Enseñanza Media ",D238," hs Esc Esp")</f>
        <v>Hora Cátedra Enseñanza Media 5 hs Esc Esp</v>
      </c>
      <c r="G238" s="123">
        <f t="shared" si="47"/>
        <v>395</v>
      </c>
      <c r="H238" s="7">
        <f>INT((G238*Valores!$C$2*100))/100</f>
        <v>2369.72</v>
      </c>
      <c r="I238" s="134">
        <v>0</v>
      </c>
      <c r="J238" s="77">
        <f>INT((I238*Valores!$C$2*100)+0.5)/100</f>
        <v>0</v>
      </c>
      <c r="K238" s="146">
        <v>0</v>
      </c>
      <c r="L238" s="77">
        <f>INT((K238*Valores!$C$2*100)+0.5)/100</f>
        <v>0</v>
      </c>
      <c r="M238" s="120">
        <v>0</v>
      </c>
      <c r="N238" s="77">
        <f>INT((M238*Valores!$C$2*100)+0.5)/100</f>
        <v>0</v>
      </c>
      <c r="O238" s="77">
        <f t="shared" si="37"/>
        <v>0</v>
      </c>
      <c r="P238" s="77">
        <f t="shared" si="38"/>
        <v>1275.635</v>
      </c>
      <c r="Q238" s="61">
        <f>Valores!$C$14*D238</f>
        <v>687.6999999999999</v>
      </c>
      <c r="R238" s="61">
        <f>IF(D238&lt;15,(Valores!$E$4*D238),Valores!$D$4)</f>
        <v>894.4999999999999</v>
      </c>
      <c r="S238" s="77">
        <v>0</v>
      </c>
      <c r="T238" s="79">
        <f>IF(Valores!$C$45*D238&gt;Valores!$C$43,Valores!$C$43,Valores!$C$45*D238)</f>
        <v>181.55</v>
      </c>
      <c r="U238" s="61">
        <f>Valores!$C$22*D238</f>
        <v>266.5</v>
      </c>
      <c r="V238" s="77">
        <f t="shared" si="33"/>
        <v>399.75</v>
      </c>
      <c r="W238" s="77">
        <v>0</v>
      </c>
      <c r="X238" s="77">
        <v>0</v>
      </c>
      <c r="Y238" s="37">
        <v>0</v>
      </c>
      <c r="Z238" s="77">
        <f>Y238*Valores!$C$2</f>
        <v>0</v>
      </c>
      <c r="AA238" s="77">
        <v>0</v>
      </c>
      <c r="AB238" s="89">
        <f>IF((Valores!$C$32)*D238&gt;Valores!$F$32,Valores!$F$32,(Valores!$C$32)*D238)</f>
        <v>30.299999999999997</v>
      </c>
      <c r="AC238" s="77">
        <f t="shared" si="39"/>
        <v>0</v>
      </c>
      <c r="AD238" s="77">
        <f>IF(Valores!$C$33*D238&gt;Valores!$F$33,Valores!$F$33,Valores!$C$33*D238)</f>
        <v>25.2</v>
      </c>
      <c r="AE238" s="116">
        <v>94</v>
      </c>
      <c r="AF238" s="77">
        <f>INT(((AE238*Valores!$C$2)*100)+0.5)/100</f>
        <v>563.93</v>
      </c>
      <c r="AG238" s="77">
        <f>IF(Valores!$D$58*'Escala Docente'!D238&gt;Valores!$F$58,Valores!$F$58,Valores!$D$58*'Escala Docente'!D238)</f>
        <v>102.5</v>
      </c>
      <c r="AH238" s="77">
        <f>IF(Valores!$D$60*D238&gt;Valores!$F$60,Valores!$F$60,Valores!$D$60*D238)</f>
        <v>29.3</v>
      </c>
      <c r="AI238" s="77">
        <f>SUM(H238,J238,L238,N238,O238,P238,Q238,R238,S238,T238,V238,W238,X238,Z238,AA238,AB238,AC238,AD238,AF238,AG238,AH238)*Valores!$C$63</f>
        <v>0</v>
      </c>
      <c r="AJ238" s="140">
        <f t="shared" si="40"/>
        <v>6560.085</v>
      </c>
      <c r="AK238" s="61">
        <f>IF(Valores!$C$36*D238&gt;Valores!$F$36,Valores!$F$36,Valores!$C$36*D238)</f>
        <v>138.55</v>
      </c>
      <c r="AL238" s="79">
        <f>IF(Valores!$C$11*D238&gt;Valores!$F$11,Valores!$F$11,Valores!$C$11*D238)</f>
        <v>48.849999999999994</v>
      </c>
      <c r="AM238" s="89">
        <f>IF(Valores!$C$57*D238&gt;Valores!$F$57,Valores!$F$57,Valores!$C$57*D238)</f>
        <v>42.95</v>
      </c>
      <c r="AN238" s="79">
        <f>IF($H$4="SI",SUM(AL238+AM238),AL238)*Valores!$C$63</f>
        <v>0</v>
      </c>
      <c r="AO238" s="12">
        <f t="shared" si="44"/>
        <v>230.35000000000002</v>
      </c>
      <c r="AP238" s="13">
        <f>AJ238*-Valores!$C$65</f>
        <v>-852.81105</v>
      </c>
      <c r="AQ238" s="13">
        <f>AJ238*-Valores!$C$66</f>
        <v>-32.800425000000004</v>
      </c>
      <c r="AR238" s="78">
        <f>AJ238*-Valores!$C$67</f>
        <v>-295.203825</v>
      </c>
      <c r="AS238" s="78">
        <f>AJ238*-Valores!$C$68</f>
        <v>-177.122295</v>
      </c>
      <c r="AT238" s="78">
        <f>AJ238*-Valores!$C$69</f>
        <v>-19.680255</v>
      </c>
      <c r="AU238" s="15">
        <f t="shared" si="41"/>
        <v>5609.6197</v>
      </c>
      <c r="AV238" s="15">
        <f t="shared" si="42"/>
        <v>5708.020974999999</v>
      </c>
      <c r="AW238" s="78">
        <f>AJ238*Valores!$C$70</f>
        <v>1049.6136000000001</v>
      </c>
      <c r="AX238" s="78">
        <f>AJ238*Valores!$C$71</f>
        <v>295.203825</v>
      </c>
      <c r="AY238" s="78">
        <f>AJ238*Valores!$C$73</f>
        <v>65.60085000000001</v>
      </c>
      <c r="AZ238" s="78">
        <f>AJ238*Valores!$C$74</f>
        <v>229.60297500000001</v>
      </c>
      <c r="BA238" s="78">
        <f>AJ238*Valores!$C$75</f>
        <v>39.36051</v>
      </c>
      <c r="BB238" s="78">
        <f t="shared" si="45"/>
        <v>354.24459</v>
      </c>
      <c r="BC238" s="20"/>
      <c r="BD238" s="20">
        <f t="shared" si="46"/>
        <v>20</v>
      </c>
      <c r="BE238" s="9" t="s">
        <v>462</v>
      </c>
    </row>
    <row r="239" spans="1:57" s="9" customFormat="1" ht="11.25" customHeight="1">
      <c r="A239" s="20">
        <v>238</v>
      </c>
      <c r="B239" s="20"/>
      <c r="C239" s="9" t="s">
        <v>355</v>
      </c>
      <c r="D239" s="9">
        <v>6</v>
      </c>
      <c r="E239" s="9">
        <f t="shared" si="43"/>
        <v>33</v>
      </c>
      <c r="F239" s="10" t="str">
        <f>CONCATENATE("Hora Cátedra Enseñanza Media ",D239," hs")</f>
        <v>Hora Cátedra Enseñanza Media 6 hs</v>
      </c>
      <c r="G239" s="123">
        <f t="shared" si="47"/>
        <v>474</v>
      </c>
      <c r="H239" s="7">
        <f>INT((G239*Valores!$C$2*100))/100</f>
        <v>2843.67</v>
      </c>
      <c r="I239" s="134">
        <v>0</v>
      </c>
      <c r="J239" s="77">
        <f>INT((I239*Valores!$C$2*100)+0.5)/100</f>
        <v>0</v>
      </c>
      <c r="K239" s="146">
        <v>0</v>
      </c>
      <c r="L239" s="77">
        <f>INT((K239*Valores!$C$2*100)+0.5)/100</f>
        <v>0</v>
      </c>
      <c r="M239" s="120">
        <v>0</v>
      </c>
      <c r="N239" s="77">
        <f>INT((M239*Valores!$C$2*100)+0.5)/100</f>
        <v>0</v>
      </c>
      <c r="O239" s="77">
        <f t="shared" si="37"/>
        <v>0</v>
      </c>
      <c r="P239" s="77">
        <f t="shared" si="38"/>
        <v>1530.765</v>
      </c>
      <c r="Q239" s="61">
        <f>Valores!$C$14*D239</f>
        <v>825.24</v>
      </c>
      <c r="R239" s="61">
        <f>IF(D239&lt;15,(Valores!$E$4*D239),Valores!$D$4)</f>
        <v>1073.3999999999999</v>
      </c>
      <c r="S239" s="77">
        <v>0</v>
      </c>
      <c r="T239" s="79">
        <f>IF(Valores!$C$45*D239&gt;Valores!$C$43,Valores!$C$43,Valores!$C$45*D239)</f>
        <v>217.86</v>
      </c>
      <c r="U239" s="61">
        <f>Valores!$C$22*D239</f>
        <v>319.79999999999995</v>
      </c>
      <c r="V239" s="77">
        <f t="shared" si="33"/>
        <v>479.69999999999993</v>
      </c>
      <c r="W239" s="77">
        <v>0</v>
      </c>
      <c r="X239" s="77">
        <v>0</v>
      </c>
      <c r="Y239" s="37">
        <v>0</v>
      </c>
      <c r="Z239" s="77">
        <f>Y239*Valores!$C$2</f>
        <v>0</v>
      </c>
      <c r="AA239" s="77">
        <v>0</v>
      </c>
      <c r="AB239" s="89">
        <f>IF((Valores!$C$32)*D239&gt;Valores!$F$32,Valores!$F$32,(Valores!$C$32)*D239)</f>
        <v>36.36</v>
      </c>
      <c r="AC239" s="77">
        <f t="shared" si="39"/>
        <v>0</v>
      </c>
      <c r="AD239" s="77">
        <f>IF(Valores!$C$33*D239&gt;Valores!$F$33,Valores!$F$33,Valores!$C$33*D239)</f>
        <v>30.240000000000002</v>
      </c>
      <c r="AE239" s="116">
        <v>0</v>
      </c>
      <c r="AF239" s="77">
        <f>INT(((AE239*Valores!$C$2)*100)+0.5)/100</f>
        <v>0</v>
      </c>
      <c r="AG239" s="77">
        <f>IF(Valores!$D$58*'Escala Docente'!D239&gt;Valores!$F$58,Valores!$F$58,Valores!$D$58*'Escala Docente'!D239)</f>
        <v>123</v>
      </c>
      <c r="AH239" s="77">
        <f>IF(Valores!$D$60*D239&gt;Valores!$F$60,Valores!$F$60,Valores!$D$60*D239)</f>
        <v>35.160000000000004</v>
      </c>
      <c r="AI239" s="77">
        <f>SUM(H239,J239,L239,N239,O239,P239,Q239,R239,S239,T239,V239,W239,X239,Z239,AA239,AB239,AC239,AD239,AF239,AG239,AH239)*Valores!$C$63</f>
        <v>0</v>
      </c>
      <c r="AJ239" s="140">
        <f t="shared" si="40"/>
        <v>7195.394999999999</v>
      </c>
      <c r="AK239" s="61">
        <f>IF(Valores!$C$36*D239&gt;Valores!$F$36,Valores!$F$36,Valores!$C$36*D239)</f>
        <v>166.26</v>
      </c>
      <c r="AL239" s="79">
        <f>IF(Valores!$C$11*D239&gt;Valores!$F$11,Valores!$F$11,Valores!$C$11*D239)</f>
        <v>58.62</v>
      </c>
      <c r="AM239" s="89">
        <f>IF(Valores!$C$57*D239&gt;Valores!$F$57,Valores!$F$57,Valores!$C$57*D239)</f>
        <v>51.54</v>
      </c>
      <c r="AN239" s="79">
        <f>IF($H$4="SI",SUM(AL239+AM239),AL239)*Valores!$C$63</f>
        <v>0</v>
      </c>
      <c r="AO239" s="12">
        <f t="shared" si="44"/>
        <v>276.42</v>
      </c>
      <c r="AP239" s="13">
        <f>AJ239*-Valores!$C$65</f>
        <v>-935.4013499999999</v>
      </c>
      <c r="AQ239" s="13">
        <f>AJ239*-Valores!$C$66</f>
        <v>-35.976974999999996</v>
      </c>
      <c r="AR239" s="78">
        <f>AJ239*-Valores!$C$67</f>
        <v>-323.79277499999995</v>
      </c>
      <c r="AS239" s="78">
        <f>AJ239*-Valores!$C$68</f>
        <v>-194.27566499999998</v>
      </c>
      <c r="AT239" s="78">
        <f>AJ239*-Valores!$C$69</f>
        <v>-21.586184999999997</v>
      </c>
      <c r="AU239" s="15">
        <f t="shared" si="41"/>
        <v>6176.643899999999</v>
      </c>
      <c r="AV239" s="15">
        <f t="shared" si="42"/>
        <v>6284.574824999999</v>
      </c>
      <c r="AW239" s="78">
        <f>AJ239*Valores!$C$70</f>
        <v>1151.2631999999999</v>
      </c>
      <c r="AX239" s="78">
        <f>AJ239*Valores!$C$71</f>
        <v>323.79277499999995</v>
      </c>
      <c r="AY239" s="78">
        <f>AJ239*Valores!$C$73</f>
        <v>71.95394999999999</v>
      </c>
      <c r="AZ239" s="78">
        <f>AJ239*Valores!$C$74</f>
        <v>251.83882499999999</v>
      </c>
      <c r="BA239" s="78">
        <f>AJ239*Valores!$C$75</f>
        <v>43.172369999999994</v>
      </c>
      <c r="BB239" s="78">
        <f t="shared" si="45"/>
        <v>388.55132999999995</v>
      </c>
      <c r="BC239" s="20"/>
      <c r="BD239" s="55">
        <f t="shared" si="46"/>
        <v>24</v>
      </c>
      <c r="BE239" s="9" t="s">
        <v>462</v>
      </c>
    </row>
    <row r="240" spans="1:57" s="9" customFormat="1" ht="11.25" customHeight="1">
      <c r="A240" s="20">
        <v>239</v>
      </c>
      <c r="B240" s="20"/>
      <c r="C240" s="9" t="s">
        <v>355</v>
      </c>
      <c r="D240" s="9">
        <v>6</v>
      </c>
      <c r="E240" s="9">
        <f t="shared" si="43"/>
        <v>41</v>
      </c>
      <c r="F240" s="10" t="str">
        <f>CONCATENATE("Hora Cátedra Enseñanza Media ",D240," hs Esc Esp")</f>
        <v>Hora Cátedra Enseñanza Media 6 hs Esc Esp</v>
      </c>
      <c r="G240" s="123">
        <f t="shared" si="47"/>
        <v>474</v>
      </c>
      <c r="H240" s="7">
        <f>INT((G240*Valores!$C$2*100))/100</f>
        <v>2843.67</v>
      </c>
      <c r="I240" s="134">
        <v>0</v>
      </c>
      <c r="J240" s="77">
        <f>INT((I240*Valores!$C$2*100)+0.5)/100</f>
        <v>0</v>
      </c>
      <c r="K240" s="146">
        <v>0</v>
      </c>
      <c r="L240" s="77">
        <f>INT((K240*Valores!$C$2*100)+0.5)/100</f>
        <v>0</v>
      </c>
      <c r="M240" s="120">
        <v>0</v>
      </c>
      <c r="N240" s="77">
        <f>INT((M240*Valores!$C$2*100)+0.5)/100</f>
        <v>0</v>
      </c>
      <c r="O240" s="77">
        <f t="shared" si="37"/>
        <v>0</v>
      </c>
      <c r="P240" s="77">
        <f t="shared" si="38"/>
        <v>1530.765</v>
      </c>
      <c r="Q240" s="61">
        <f>Valores!$C$14*D240</f>
        <v>825.24</v>
      </c>
      <c r="R240" s="61">
        <f>IF(D240&lt;15,(Valores!$E$4*D240),Valores!$D$4)</f>
        <v>1073.3999999999999</v>
      </c>
      <c r="S240" s="77">
        <v>0</v>
      </c>
      <c r="T240" s="79">
        <f>IF(Valores!$C$45*D240&gt;Valores!$C$43,Valores!$C$43,Valores!$C$45*D240)</f>
        <v>217.86</v>
      </c>
      <c r="U240" s="61">
        <f>Valores!$C$22*D240</f>
        <v>319.79999999999995</v>
      </c>
      <c r="V240" s="77">
        <f t="shared" si="33"/>
        <v>479.69999999999993</v>
      </c>
      <c r="W240" s="77">
        <v>0</v>
      </c>
      <c r="X240" s="77">
        <v>0</v>
      </c>
      <c r="Y240" s="37">
        <v>0</v>
      </c>
      <c r="Z240" s="77">
        <f>Y240*Valores!$C$2</f>
        <v>0</v>
      </c>
      <c r="AA240" s="77">
        <v>0</v>
      </c>
      <c r="AB240" s="89">
        <f>IF((Valores!$C$32)*D240&gt;Valores!$F$32,Valores!$F$32,(Valores!$C$32)*D240)</f>
        <v>36.36</v>
      </c>
      <c r="AC240" s="77">
        <f t="shared" si="39"/>
        <v>0</v>
      </c>
      <c r="AD240" s="77">
        <f>IF(Valores!$C$33*D240&gt;Valores!$F$33,Valores!$F$33,Valores!$C$33*D240)</f>
        <v>30.240000000000002</v>
      </c>
      <c r="AE240" s="116">
        <v>94</v>
      </c>
      <c r="AF240" s="77">
        <f>INT(((AE240*Valores!$C$2)*100)+0.5)/100</f>
        <v>563.93</v>
      </c>
      <c r="AG240" s="77">
        <f>IF(Valores!$D$58*'Escala Docente'!D240&gt;Valores!$F$58,Valores!$F$58,Valores!$D$58*'Escala Docente'!D240)</f>
        <v>123</v>
      </c>
      <c r="AH240" s="77">
        <f>IF(Valores!$D$60*D240&gt;Valores!$F$60,Valores!$F$60,Valores!$D$60*D240)</f>
        <v>35.160000000000004</v>
      </c>
      <c r="AI240" s="77">
        <f>SUM(H240,J240,L240,N240,O240,P240,Q240,R240,S240,T240,V240,W240,X240,Z240,AA240,AB240,AC240,AD240,AF240,AG240,AH240)*Valores!$C$63</f>
        <v>0</v>
      </c>
      <c r="AJ240" s="140">
        <f t="shared" si="40"/>
        <v>7759.324999999999</v>
      </c>
      <c r="AK240" s="61">
        <f>IF(Valores!$C$36*D240&gt;Valores!$F$36,Valores!$F$36,Valores!$C$36*D240)</f>
        <v>166.26</v>
      </c>
      <c r="AL240" s="79">
        <f>IF(Valores!$C$11*D240&gt;Valores!$F$11,Valores!$F$11,Valores!$C$11*D240)</f>
        <v>58.62</v>
      </c>
      <c r="AM240" s="89">
        <f>IF(Valores!$C$57*D240&gt;Valores!$F$57,Valores!$F$57,Valores!$C$57*D240)</f>
        <v>51.54</v>
      </c>
      <c r="AN240" s="79">
        <f>IF($H$4="SI",SUM(AL240+AM240),AL240)*Valores!$C$63</f>
        <v>0</v>
      </c>
      <c r="AO240" s="12">
        <f t="shared" si="44"/>
        <v>276.42</v>
      </c>
      <c r="AP240" s="13">
        <f>AJ240*-Valores!$C$65</f>
        <v>-1008.7122499999999</v>
      </c>
      <c r="AQ240" s="13">
        <f>AJ240*-Valores!$C$66</f>
        <v>-38.796625</v>
      </c>
      <c r="AR240" s="78">
        <f>AJ240*-Valores!$C$67</f>
        <v>-349.16962499999994</v>
      </c>
      <c r="AS240" s="78">
        <f>AJ240*-Valores!$C$68</f>
        <v>-209.501775</v>
      </c>
      <c r="AT240" s="78">
        <f>AJ240*-Valores!$C$69</f>
        <v>-23.277974999999998</v>
      </c>
      <c r="AU240" s="15">
        <f t="shared" si="41"/>
        <v>6639.0665</v>
      </c>
      <c r="AV240" s="15">
        <f t="shared" si="42"/>
        <v>6755.456375</v>
      </c>
      <c r="AW240" s="78">
        <f>AJ240*Valores!$C$70</f>
        <v>1241.492</v>
      </c>
      <c r="AX240" s="78">
        <f>AJ240*Valores!$C$71</f>
        <v>349.16962499999994</v>
      </c>
      <c r="AY240" s="78">
        <f>AJ240*Valores!$C$73</f>
        <v>77.59325</v>
      </c>
      <c r="AZ240" s="78">
        <f>AJ240*Valores!$C$74</f>
        <v>271.576375</v>
      </c>
      <c r="BA240" s="78">
        <f>AJ240*Valores!$C$75</f>
        <v>46.555949999999996</v>
      </c>
      <c r="BB240" s="78">
        <f t="shared" si="45"/>
        <v>419.00354999999996</v>
      </c>
      <c r="BC240" s="20"/>
      <c r="BD240" s="20">
        <f t="shared" si="46"/>
        <v>24</v>
      </c>
      <c r="BE240" s="9" t="s">
        <v>462</v>
      </c>
    </row>
    <row r="241" spans="1:57" s="9" customFormat="1" ht="11.25" customHeight="1">
      <c r="A241" s="55">
        <v>240</v>
      </c>
      <c r="B241" s="55" t="s">
        <v>458</v>
      </c>
      <c r="C241" s="52" t="s">
        <v>355</v>
      </c>
      <c r="D241" s="52">
        <v>7</v>
      </c>
      <c r="E241" s="52">
        <f t="shared" si="43"/>
        <v>33</v>
      </c>
      <c r="F241" s="53" t="str">
        <f>CONCATENATE("Hora Cátedra Enseñanza Media ",D241," hs")</f>
        <v>Hora Cátedra Enseñanza Media 7 hs</v>
      </c>
      <c r="G241" s="124">
        <f t="shared" si="47"/>
        <v>553</v>
      </c>
      <c r="H241" s="129">
        <f>INT((G241*Valores!$C$2*100))/100</f>
        <v>3317.61</v>
      </c>
      <c r="I241" s="133">
        <v>0</v>
      </c>
      <c r="J241" s="80">
        <f>INT((I241*Valores!$C$2*100)+0.5)/100</f>
        <v>0</v>
      </c>
      <c r="K241" s="147">
        <v>0</v>
      </c>
      <c r="L241" s="80">
        <f>INT((K241*Valores!$C$2*100)+0.5)/100</f>
        <v>0</v>
      </c>
      <c r="M241" s="121">
        <v>0</v>
      </c>
      <c r="N241" s="80">
        <f>INT((M241*Valores!$C$2*100)+0.5)/100</f>
        <v>0</v>
      </c>
      <c r="O241" s="80">
        <f t="shared" si="37"/>
        <v>0</v>
      </c>
      <c r="P241" s="80">
        <f t="shared" si="38"/>
        <v>1785.89</v>
      </c>
      <c r="Q241" s="85">
        <f>Valores!$C$14*D241</f>
        <v>962.78</v>
      </c>
      <c r="R241" s="85">
        <f>IF(D241&lt;15,(Valores!$E$4*D241),Valores!$D$4)</f>
        <v>1252.2999999999997</v>
      </c>
      <c r="S241" s="80">
        <v>0</v>
      </c>
      <c r="T241" s="82">
        <f>IF(Valores!$C$45*D241&gt;Valores!$C$43,Valores!$C$43,Valores!$C$45*D241)</f>
        <v>254.17000000000002</v>
      </c>
      <c r="U241" s="85">
        <f>Valores!$C$22*D241</f>
        <v>373.09999999999997</v>
      </c>
      <c r="V241" s="80">
        <f aca="true" t="shared" si="48" ref="V241:V302">U241*(1+$J$2)</f>
        <v>559.65</v>
      </c>
      <c r="W241" s="80">
        <v>0</v>
      </c>
      <c r="X241" s="80">
        <v>0</v>
      </c>
      <c r="Y241" s="60">
        <v>0</v>
      </c>
      <c r="Z241" s="80">
        <f>Y241*Valores!$C$2</f>
        <v>0</v>
      </c>
      <c r="AA241" s="80">
        <v>0</v>
      </c>
      <c r="AB241" s="90">
        <f>IF((Valores!$C$32)*D241&gt;Valores!$F$32,Valores!$F$32,(Valores!$C$32)*D241)</f>
        <v>42.419999999999995</v>
      </c>
      <c r="AC241" s="80">
        <f t="shared" si="39"/>
        <v>0</v>
      </c>
      <c r="AD241" s="80">
        <f>IF(Valores!$C$33*D241&gt;Valores!$F$33,Valores!$F$33,Valores!$C$33*D241)</f>
        <v>35.28</v>
      </c>
      <c r="AE241" s="115">
        <v>0</v>
      </c>
      <c r="AF241" s="80">
        <f>INT(((AE241*Valores!$C$2)*100)+0.5)/100</f>
        <v>0</v>
      </c>
      <c r="AG241" s="80">
        <f>IF(Valores!$D$58*'Escala Docente'!D241&gt;Valores!$F$58,Valores!$F$58,Valores!$D$58*'Escala Docente'!D241)</f>
        <v>143.5</v>
      </c>
      <c r="AH241" s="80">
        <f>IF(Valores!$D$60*D241&gt;Valores!$F$60,Valores!$F$60,Valores!$D$60*D241)</f>
        <v>41.02</v>
      </c>
      <c r="AI241" s="80">
        <f>SUM(H241,J241,L241,N241,O241,P241,Q241,R241,S241,T241,V241,W241,X241,Z241,AA241,AB241,AC241,AD241,AF241,AG241,AH241)*Valores!$C$63</f>
        <v>0</v>
      </c>
      <c r="AJ241" s="141">
        <f t="shared" si="40"/>
        <v>8394.619999999999</v>
      </c>
      <c r="AK241" s="85">
        <f>IF(Valores!$C$36*D241&gt;Valores!$F$36,Valores!$F$36,Valores!$C$36*D241)</f>
        <v>193.97</v>
      </c>
      <c r="AL241" s="82">
        <f>IF(Valores!$C$11*D241&gt;Valores!$F$11,Valores!$F$11,Valores!$C$11*D241)</f>
        <v>68.39</v>
      </c>
      <c r="AM241" s="90">
        <f>IF(Valores!$C$57*D241&gt;Valores!$F$57,Valores!$F$57,Valores!$C$57*D241)</f>
        <v>60.129999999999995</v>
      </c>
      <c r="AN241" s="82">
        <f>IF($H$4="SI",SUM(AL241+AM241),AL241)*Valores!$C$63</f>
        <v>0</v>
      </c>
      <c r="AO241" s="185">
        <f t="shared" si="44"/>
        <v>322.49</v>
      </c>
      <c r="AP241" s="154">
        <f>AJ241*-Valores!$C$65</f>
        <v>-1091.3005999999998</v>
      </c>
      <c r="AQ241" s="154">
        <f>AJ241*-Valores!$C$66</f>
        <v>-41.973099999999995</v>
      </c>
      <c r="AR241" s="81">
        <f>AJ241*-Valores!$C$67</f>
        <v>-377.75789999999995</v>
      </c>
      <c r="AS241" s="81">
        <f>AJ241*-Valores!$C$68</f>
        <v>-226.65474</v>
      </c>
      <c r="AT241" s="81">
        <f>AJ241*-Valores!$C$69</f>
        <v>-25.183859999999996</v>
      </c>
      <c r="AU241" s="54">
        <f t="shared" si="41"/>
        <v>7206.078399999999</v>
      </c>
      <c r="AV241" s="54">
        <f t="shared" si="42"/>
        <v>7331.9977</v>
      </c>
      <c r="AW241" s="81">
        <f>AJ241*Valores!$C$70</f>
        <v>1343.1391999999998</v>
      </c>
      <c r="AX241" s="81">
        <f>AJ241*Valores!$C$71</f>
        <v>377.75789999999995</v>
      </c>
      <c r="AY241" s="81">
        <f>AJ241*Valores!$C$73</f>
        <v>83.94619999999999</v>
      </c>
      <c r="AZ241" s="81">
        <f>AJ241*Valores!$C$74</f>
        <v>293.8117</v>
      </c>
      <c r="BA241" s="81">
        <f>AJ241*Valores!$C$75</f>
        <v>50.36771999999999</v>
      </c>
      <c r="BB241" s="81">
        <f t="shared" si="45"/>
        <v>453.30947999999995</v>
      </c>
      <c r="BC241" s="55"/>
      <c r="BD241" s="55">
        <f t="shared" si="46"/>
        <v>28</v>
      </c>
      <c r="BE241" s="52" t="s">
        <v>462</v>
      </c>
    </row>
    <row r="242" spans="1:57" s="9" customFormat="1" ht="11.25" customHeight="1">
      <c r="A242" s="20">
        <v>241</v>
      </c>
      <c r="B242" s="20"/>
      <c r="C242" s="9" t="s">
        <v>355</v>
      </c>
      <c r="D242" s="9">
        <v>7</v>
      </c>
      <c r="E242" s="9">
        <f t="shared" si="43"/>
        <v>41</v>
      </c>
      <c r="F242" s="10" t="str">
        <f>CONCATENATE("Hora Cátedra Enseñanza Media ",D242," hs Esc Esp")</f>
        <v>Hora Cátedra Enseñanza Media 7 hs Esc Esp</v>
      </c>
      <c r="G242" s="123">
        <f t="shared" si="47"/>
        <v>553</v>
      </c>
      <c r="H242" s="7">
        <f>INT((G242*Valores!$C$2*100))/100</f>
        <v>3317.61</v>
      </c>
      <c r="I242" s="134">
        <v>0</v>
      </c>
      <c r="J242" s="77">
        <f>INT((I242*Valores!$C$2*100)+0.5)/100</f>
        <v>0</v>
      </c>
      <c r="K242" s="146">
        <v>0</v>
      </c>
      <c r="L242" s="77">
        <f>INT((K242*Valores!$C$2*100)+0.5)/100</f>
        <v>0</v>
      </c>
      <c r="M242" s="120">
        <v>0</v>
      </c>
      <c r="N242" s="77">
        <f>INT((M242*Valores!$C$2*100)+0.5)/100</f>
        <v>0</v>
      </c>
      <c r="O242" s="77">
        <f t="shared" si="37"/>
        <v>0</v>
      </c>
      <c r="P242" s="77">
        <f t="shared" si="38"/>
        <v>1785.89</v>
      </c>
      <c r="Q242" s="61">
        <f>Valores!$C$14*D242</f>
        <v>962.78</v>
      </c>
      <c r="R242" s="61">
        <f>IF(D242&lt;15,(Valores!$E$4*D242),Valores!$D$4)</f>
        <v>1252.2999999999997</v>
      </c>
      <c r="S242" s="77">
        <v>0</v>
      </c>
      <c r="T242" s="79">
        <f>IF(Valores!$C$45*D242&gt;Valores!$C$43,Valores!$C$43,Valores!$C$45*D242)</f>
        <v>254.17000000000002</v>
      </c>
      <c r="U242" s="61">
        <f>Valores!$C$22*D242</f>
        <v>373.09999999999997</v>
      </c>
      <c r="V242" s="77">
        <f t="shared" si="48"/>
        <v>559.65</v>
      </c>
      <c r="W242" s="77">
        <v>0</v>
      </c>
      <c r="X242" s="77">
        <v>0</v>
      </c>
      <c r="Y242" s="37">
        <v>0</v>
      </c>
      <c r="Z242" s="77">
        <f>Y242*Valores!$C$2</f>
        <v>0</v>
      </c>
      <c r="AA242" s="77">
        <v>0</v>
      </c>
      <c r="AB242" s="89">
        <f>IF((Valores!$C$32)*D242&gt;Valores!$F$32,Valores!$F$32,(Valores!$C$32)*D242)</f>
        <v>42.419999999999995</v>
      </c>
      <c r="AC242" s="77">
        <f t="shared" si="39"/>
        <v>0</v>
      </c>
      <c r="AD242" s="77">
        <f>IF(Valores!$C$33*D242&gt;Valores!$F$33,Valores!$F$33,Valores!$C$33*D242)</f>
        <v>35.28</v>
      </c>
      <c r="AE242" s="116">
        <v>94</v>
      </c>
      <c r="AF242" s="77">
        <f>INT(((AE242*Valores!$C$2)*100)+0.5)/100</f>
        <v>563.93</v>
      </c>
      <c r="AG242" s="77">
        <f>IF(Valores!$D$58*'Escala Docente'!D242&gt;Valores!$F$58,Valores!$F$58,Valores!$D$58*'Escala Docente'!D242)</f>
        <v>143.5</v>
      </c>
      <c r="AH242" s="77">
        <f>IF(Valores!$D$60*D242&gt;Valores!$F$60,Valores!$F$60,Valores!$D$60*D242)</f>
        <v>41.02</v>
      </c>
      <c r="AI242" s="77">
        <f>SUM(H242,J242,L242,N242,O242,P242,Q242,R242,S242,T242,V242,W242,X242,Z242,AA242,AB242,AC242,AD242,AF242,AG242,AH242)*Valores!$C$63</f>
        <v>0</v>
      </c>
      <c r="AJ242" s="140">
        <f t="shared" si="40"/>
        <v>8958.55</v>
      </c>
      <c r="AK242" s="61">
        <f>IF(Valores!$C$36*D242&gt;Valores!$F$36,Valores!$F$36,Valores!$C$36*D242)</f>
        <v>193.97</v>
      </c>
      <c r="AL242" s="79">
        <f>IF(Valores!$C$11*D242&gt;Valores!$F$11,Valores!$F$11,Valores!$C$11*D242)</f>
        <v>68.39</v>
      </c>
      <c r="AM242" s="89">
        <f>IF(Valores!$C$57*D242&gt;Valores!$F$57,Valores!$F$57,Valores!$C$57*D242)</f>
        <v>60.129999999999995</v>
      </c>
      <c r="AN242" s="79">
        <f>IF($H$4="SI",SUM(AL242+AM242),AL242)*Valores!$C$63</f>
        <v>0</v>
      </c>
      <c r="AO242" s="12">
        <f t="shared" si="44"/>
        <v>322.49</v>
      </c>
      <c r="AP242" s="13">
        <f>AJ242*-Valores!$C$65</f>
        <v>-1164.6115</v>
      </c>
      <c r="AQ242" s="13">
        <f>AJ242*-Valores!$C$66</f>
        <v>-44.79275</v>
      </c>
      <c r="AR242" s="78">
        <f>AJ242*-Valores!$C$67</f>
        <v>-403.13474999999994</v>
      </c>
      <c r="AS242" s="78">
        <f>AJ242*-Valores!$C$68</f>
        <v>-241.88085</v>
      </c>
      <c r="AT242" s="78">
        <f>AJ242*-Valores!$C$69</f>
        <v>-26.875649999999997</v>
      </c>
      <c r="AU242" s="15">
        <f t="shared" si="41"/>
        <v>7668.500999999999</v>
      </c>
      <c r="AV242" s="15">
        <f t="shared" si="42"/>
        <v>7802.879249999999</v>
      </c>
      <c r="AW242" s="78">
        <f>AJ242*Valores!$C$70</f>
        <v>1433.368</v>
      </c>
      <c r="AX242" s="78">
        <f>AJ242*Valores!$C$71</f>
        <v>403.13474999999994</v>
      </c>
      <c r="AY242" s="78">
        <f>AJ242*Valores!$C$73</f>
        <v>89.5855</v>
      </c>
      <c r="AZ242" s="78">
        <f>AJ242*Valores!$C$74</f>
        <v>313.54925000000003</v>
      </c>
      <c r="BA242" s="78">
        <f>AJ242*Valores!$C$75</f>
        <v>53.75129999999999</v>
      </c>
      <c r="BB242" s="78">
        <f t="shared" si="45"/>
        <v>483.76169999999996</v>
      </c>
      <c r="BC242" s="20"/>
      <c r="BD242" s="20">
        <f t="shared" si="46"/>
        <v>28</v>
      </c>
      <c r="BE242" s="9" t="s">
        <v>462</v>
      </c>
    </row>
    <row r="243" spans="1:57" s="9" customFormat="1" ht="11.25" customHeight="1">
      <c r="A243" s="20">
        <v>242</v>
      </c>
      <c r="B243" s="20"/>
      <c r="C243" s="9" t="s">
        <v>355</v>
      </c>
      <c r="D243" s="9">
        <v>8</v>
      </c>
      <c r="E243" s="9">
        <f t="shared" si="43"/>
        <v>33</v>
      </c>
      <c r="F243" s="10" t="str">
        <f>CONCATENATE("Hora Cátedra Enseñanza Media ",D243," hs")</f>
        <v>Hora Cátedra Enseñanza Media 8 hs</v>
      </c>
      <c r="G243" s="123">
        <f t="shared" si="47"/>
        <v>632</v>
      </c>
      <c r="H243" s="7">
        <f>INT((G243*Valores!$C$2*100))/100</f>
        <v>3791.56</v>
      </c>
      <c r="I243" s="134">
        <v>0</v>
      </c>
      <c r="J243" s="77">
        <f>INT((I243*Valores!$C$2*100)+0.5)/100</f>
        <v>0</v>
      </c>
      <c r="K243" s="146">
        <v>0</v>
      </c>
      <c r="L243" s="77">
        <f>INT((K243*Valores!$C$2*100)+0.5)/100</f>
        <v>0</v>
      </c>
      <c r="M243" s="120">
        <v>0</v>
      </c>
      <c r="N243" s="77">
        <f>INT((M243*Valores!$C$2*100)+0.5)/100</f>
        <v>0</v>
      </c>
      <c r="O243" s="77">
        <f t="shared" si="37"/>
        <v>0</v>
      </c>
      <c r="P243" s="77">
        <f t="shared" si="38"/>
        <v>2041.02</v>
      </c>
      <c r="Q243" s="61">
        <f>Valores!$C$14*D243</f>
        <v>1100.32</v>
      </c>
      <c r="R243" s="61">
        <f>IF(D243&lt;15,(Valores!$E$4*D243),Valores!$D$4)</f>
        <v>1431.1999999999998</v>
      </c>
      <c r="S243" s="77">
        <v>0</v>
      </c>
      <c r="T243" s="79">
        <f>IF(Valores!$C$45*D243&gt;Valores!$C$43,Valores!$C$43,Valores!$C$45*D243)</f>
        <v>290.48</v>
      </c>
      <c r="U243" s="61">
        <f>Valores!$C$22*D243</f>
        <v>426.4</v>
      </c>
      <c r="V243" s="77">
        <f t="shared" si="48"/>
        <v>639.5999999999999</v>
      </c>
      <c r="W243" s="77">
        <v>0</v>
      </c>
      <c r="X243" s="77">
        <v>0</v>
      </c>
      <c r="Y243" s="37">
        <v>0</v>
      </c>
      <c r="Z243" s="77">
        <f>Y243*Valores!$C$2</f>
        <v>0</v>
      </c>
      <c r="AA243" s="77">
        <v>0</v>
      </c>
      <c r="AB243" s="89">
        <f>IF((Valores!$C$32)*D243&gt;Valores!$F$32,Valores!$F$32,(Valores!$C$32)*D243)</f>
        <v>48.48</v>
      </c>
      <c r="AC243" s="77">
        <f t="shared" si="39"/>
        <v>0</v>
      </c>
      <c r="AD243" s="77">
        <f>IF(Valores!$C$33*D243&gt;Valores!$F$33,Valores!$F$33,Valores!$C$33*D243)</f>
        <v>40.32</v>
      </c>
      <c r="AE243" s="116">
        <v>0</v>
      </c>
      <c r="AF243" s="77">
        <f>INT(((AE243*Valores!$C$2)*100)+0.5)/100</f>
        <v>0</v>
      </c>
      <c r="AG243" s="77">
        <f>IF(Valores!$D$58*'Escala Docente'!D243&gt;Valores!$F$58,Valores!$F$58,Valores!$D$58*'Escala Docente'!D243)</f>
        <v>164</v>
      </c>
      <c r="AH243" s="77">
        <f>IF(Valores!$D$60*D243&gt;Valores!$F$60,Valores!$F$60,Valores!$D$60*D243)</f>
        <v>46.88</v>
      </c>
      <c r="AI243" s="77">
        <f>SUM(H243,J243,L243,N243,O243,P243,Q243,R243,S243,T243,V243,W243,X243,Z243,AA243,AB243,AC243,AD243,AF243,AG243,AH243)*Valores!$C$63</f>
        <v>0</v>
      </c>
      <c r="AJ243" s="140">
        <f t="shared" si="40"/>
        <v>9593.859999999997</v>
      </c>
      <c r="AK243" s="61">
        <f>IF(Valores!$C$36*D243&gt;Valores!$F$36,Valores!$F$36,Valores!$C$36*D243)</f>
        <v>221.68</v>
      </c>
      <c r="AL243" s="79">
        <f>IF(Valores!$C$11*D243&gt;Valores!$F$11,Valores!$F$11,Valores!$C$11*D243)</f>
        <v>78.16</v>
      </c>
      <c r="AM243" s="89">
        <f>IF(Valores!$C$57*D243&gt;Valores!$F$57,Valores!$F$57,Valores!$C$57*D243)</f>
        <v>68.72</v>
      </c>
      <c r="AN243" s="79">
        <f>IF($H$4="SI",SUM(AL243+AM243),AL243)*Valores!$C$63</f>
        <v>0</v>
      </c>
      <c r="AO243" s="12">
        <f t="shared" si="44"/>
        <v>368.56000000000006</v>
      </c>
      <c r="AP243" s="13">
        <f>AJ243*-Valores!$C$65</f>
        <v>-1247.2017999999996</v>
      </c>
      <c r="AQ243" s="13">
        <f>AJ243*-Valores!$C$66</f>
        <v>-47.96929999999998</v>
      </c>
      <c r="AR243" s="78">
        <f>AJ243*-Valores!$C$67</f>
        <v>-431.72369999999984</v>
      </c>
      <c r="AS243" s="78">
        <f>AJ243*-Valores!$C$68</f>
        <v>-259.03421999999995</v>
      </c>
      <c r="AT243" s="78">
        <f>AJ243*-Valores!$C$69</f>
        <v>-28.78157999999999</v>
      </c>
      <c r="AU243" s="15">
        <f t="shared" si="41"/>
        <v>8235.525199999996</v>
      </c>
      <c r="AV243" s="15">
        <f t="shared" si="42"/>
        <v>8379.433099999997</v>
      </c>
      <c r="AW243" s="78">
        <f>AJ243*Valores!$C$70</f>
        <v>1535.0175999999994</v>
      </c>
      <c r="AX243" s="78">
        <f>AJ243*Valores!$C$71</f>
        <v>431.72369999999984</v>
      </c>
      <c r="AY243" s="78">
        <f>AJ243*Valores!$C$73</f>
        <v>95.93859999999997</v>
      </c>
      <c r="AZ243" s="78">
        <f>AJ243*Valores!$C$74</f>
        <v>335.78509999999994</v>
      </c>
      <c r="BA243" s="78">
        <f>AJ243*Valores!$C$75</f>
        <v>57.56315999999998</v>
      </c>
      <c r="BB243" s="78">
        <f t="shared" si="45"/>
        <v>518.0684399999999</v>
      </c>
      <c r="BC243" s="20"/>
      <c r="BD243" s="20">
        <f t="shared" si="46"/>
        <v>32</v>
      </c>
      <c r="BE243" s="9" t="s">
        <v>462</v>
      </c>
    </row>
    <row r="244" spans="1:57" s="9" customFormat="1" ht="11.25" customHeight="1">
      <c r="A244" s="20">
        <v>243</v>
      </c>
      <c r="B244" s="20"/>
      <c r="C244" s="9" t="s">
        <v>355</v>
      </c>
      <c r="D244" s="9">
        <v>8</v>
      </c>
      <c r="E244" s="9">
        <f t="shared" si="43"/>
        <v>41</v>
      </c>
      <c r="F244" s="10" t="str">
        <f>CONCATENATE("Hora Cátedra Enseñanza Media ",D244," hs Esc Esp")</f>
        <v>Hora Cátedra Enseñanza Media 8 hs Esc Esp</v>
      </c>
      <c r="G244" s="123">
        <f t="shared" si="47"/>
        <v>632</v>
      </c>
      <c r="H244" s="7">
        <f>INT((G244*Valores!$C$2*100))/100</f>
        <v>3791.56</v>
      </c>
      <c r="I244" s="134">
        <v>0</v>
      </c>
      <c r="J244" s="77">
        <f>INT((I244*Valores!$C$2*100)+0.5)/100</f>
        <v>0</v>
      </c>
      <c r="K244" s="146">
        <v>0</v>
      </c>
      <c r="L244" s="77">
        <f>INT((K244*Valores!$C$2*100)+0.5)/100</f>
        <v>0</v>
      </c>
      <c r="M244" s="120">
        <v>0</v>
      </c>
      <c r="N244" s="77">
        <f>INT((M244*Valores!$C$2*100)+0.5)/100</f>
        <v>0</v>
      </c>
      <c r="O244" s="77">
        <f t="shared" si="37"/>
        <v>0</v>
      </c>
      <c r="P244" s="77">
        <f t="shared" si="38"/>
        <v>2041.02</v>
      </c>
      <c r="Q244" s="61">
        <f>Valores!$C$14*D244</f>
        <v>1100.32</v>
      </c>
      <c r="R244" s="61">
        <f>IF(D244&lt;15,(Valores!$E$4*D244),Valores!$D$4)</f>
        <v>1431.1999999999998</v>
      </c>
      <c r="S244" s="77">
        <v>0</v>
      </c>
      <c r="T244" s="79">
        <f>IF(Valores!$C$45*D244&gt;Valores!$C$43,Valores!$C$43,Valores!$C$45*D244)</f>
        <v>290.48</v>
      </c>
      <c r="U244" s="61">
        <f>Valores!$C$22*D244</f>
        <v>426.4</v>
      </c>
      <c r="V244" s="77">
        <f t="shared" si="48"/>
        <v>639.5999999999999</v>
      </c>
      <c r="W244" s="77">
        <v>0</v>
      </c>
      <c r="X244" s="77">
        <v>0</v>
      </c>
      <c r="Y244" s="37">
        <v>0</v>
      </c>
      <c r="Z244" s="77">
        <f>Y244*Valores!$C$2</f>
        <v>0</v>
      </c>
      <c r="AA244" s="77">
        <v>0</v>
      </c>
      <c r="AB244" s="89">
        <f>IF((Valores!$C$32)*D244&gt;Valores!$F$32,Valores!$F$32,(Valores!$C$32)*D244)</f>
        <v>48.48</v>
      </c>
      <c r="AC244" s="77">
        <f t="shared" si="39"/>
        <v>0</v>
      </c>
      <c r="AD244" s="77">
        <f>IF(Valores!$C$33*D244&gt;Valores!$F$33,Valores!$F$33,Valores!$C$33*D244)</f>
        <v>40.32</v>
      </c>
      <c r="AE244" s="116">
        <v>94</v>
      </c>
      <c r="AF244" s="77">
        <f>INT(((AE244*Valores!$C$2)*100)+0.5)/100</f>
        <v>563.93</v>
      </c>
      <c r="AG244" s="77">
        <f>IF(Valores!$D$58*'Escala Docente'!D244&gt;Valores!$F$58,Valores!$F$58,Valores!$D$58*'Escala Docente'!D244)</f>
        <v>164</v>
      </c>
      <c r="AH244" s="77">
        <f>IF(Valores!$D$60*D244&gt;Valores!$F$60,Valores!$F$60,Valores!$D$60*D244)</f>
        <v>46.88</v>
      </c>
      <c r="AI244" s="77">
        <f>SUM(H244,J244,L244,N244,O244,P244,Q244,R244,S244,T244,V244,W244,X244,Z244,AA244,AB244,AC244,AD244,AF244,AG244,AH244)*Valores!$C$63</f>
        <v>0</v>
      </c>
      <c r="AJ244" s="140">
        <f t="shared" si="40"/>
        <v>10157.789999999997</v>
      </c>
      <c r="AK244" s="61">
        <f>IF(Valores!$C$36*D244&gt;Valores!$F$36,Valores!$F$36,Valores!$C$36*D244)</f>
        <v>221.68</v>
      </c>
      <c r="AL244" s="79">
        <f>IF(Valores!$C$11*D244&gt;Valores!$F$11,Valores!$F$11,Valores!$C$11*D244)</f>
        <v>78.16</v>
      </c>
      <c r="AM244" s="89">
        <f>IF(Valores!$C$57*D244&gt;Valores!$F$57,Valores!$F$57,Valores!$C$57*D244)</f>
        <v>68.72</v>
      </c>
      <c r="AN244" s="79">
        <f>IF($H$4="SI",SUM(AL244+AM244),AL244)*Valores!$C$63</f>
        <v>0</v>
      </c>
      <c r="AO244" s="12">
        <f t="shared" si="44"/>
        <v>368.56000000000006</v>
      </c>
      <c r="AP244" s="13">
        <f>AJ244*-Valores!$C$65</f>
        <v>-1320.5126999999998</v>
      </c>
      <c r="AQ244" s="13">
        <f>AJ244*-Valores!$C$66</f>
        <v>-50.788949999999986</v>
      </c>
      <c r="AR244" s="78">
        <f>AJ244*-Valores!$C$67</f>
        <v>-457.1005499999999</v>
      </c>
      <c r="AS244" s="78">
        <f>AJ244*-Valores!$C$68</f>
        <v>-274.26032999999995</v>
      </c>
      <c r="AT244" s="78">
        <f>AJ244*-Valores!$C$69</f>
        <v>-30.473369999999992</v>
      </c>
      <c r="AU244" s="15">
        <f t="shared" si="41"/>
        <v>8697.947799999998</v>
      </c>
      <c r="AV244" s="15">
        <f t="shared" si="42"/>
        <v>8850.314649999998</v>
      </c>
      <c r="AW244" s="78">
        <f>AJ244*Valores!$C$70</f>
        <v>1625.2463999999995</v>
      </c>
      <c r="AX244" s="78">
        <f>AJ244*Valores!$C$71</f>
        <v>457.1005499999999</v>
      </c>
      <c r="AY244" s="78">
        <f>AJ244*Valores!$C$73</f>
        <v>101.57789999999997</v>
      </c>
      <c r="AZ244" s="78">
        <f>AJ244*Valores!$C$74</f>
        <v>355.52264999999994</v>
      </c>
      <c r="BA244" s="78">
        <f>AJ244*Valores!$C$75</f>
        <v>60.946739999999984</v>
      </c>
      <c r="BB244" s="78">
        <f t="shared" si="45"/>
        <v>548.5206599999999</v>
      </c>
      <c r="BC244" s="20"/>
      <c r="BD244" s="55">
        <f t="shared" si="46"/>
        <v>32</v>
      </c>
      <c r="BE244" s="9" t="s">
        <v>462</v>
      </c>
    </row>
    <row r="245" spans="1:57" s="9" customFormat="1" ht="11.25" customHeight="1">
      <c r="A245" s="20">
        <v>244</v>
      </c>
      <c r="B245" s="20"/>
      <c r="C245" s="9" t="s">
        <v>355</v>
      </c>
      <c r="D245" s="9">
        <v>9</v>
      </c>
      <c r="E245" s="9">
        <f t="shared" si="43"/>
        <v>33</v>
      </c>
      <c r="F245" s="10" t="str">
        <f>CONCATENATE("Hora Cátedra Enseñanza Media ",D245," hs")</f>
        <v>Hora Cátedra Enseñanza Media 9 hs</v>
      </c>
      <c r="G245" s="123">
        <f t="shared" si="47"/>
        <v>711</v>
      </c>
      <c r="H245" s="7">
        <f>INT((G245*Valores!$C$2*100))/100</f>
        <v>4265.5</v>
      </c>
      <c r="I245" s="134">
        <v>0</v>
      </c>
      <c r="J245" s="77">
        <f>INT((I245*Valores!$C$2*100)+0.5)/100</f>
        <v>0</v>
      </c>
      <c r="K245" s="146">
        <v>0</v>
      </c>
      <c r="L245" s="77">
        <f>INT((K245*Valores!$C$2*100)+0.5)/100</f>
        <v>0</v>
      </c>
      <c r="M245" s="120">
        <v>0</v>
      </c>
      <c r="N245" s="77">
        <f>INT((M245*Valores!$C$2*100)+0.5)/100</f>
        <v>0</v>
      </c>
      <c r="O245" s="77">
        <f t="shared" si="37"/>
        <v>0</v>
      </c>
      <c r="P245" s="77">
        <f t="shared" si="38"/>
        <v>2296.145</v>
      </c>
      <c r="Q245" s="61">
        <f>Valores!$C$14*D245</f>
        <v>1237.86</v>
      </c>
      <c r="R245" s="61">
        <f>IF(D245&lt;15,(Valores!$E$4*D245),Valores!$D$4)</f>
        <v>1610.1</v>
      </c>
      <c r="S245" s="77">
        <v>0</v>
      </c>
      <c r="T245" s="79">
        <f>IF(Valores!$C$45*D245&gt;Valores!$C$43,Valores!$C$43,Valores!$C$45*D245)</f>
        <v>326.79</v>
      </c>
      <c r="U245" s="61">
        <f>Valores!$C$22*D245</f>
        <v>479.7</v>
      </c>
      <c r="V245" s="77">
        <f t="shared" si="48"/>
        <v>719.55</v>
      </c>
      <c r="W245" s="77">
        <v>0</v>
      </c>
      <c r="X245" s="77">
        <v>0</v>
      </c>
      <c r="Y245" s="37">
        <v>0</v>
      </c>
      <c r="Z245" s="77">
        <f>Y245*Valores!$C$2</f>
        <v>0</v>
      </c>
      <c r="AA245" s="77">
        <v>0</v>
      </c>
      <c r="AB245" s="89">
        <f>IF((Valores!$C$32)*D245&gt;Valores!$F$32,Valores!$F$32,(Valores!$C$32)*D245)</f>
        <v>54.54</v>
      </c>
      <c r="AC245" s="77">
        <f t="shared" si="39"/>
        <v>0</v>
      </c>
      <c r="AD245" s="77">
        <f>IF(Valores!$C$33*D245&gt;Valores!$F$33,Valores!$F$33,Valores!$C$33*D245)</f>
        <v>45.36</v>
      </c>
      <c r="AE245" s="116">
        <v>0</v>
      </c>
      <c r="AF245" s="77">
        <f>INT(((AE245*Valores!$C$2)*100)+0.5)/100</f>
        <v>0</v>
      </c>
      <c r="AG245" s="77">
        <f>IF(Valores!$D$58*'Escala Docente'!D245&gt;Valores!$F$58,Valores!$F$58,Valores!$D$58*'Escala Docente'!D245)</f>
        <v>184.5</v>
      </c>
      <c r="AH245" s="77">
        <f>IF(Valores!$D$60*D245&gt;Valores!$F$60,Valores!$F$60,Valores!$D$60*D245)</f>
        <v>52.74</v>
      </c>
      <c r="AI245" s="77">
        <f>SUM(H245,J245,L245,N245,O245,P245,Q245,R245,S245,T245,V245,W245,X245,Z245,AA245,AB245,AC245,AD245,AF245,AG245,AH245)*Valores!$C$63</f>
        <v>0</v>
      </c>
      <c r="AJ245" s="140">
        <f t="shared" si="40"/>
        <v>10793.085000000001</v>
      </c>
      <c r="AK245" s="61">
        <f>IF(Valores!$C$36*D245&gt;Valores!$F$36,Valores!$F$36,Valores!$C$36*D245)</f>
        <v>249.39000000000001</v>
      </c>
      <c r="AL245" s="79">
        <f>IF(Valores!$C$11*D245&gt;Valores!$F$11,Valores!$F$11,Valores!$C$11*D245)</f>
        <v>87.92999999999999</v>
      </c>
      <c r="AM245" s="89">
        <f>IF(Valores!$C$57*D245&gt;Valores!$F$57,Valores!$F$57,Valores!$C$57*D245)</f>
        <v>77.31</v>
      </c>
      <c r="AN245" s="79">
        <f>IF($H$4="SI",SUM(AL245+AM245),AL245)*Valores!$C$63</f>
        <v>0</v>
      </c>
      <c r="AO245" s="12">
        <f t="shared" si="44"/>
        <v>414.63</v>
      </c>
      <c r="AP245" s="13">
        <f>AJ245*-Valores!$C$65</f>
        <v>-1403.1010500000002</v>
      </c>
      <c r="AQ245" s="13">
        <f>AJ245*-Valores!$C$66</f>
        <v>-53.965425</v>
      </c>
      <c r="AR245" s="78">
        <f>AJ245*-Valores!$C$67</f>
        <v>-485.688825</v>
      </c>
      <c r="AS245" s="78">
        <f>AJ245*-Valores!$C$68</f>
        <v>-291.41329500000006</v>
      </c>
      <c r="AT245" s="78">
        <f>AJ245*-Valores!$C$69</f>
        <v>-32.379255</v>
      </c>
      <c r="AU245" s="15">
        <f t="shared" si="41"/>
        <v>9264.9597</v>
      </c>
      <c r="AV245" s="15">
        <f t="shared" si="42"/>
        <v>9426.855974999999</v>
      </c>
      <c r="AW245" s="78">
        <f>AJ245*Valores!$C$70</f>
        <v>1726.8936</v>
      </c>
      <c r="AX245" s="78">
        <f>AJ245*Valores!$C$71</f>
        <v>485.688825</v>
      </c>
      <c r="AY245" s="78">
        <f>AJ245*Valores!$C$73</f>
        <v>107.93085</v>
      </c>
      <c r="AZ245" s="78">
        <f>AJ245*Valores!$C$74</f>
        <v>377.75797500000004</v>
      </c>
      <c r="BA245" s="78">
        <f>AJ245*Valores!$C$75</f>
        <v>64.75851</v>
      </c>
      <c r="BB245" s="78">
        <f t="shared" si="45"/>
        <v>582.8265900000001</v>
      </c>
      <c r="BC245" s="20"/>
      <c r="BD245" s="20">
        <f t="shared" si="46"/>
        <v>36</v>
      </c>
      <c r="BE245" s="9" t="s">
        <v>462</v>
      </c>
    </row>
    <row r="246" spans="1:57" s="9" customFormat="1" ht="11.25" customHeight="1">
      <c r="A246" s="55">
        <v>245</v>
      </c>
      <c r="B246" s="55" t="s">
        <v>458</v>
      </c>
      <c r="C246" s="52" t="s">
        <v>355</v>
      </c>
      <c r="D246" s="52">
        <v>9</v>
      </c>
      <c r="E246" s="52">
        <f t="shared" si="43"/>
        <v>41</v>
      </c>
      <c r="F246" s="53" t="str">
        <f>CONCATENATE("Hora Cátedra Enseñanza Media ",D246," hs Esc Esp")</f>
        <v>Hora Cátedra Enseñanza Media 9 hs Esc Esp</v>
      </c>
      <c r="G246" s="124">
        <f t="shared" si="47"/>
        <v>711</v>
      </c>
      <c r="H246" s="129">
        <f>INT((G246*Valores!$C$2*100))/100</f>
        <v>4265.5</v>
      </c>
      <c r="I246" s="133">
        <v>0</v>
      </c>
      <c r="J246" s="80">
        <f>INT((I246*Valores!$C$2*100)+0.5)/100</f>
        <v>0</v>
      </c>
      <c r="K246" s="147">
        <v>0</v>
      </c>
      <c r="L246" s="80">
        <f>INT((K246*Valores!$C$2*100)+0.5)/100</f>
        <v>0</v>
      </c>
      <c r="M246" s="121">
        <v>0</v>
      </c>
      <c r="N246" s="80">
        <f>INT((M246*Valores!$C$2*100)+0.5)/100</f>
        <v>0</v>
      </c>
      <c r="O246" s="80">
        <f t="shared" si="37"/>
        <v>0</v>
      </c>
      <c r="P246" s="80">
        <f t="shared" si="38"/>
        <v>2296.145</v>
      </c>
      <c r="Q246" s="85">
        <f>Valores!$C$14*D246</f>
        <v>1237.86</v>
      </c>
      <c r="R246" s="85">
        <f>IF(D246&lt;15,(Valores!$E$4*D246),Valores!$D$4)</f>
        <v>1610.1</v>
      </c>
      <c r="S246" s="80">
        <v>0</v>
      </c>
      <c r="T246" s="82">
        <f>IF(Valores!$C$45*D246&gt;Valores!$C$43,Valores!$C$43,Valores!$C$45*D246)</f>
        <v>326.79</v>
      </c>
      <c r="U246" s="85">
        <f>Valores!$C$22*D246</f>
        <v>479.7</v>
      </c>
      <c r="V246" s="80">
        <f t="shared" si="48"/>
        <v>719.55</v>
      </c>
      <c r="W246" s="80">
        <v>0</v>
      </c>
      <c r="X246" s="80">
        <v>0</v>
      </c>
      <c r="Y246" s="60">
        <v>0</v>
      </c>
      <c r="Z246" s="80">
        <f>Y246*Valores!$C$2</f>
        <v>0</v>
      </c>
      <c r="AA246" s="80">
        <v>0</v>
      </c>
      <c r="AB246" s="90">
        <f>IF((Valores!$C$32)*D246&gt;Valores!$F$32,Valores!$F$32,(Valores!$C$32)*D246)</f>
        <v>54.54</v>
      </c>
      <c r="AC246" s="80">
        <f t="shared" si="39"/>
        <v>0</v>
      </c>
      <c r="AD246" s="80">
        <f>IF(Valores!$C$33*D246&gt;Valores!$F$33,Valores!$F$33,Valores!$C$33*D246)</f>
        <v>45.36</v>
      </c>
      <c r="AE246" s="115">
        <v>94</v>
      </c>
      <c r="AF246" s="80">
        <f>INT(((AE246*Valores!$C$2)*100)+0.5)/100</f>
        <v>563.93</v>
      </c>
      <c r="AG246" s="80">
        <f>IF(Valores!$D$58*'Escala Docente'!D246&gt;Valores!$F$58,Valores!$F$58,Valores!$D$58*'Escala Docente'!D246)</f>
        <v>184.5</v>
      </c>
      <c r="AH246" s="80">
        <f>IF(Valores!$D$60*D246&gt;Valores!$F$60,Valores!$F$60,Valores!$D$60*D246)</f>
        <v>52.74</v>
      </c>
      <c r="AI246" s="80">
        <f>SUM(H246,J246,L246,N246,O246,P246,Q246,R246,S246,T246,V246,W246,X246,Z246,AA246,AB246,AC246,AD246,AF246,AG246,AH246)*Valores!$C$63</f>
        <v>0</v>
      </c>
      <c r="AJ246" s="141">
        <f t="shared" si="40"/>
        <v>11357.015000000001</v>
      </c>
      <c r="AK246" s="85">
        <f>IF(Valores!$C$36*D246&gt;Valores!$F$36,Valores!$F$36,Valores!$C$36*D246)</f>
        <v>249.39000000000001</v>
      </c>
      <c r="AL246" s="82">
        <f>IF(Valores!$C$11*D246&gt;Valores!$F$11,Valores!$F$11,Valores!$C$11*D246)</f>
        <v>87.92999999999999</v>
      </c>
      <c r="AM246" s="90">
        <f>IF(Valores!$C$57*D246&gt;Valores!$F$57,Valores!$F$57,Valores!$C$57*D246)</f>
        <v>77.31</v>
      </c>
      <c r="AN246" s="82">
        <f>IF($H$4="SI",SUM(AL246+AM246),AL246)*Valores!$C$63</f>
        <v>0</v>
      </c>
      <c r="AO246" s="185">
        <f t="shared" si="44"/>
        <v>414.63</v>
      </c>
      <c r="AP246" s="154">
        <f>AJ246*-Valores!$C$65</f>
        <v>-1476.4119500000002</v>
      </c>
      <c r="AQ246" s="154">
        <f>AJ246*-Valores!$C$66</f>
        <v>-56.785075000000006</v>
      </c>
      <c r="AR246" s="81">
        <f>AJ246*-Valores!$C$67</f>
        <v>-511.06567500000006</v>
      </c>
      <c r="AS246" s="81">
        <f>AJ246*-Valores!$C$68</f>
        <v>-306.63940500000007</v>
      </c>
      <c r="AT246" s="81">
        <f>AJ246*-Valores!$C$69</f>
        <v>-34.071045000000005</v>
      </c>
      <c r="AU246" s="54">
        <f t="shared" si="41"/>
        <v>9727.382300000001</v>
      </c>
      <c r="AV246" s="54">
        <f t="shared" si="42"/>
        <v>9897.737525</v>
      </c>
      <c r="AW246" s="81">
        <f>AJ246*Valores!$C$70</f>
        <v>1817.1224000000002</v>
      </c>
      <c r="AX246" s="81">
        <f>AJ246*Valores!$C$71</f>
        <v>511.06567500000006</v>
      </c>
      <c r="AY246" s="81">
        <f>AJ246*Valores!$C$73</f>
        <v>113.57015000000001</v>
      </c>
      <c r="AZ246" s="81">
        <f>AJ246*Valores!$C$74</f>
        <v>397.4955250000001</v>
      </c>
      <c r="BA246" s="81">
        <f>AJ246*Valores!$C$75</f>
        <v>68.14209000000001</v>
      </c>
      <c r="BB246" s="81">
        <f t="shared" si="45"/>
        <v>613.2788100000001</v>
      </c>
      <c r="BC246" s="55"/>
      <c r="BD246" s="55">
        <f t="shared" si="46"/>
        <v>36</v>
      </c>
      <c r="BE246" s="52" t="s">
        <v>462</v>
      </c>
    </row>
    <row r="247" spans="1:57" s="9" customFormat="1" ht="11.25" customHeight="1">
      <c r="A247" s="20">
        <v>246</v>
      </c>
      <c r="B247" s="20"/>
      <c r="C247" s="9" t="s">
        <v>355</v>
      </c>
      <c r="D247" s="9">
        <v>10</v>
      </c>
      <c r="E247" s="9">
        <f t="shared" si="43"/>
        <v>34</v>
      </c>
      <c r="F247" s="10" t="str">
        <f>CONCATENATE("Hora Cátedra Enseñanza Media ",D247," hs")</f>
        <v>Hora Cátedra Enseñanza Media 10 hs</v>
      </c>
      <c r="G247" s="123">
        <f t="shared" si="47"/>
        <v>790</v>
      </c>
      <c r="H247" s="7">
        <f>INT((G247*Valores!$C$2*100))/100</f>
        <v>4739.45</v>
      </c>
      <c r="I247" s="134">
        <v>0</v>
      </c>
      <c r="J247" s="77">
        <f>INT((I247*Valores!$C$2*100)+0.5)/100</f>
        <v>0</v>
      </c>
      <c r="K247" s="146">
        <v>0</v>
      </c>
      <c r="L247" s="77">
        <f>INT((K247*Valores!$C$2*100)+0.5)/100</f>
        <v>0</v>
      </c>
      <c r="M247" s="120">
        <v>0</v>
      </c>
      <c r="N247" s="77">
        <f>INT((M247*Valores!$C$2*100)+0.5)/100</f>
        <v>0</v>
      </c>
      <c r="O247" s="77">
        <f t="shared" si="37"/>
        <v>0</v>
      </c>
      <c r="P247" s="77">
        <f t="shared" si="38"/>
        <v>2551.275</v>
      </c>
      <c r="Q247" s="61">
        <f>Valores!$C$14*D247</f>
        <v>1375.3999999999999</v>
      </c>
      <c r="R247" s="61">
        <f>IF(D247&lt;15,(Valores!$E$4*D247),Valores!$D$4)</f>
        <v>1788.9999999999998</v>
      </c>
      <c r="S247" s="77">
        <v>0</v>
      </c>
      <c r="T247" s="79">
        <f>IF(Valores!$C$45*D247&gt;Valores!$C$43,Valores!$C$43,Valores!$C$45*D247)</f>
        <v>363.1</v>
      </c>
      <c r="U247" s="61">
        <f>Valores!$C$22*D247</f>
        <v>533</v>
      </c>
      <c r="V247" s="77">
        <f t="shared" si="48"/>
        <v>799.5</v>
      </c>
      <c r="W247" s="77">
        <v>0</v>
      </c>
      <c r="X247" s="77">
        <v>0</v>
      </c>
      <c r="Y247" s="37">
        <v>0</v>
      </c>
      <c r="Z247" s="77">
        <f>Y247*Valores!$C$2</f>
        <v>0</v>
      </c>
      <c r="AA247" s="77">
        <v>0</v>
      </c>
      <c r="AB247" s="89">
        <f>IF((Valores!$C$32)*D247&gt;Valores!$F$32,Valores!$F$32,(Valores!$C$32)*D247)</f>
        <v>60.599999999999994</v>
      </c>
      <c r="AC247" s="77">
        <f t="shared" si="39"/>
        <v>0</v>
      </c>
      <c r="AD247" s="77">
        <f>IF(Valores!$C$33*D247&gt;Valores!$F$33,Valores!$F$33,Valores!$C$33*D247)</f>
        <v>50.4</v>
      </c>
      <c r="AE247" s="116">
        <v>0</v>
      </c>
      <c r="AF247" s="77">
        <f>INT(((AE247*Valores!$C$2)*100)+0.5)/100</f>
        <v>0</v>
      </c>
      <c r="AG247" s="77">
        <f>IF(Valores!$D$58*'Escala Docente'!D247&gt;Valores!$F$58,Valores!$F$58,Valores!$D$58*'Escala Docente'!D247)</f>
        <v>205</v>
      </c>
      <c r="AH247" s="77">
        <f>IF(Valores!$D$60*D247&gt;Valores!$F$60,Valores!$F$60,Valores!$D$60*D247)</f>
        <v>58.6</v>
      </c>
      <c r="AI247" s="77">
        <f>SUM(H247,J247,L247,N247,O247,P247,Q247,R247,S247,T247,V247,W247,X247,Z247,AA247,AB247,AC247,AD247,AF247,AG247,AH247)*Valores!$C$63</f>
        <v>0</v>
      </c>
      <c r="AJ247" s="140">
        <f t="shared" si="40"/>
        <v>11992.325</v>
      </c>
      <c r="AK247" s="61">
        <f>IF(Valores!$C$36*D247&gt;Valores!$F$36,Valores!$F$36,Valores!$C$36*D247)</f>
        <v>277.1</v>
      </c>
      <c r="AL247" s="79">
        <f>IF(Valores!$C$11*D247&gt;Valores!$F$11,Valores!$F$11,Valores!$C$11*D247)</f>
        <v>97.69999999999999</v>
      </c>
      <c r="AM247" s="89">
        <f>IF(Valores!$C$57*D247&gt;Valores!$F$57,Valores!$F$57,Valores!$C$57*D247)</f>
        <v>85.9</v>
      </c>
      <c r="AN247" s="79">
        <f>IF($H$4="SI",SUM(AL247+AM247),AL247)*Valores!$C$63</f>
        <v>0</v>
      </c>
      <c r="AO247" s="12">
        <f t="shared" si="44"/>
        <v>460.70000000000005</v>
      </c>
      <c r="AP247" s="13">
        <f>AJ247*-Valores!$C$65</f>
        <v>-1559.0022500000002</v>
      </c>
      <c r="AQ247" s="13">
        <f>AJ247*-Valores!$C$66</f>
        <v>-59.961625000000005</v>
      </c>
      <c r="AR247" s="78">
        <f>AJ247*-Valores!$C$67</f>
        <v>-539.654625</v>
      </c>
      <c r="AS247" s="78">
        <f>AJ247*-Valores!$C$68</f>
        <v>-323.79277500000006</v>
      </c>
      <c r="AT247" s="78">
        <f>AJ247*-Valores!$C$69</f>
        <v>-35.976975</v>
      </c>
      <c r="AU247" s="15">
        <f t="shared" si="41"/>
        <v>10294.406500000003</v>
      </c>
      <c r="AV247" s="15">
        <f t="shared" si="42"/>
        <v>10474.291375000003</v>
      </c>
      <c r="AW247" s="78">
        <f>AJ247*Valores!$C$70</f>
        <v>1918.7720000000002</v>
      </c>
      <c r="AX247" s="78">
        <f>AJ247*Valores!$C$71</f>
        <v>539.654625</v>
      </c>
      <c r="AY247" s="78">
        <f>AJ247*Valores!$C$73</f>
        <v>119.92325000000001</v>
      </c>
      <c r="AZ247" s="78">
        <f>AJ247*Valores!$C$74</f>
        <v>419.73137500000007</v>
      </c>
      <c r="BA247" s="78">
        <f>AJ247*Valores!$C$75</f>
        <v>71.95395</v>
      </c>
      <c r="BB247" s="78">
        <f t="shared" si="45"/>
        <v>647.5855500000001</v>
      </c>
      <c r="BC247" s="20"/>
      <c r="BD247" s="20">
        <f t="shared" si="46"/>
        <v>40</v>
      </c>
      <c r="BE247" s="9" t="s">
        <v>462</v>
      </c>
    </row>
    <row r="248" spans="1:57" s="9" customFormat="1" ht="11.25" customHeight="1">
      <c r="A248" s="20">
        <v>247</v>
      </c>
      <c r="B248" s="20"/>
      <c r="C248" s="9" t="s">
        <v>355</v>
      </c>
      <c r="D248" s="9">
        <v>10</v>
      </c>
      <c r="E248" s="9">
        <f t="shared" si="43"/>
        <v>42</v>
      </c>
      <c r="F248" s="10" t="str">
        <f>CONCATENATE("Hora Cátedra Enseñanza Media ",D248," hs Esc Esp")</f>
        <v>Hora Cátedra Enseñanza Media 10 hs Esc Esp</v>
      </c>
      <c r="G248" s="123">
        <f t="shared" si="47"/>
        <v>790</v>
      </c>
      <c r="H248" s="7">
        <f>INT((G248*Valores!$C$2*100))/100</f>
        <v>4739.45</v>
      </c>
      <c r="I248" s="134">
        <v>0</v>
      </c>
      <c r="J248" s="77">
        <f>INT((I248*Valores!$C$2*100)+0.5)/100</f>
        <v>0</v>
      </c>
      <c r="K248" s="146">
        <v>0</v>
      </c>
      <c r="L248" s="77">
        <f>INT((K248*Valores!$C$2*100)+0.5)/100</f>
        <v>0</v>
      </c>
      <c r="M248" s="120">
        <v>0</v>
      </c>
      <c r="N248" s="77">
        <f>INT((M248*Valores!$C$2*100)+0.5)/100</f>
        <v>0</v>
      </c>
      <c r="O248" s="77">
        <f t="shared" si="37"/>
        <v>0</v>
      </c>
      <c r="P248" s="77">
        <f t="shared" si="38"/>
        <v>2551.275</v>
      </c>
      <c r="Q248" s="61">
        <f>Valores!$C$14*D248</f>
        <v>1375.3999999999999</v>
      </c>
      <c r="R248" s="61">
        <f>IF(D248&lt;15,(Valores!$E$4*D248),Valores!$D$4)</f>
        <v>1788.9999999999998</v>
      </c>
      <c r="S248" s="77">
        <v>0</v>
      </c>
      <c r="T248" s="79">
        <f>IF(Valores!$C$45*D248&gt;Valores!$C$43,Valores!$C$43,Valores!$C$45*D248)</f>
        <v>363.1</v>
      </c>
      <c r="U248" s="61">
        <f>Valores!$C$22*D248</f>
        <v>533</v>
      </c>
      <c r="V248" s="77">
        <f t="shared" si="48"/>
        <v>799.5</v>
      </c>
      <c r="W248" s="77">
        <v>0</v>
      </c>
      <c r="X248" s="77">
        <v>0</v>
      </c>
      <c r="Y248" s="37">
        <v>0</v>
      </c>
      <c r="Z248" s="77">
        <f>Y248*Valores!$C$2</f>
        <v>0</v>
      </c>
      <c r="AA248" s="77">
        <v>0</v>
      </c>
      <c r="AB248" s="89">
        <f>IF((Valores!$C$32)*D248&gt;Valores!$F$32,Valores!$F$32,(Valores!$C$32)*D248)</f>
        <v>60.599999999999994</v>
      </c>
      <c r="AC248" s="77">
        <f t="shared" si="39"/>
        <v>0</v>
      </c>
      <c r="AD248" s="77">
        <f>IF(Valores!$C$33*D248&gt;Valores!$F$33,Valores!$F$33,Valores!$C$33*D248)</f>
        <v>50.4</v>
      </c>
      <c r="AE248" s="116">
        <v>94</v>
      </c>
      <c r="AF248" s="77">
        <f>INT(((AE248*Valores!$C$2)*100)+0.5)/100</f>
        <v>563.93</v>
      </c>
      <c r="AG248" s="77">
        <f>IF(Valores!$D$58*'Escala Docente'!D248&gt;Valores!$F$58,Valores!$F$58,Valores!$D$58*'Escala Docente'!D248)</f>
        <v>205</v>
      </c>
      <c r="AH248" s="77">
        <f>IF(Valores!$D$60*D248&gt;Valores!$F$60,Valores!$F$60,Valores!$D$60*D248)</f>
        <v>58.6</v>
      </c>
      <c r="AI248" s="77">
        <f>SUM(H248,J248,L248,N248,O248,P248,Q248,R248,S248,T248,V248,W248,X248,Z248,AA248,AB248,AC248,AD248,AF248,AG248,AH248)*Valores!$C$63</f>
        <v>0</v>
      </c>
      <c r="AJ248" s="140">
        <f t="shared" si="40"/>
        <v>12556.255000000001</v>
      </c>
      <c r="AK248" s="61">
        <f>IF(Valores!$C$36*D248&gt;Valores!$F$36,Valores!$F$36,Valores!$C$36*D248)</f>
        <v>277.1</v>
      </c>
      <c r="AL248" s="79">
        <f>IF(Valores!$C$11*D248&gt;Valores!$F$11,Valores!$F$11,Valores!$C$11*D248)</f>
        <v>97.69999999999999</v>
      </c>
      <c r="AM248" s="89">
        <f>IF(Valores!$C$57*D248&gt;Valores!$F$57,Valores!$F$57,Valores!$C$57*D248)</f>
        <v>85.9</v>
      </c>
      <c r="AN248" s="79">
        <f>IF($H$4="SI",SUM(AL248+AM248),AL248)*Valores!$C$63</f>
        <v>0</v>
      </c>
      <c r="AO248" s="12">
        <f t="shared" si="44"/>
        <v>460.70000000000005</v>
      </c>
      <c r="AP248" s="13">
        <f>AJ248*-Valores!$C$65</f>
        <v>-1632.3131500000002</v>
      </c>
      <c r="AQ248" s="13">
        <f>AJ248*-Valores!$C$66</f>
        <v>-62.78127500000001</v>
      </c>
      <c r="AR248" s="78">
        <f>AJ248*-Valores!$C$67</f>
        <v>-565.031475</v>
      </c>
      <c r="AS248" s="78">
        <f>AJ248*-Valores!$C$68</f>
        <v>-339.01888500000007</v>
      </c>
      <c r="AT248" s="78">
        <f>AJ248*-Valores!$C$69</f>
        <v>-37.668765</v>
      </c>
      <c r="AU248" s="15">
        <f t="shared" si="41"/>
        <v>10756.829100000003</v>
      </c>
      <c r="AV248" s="15">
        <f t="shared" si="42"/>
        <v>10945.172925000003</v>
      </c>
      <c r="AW248" s="78">
        <f>AJ248*Valores!$C$70</f>
        <v>2009.0008000000003</v>
      </c>
      <c r="AX248" s="78">
        <f>AJ248*Valores!$C$71</f>
        <v>565.031475</v>
      </c>
      <c r="AY248" s="78">
        <f>AJ248*Valores!$C$73</f>
        <v>125.56255000000002</v>
      </c>
      <c r="AZ248" s="78">
        <f>AJ248*Valores!$C$74</f>
        <v>439.46892500000007</v>
      </c>
      <c r="BA248" s="78">
        <f>AJ248*Valores!$C$75</f>
        <v>75.33753</v>
      </c>
      <c r="BB248" s="78">
        <f t="shared" si="45"/>
        <v>678.0377700000001</v>
      </c>
      <c r="BC248" s="20"/>
      <c r="BD248" s="20">
        <f t="shared" si="46"/>
        <v>40</v>
      </c>
      <c r="BE248" s="9" t="s">
        <v>462</v>
      </c>
    </row>
    <row r="249" spans="1:57" s="9" customFormat="1" ht="11.25" customHeight="1">
      <c r="A249" s="20">
        <v>248</v>
      </c>
      <c r="B249" s="20"/>
      <c r="C249" s="9" t="s">
        <v>355</v>
      </c>
      <c r="D249" s="9">
        <v>11</v>
      </c>
      <c r="E249" s="9">
        <f t="shared" si="43"/>
        <v>34</v>
      </c>
      <c r="F249" s="10" t="str">
        <f>CONCATENATE("Hora Cátedra Enseñanza Media ",D249," hs")</f>
        <v>Hora Cátedra Enseñanza Media 11 hs</v>
      </c>
      <c r="G249" s="123">
        <f t="shared" si="47"/>
        <v>869</v>
      </c>
      <c r="H249" s="7">
        <f>INT((G249*Valores!$C$2*100))/100</f>
        <v>5213.39</v>
      </c>
      <c r="I249" s="134">
        <v>0</v>
      </c>
      <c r="J249" s="77">
        <f>INT((I249*Valores!$C$2*100)+0.5)/100</f>
        <v>0</v>
      </c>
      <c r="K249" s="146">
        <v>0</v>
      </c>
      <c r="L249" s="77">
        <f>INT((K249*Valores!$C$2*100)+0.5)/100</f>
        <v>0</v>
      </c>
      <c r="M249" s="120">
        <v>0</v>
      </c>
      <c r="N249" s="77">
        <f>INT((M249*Valores!$C$2*100)+0.5)/100</f>
        <v>0</v>
      </c>
      <c r="O249" s="77">
        <f t="shared" si="37"/>
        <v>0</v>
      </c>
      <c r="P249" s="77">
        <f t="shared" si="38"/>
        <v>2806.4</v>
      </c>
      <c r="Q249" s="61">
        <f>Valores!$C$14*D249</f>
        <v>1512.9399999999998</v>
      </c>
      <c r="R249" s="61">
        <f>IF(D249&lt;15,(Valores!$E$4*D249),Valores!$D$4)</f>
        <v>1967.8999999999996</v>
      </c>
      <c r="S249" s="77">
        <v>0</v>
      </c>
      <c r="T249" s="79">
        <f>IF(Valores!$C$45*D249&gt;Valores!$C$43,Valores!$C$43,Valores!$C$45*D249)</f>
        <v>399.41</v>
      </c>
      <c r="U249" s="61">
        <f>Valores!$C$22*D249</f>
        <v>586.3</v>
      </c>
      <c r="V249" s="77">
        <f t="shared" si="48"/>
        <v>879.4499999999999</v>
      </c>
      <c r="W249" s="77">
        <v>0</v>
      </c>
      <c r="X249" s="77">
        <v>0</v>
      </c>
      <c r="Y249" s="37">
        <v>0</v>
      </c>
      <c r="Z249" s="77">
        <f>Y249*Valores!$C$2</f>
        <v>0</v>
      </c>
      <c r="AA249" s="77">
        <v>0</v>
      </c>
      <c r="AB249" s="89">
        <f>IF((Valores!$C$32)*D249&gt;Valores!$F$32,Valores!$F$32,(Valores!$C$32)*D249)</f>
        <v>66.66</v>
      </c>
      <c r="AC249" s="77">
        <f t="shared" si="39"/>
        <v>0</v>
      </c>
      <c r="AD249" s="77">
        <f>IF(Valores!$C$33*D249&gt;Valores!$F$33,Valores!$F$33,Valores!$C$33*D249)</f>
        <v>55.44</v>
      </c>
      <c r="AE249" s="116">
        <v>0</v>
      </c>
      <c r="AF249" s="77">
        <f>INT(((AE249*Valores!$C$2)*100)+0.5)/100</f>
        <v>0</v>
      </c>
      <c r="AG249" s="77">
        <f>IF(Valores!$D$58*'Escala Docente'!D249&gt;Valores!$F$58,Valores!$F$58,Valores!$D$58*'Escala Docente'!D249)</f>
        <v>225.5</v>
      </c>
      <c r="AH249" s="77">
        <f>IF(Valores!$D$60*D249&gt;Valores!$F$60,Valores!$F$60,Valores!$D$60*D249)</f>
        <v>64.46000000000001</v>
      </c>
      <c r="AI249" s="77">
        <f>SUM(H249,J249,L249,N249,O249,P249,Q249,R249,S249,T249,V249,W249,X249,Z249,AA249,AB249,AC249,AD249,AF249,AG249,AH249)*Valores!$C$63</f>
        <v>0</v>
      </c>
      <c r="AJ249" s="140">
        <f t="shared" si="40"/>
        <v>13191.550000000001</v>
      </c>
      <c r="AK249" s="61">
        <f>IF(Valores!$C$36*D249&gt;Valores!$F$36,Valores!$F$36,Valores!$C$36*D249)</f>
        <v>304.81</v>
      </c>
      <c r="AL249" s="79">
        <f>IF(Valores!$C$11*D249&gt;Valores!$F$11,Valores!$F$11,Valores!$C$11*D249)</f>
        <v>107.47</v>
      </c>
      <c r="AM249" s="89">
        <f>IF(Valores!$C$57*D249&gt;Valores!$F$57,Valores!$F$57,Valores!$C$57*D249)</f>
        <v>94.49</v>
      </c>
      <c r="AN249" s="79">
        <f>IF($H$4="SI",SUM(AL249+AM249),AL249)*Valores!$C$63</f>
        <v>0</v>
      </c>
      <c r="AO249" s="12">
        <f t="shared" si="44"/>
        <v>506.77</v>
      </c>
      <c r="AP249" s="13">
        <f>AJ249*-Valores!$C$65</f>
        <v>-1714.9015000000002</v>
      </c>
      <c r="AQ249" s="13">
        <f>AJ249*-Valores!$C$66</f>
        <v>-65.95775</v>
      </c>
      <c r="AR249" s="78">
        <f>AJ249*-Valores!$C$67</f>
        <v>-593.6197500000001</v>
      </c>
      <c r="AS249" s="78">
        <f>AJ249*-Valores!$C$68</f>
        <v>-356.17185000000006</v>
      </c>
      <c r="AT249" s="78">
        <f>AJ249*-Valores!$C$69</f>
        <v>-39.574650000000005</v>
      </c>
      <c r="AU249" s="15">
        <f t="shared" si="41"/>
        <v>11323.841000000002</v>
      </c>
      <c r="AV249" s="15">
        <f t="shared" si="42"/>
        <v>11521.71425</v>
      </c>
      <c r="AW249" s="78">
        <f>AJ249*Valores!$C$70</f>
        <v>2110.648</v>
      </c>
      <c r="AX249" s="78">
        <f>AJ249*Valores!$C$71</f>
        <v>593.6197500000001</v>
      </c>
      <c r="AY249" s="78">
        <f>AJ249*Valores!$C$73</f>
        <v>131.9155</v>
      </c>
      <c r="AZ249" s="78">
        <f>AJ249*Valores!$C$74</f>
        <v>461.70425000000006</v>
      </c>
      <c r="BA249" s="78">
        <f>AJ249*Valores!$C$75</f>
        <v>79.14930000000001</v>
      </c>
      <c r="BB249" s="78">
        <f t="shared" si="45"/>
        <v>712.3437000000001</v>
      </c>
      <c r="BC249" s="20"/>
      <c r="BD249" s="55">
        <f t="shared" si="46"/>
        <v>44</v>
      </c>
      <c r="BE249" s="9" t="s">
        <v>462</v>
      </c>
    </row>
    <row r="250" spans="1:57" s="9" customFormat="1" ht="11.25" customHeight="1">
      <c r="A250" s="20">
        <v>249</v>
      </c>
      <c r="B250" s="20"/>
      <c r="C250" s="9" t="s">
        <v>355</v>
      </c>
      <c r="D250" s="9">
        <v>11</v>
      </c>
      <c r="E250" s="9">
        <f t="shared" si="43"/>
        <v>42</v>
      </c>
      <c r="F250" s="10" t="str">
        <f>CONCATENATE("Hora Cátedra Enseñanza Media ",D250," hs Esc Esp")</f>
        <v>Hora Cátedra Enseñanza Media 11 hs Esc Esp</v>
      </c>
      <c r="G250" s="123">
        <f t="shared" si="47"/>
        <v>869</v>
      </c>
      <c r="H250" s="7">
        <f>INT((G250*Valores!$C$2*100))/100</f>
        <v>5213.39</v>
      </c>
      <c r="I250" s="134">
        <v>0</v>
      </c>
      <c r="J250" s="77">
        <f>INT((I250*Valores!$C$2*100)+0.5)/100</f>
        <v>0</v>
      </c>
      <c r="K250" s="146">
        <v>0</v>
      </c>
      <c r="L250" s="77">
        <f>INT((K250*Valores!$C$2*100)+0.5)/100</f>
        <v>0</v>
      </c>
      <c r="M250" s="120">
        <v>0</v>
      </c>
      <c r="N250" s="77">
        <f>INT((M250*Valores!$C$2*100)+0.5)/100</f>
        <v>0</v>
      </c>
      <c r="O250" s="77">
        <f t="shared" si="37"/>
        <v>0</v>
      </c>
      <c r="P250" s="77">
        <f t="shared" si="38"/>
        <v>2806.4</v>
      </c>
      <c r="Q250" s="61">
        <f>Valores!$C$14*D250</f>
        <v>1512.9399999999998</v>
      </c>
      <c r="R250" s="61">
        <f>IF(D250&lt;15,(Valores!$E$4*D250),Valores!$D$4)</f>
        <v>1967.8999999999996</v>
      </c>
      <c r="S250" s="77">
        <v>0</v>
      </c>
      <c r="T250" s="79">
        <f>IF(Valores!$C$45*D250&gt;Valores!$C$43,Valores!$C$43,Valores!$C$45*D250)</f>
        <v>399.41</v>
      </c>
      <c r="U250" s="61">
        <f>Valores!$C$22*D250</f>
        <v>586.3</v>
      </c>
      <c r="V250" s="77">
        <f t="shared" si="48"/>
        <v>879.4499999999999</v>
      </c>
      <c r="W250" s="77">
        <v>0</v>
      </c>
      <c r="X250" s="77">
        <v>0</v>
      </c>
      <c r="Y250" s="37">
        <v>0</v>
      </c>
      <c r="Z250" s="77">
        <f>Y250*Valores!$C$2</f>
        <v>0</v>
      </c>
      <c r="AA250" s="77">
        <v>0</v>
      </c>
      <c r="AB250" s="89">
        <f>IF((Valores!$C$32)*D250&gt;Valores!$F$32,Valores!$F$32,(Valores!$C$32)*D250)</f>
        <v>66.66</v>
      </c>
      <c r="AC250" s="77">
        <f t="shared" si="39"/>
        <v>0</v>
      </c>
      <c r="AD250" s="77">
        <f>IF(Valores!$C$33*D250&gt;Valores!$F$33,Valores!$F$33,Valores!$C$33*D250)</f>
        <v>55.44</v>
      </c>
      <c r="AE250" s="116">
        <v>94</v>
      </c>
      <c r="AF250" s="77">
        <f>INT(((AE250*Valores!$C$2)*100)+0.5)/100</f>
        <v>563.93</v>
      </c>
      <c r="AG250" s="77">
        <f>IF(Valores!$D$58*'Escala Docente'!D250&gt;Valores!$F$58,Valores!$F$58,Valores!$D$58*'Escala Docente'!D250)</f>
        <v>225.5</v>
      </c>
      <c r="AH250" s="77">
        <f>IF(Valores!$D$60*D250&gt;Valores!$F$60,Valores!$F$60,Valores!$D$60*D250)</f>
        <v>64.46000000000001</v>
      </c>
      <c r="AI250" s="77">
        <f>SUM(H250,J250,L250,N250,O250,P250,Q250,R250,S250,T250,V250,W250,X250,Z250,AA250,AB250,AC250,AD250,AF250,AG250,AH250)*Valores!$C$63</f>
        <v>0</v>
      </c>
      <c r="AJ250" s="140">
        <f t="shared" si="40"/>
        <v>13755.480000000001</v>
      </c>
      <c r="AK250" s="61">
        <f>IF(Valores!$C$36*D250&gt;Valores!$F$36,Valores!$F$36,Valores!$C$36*D250)</f>
        <v>304.81</v>
      </c>
      <c r="AL250" s="79">
        <f>IF(Valores!$C$11*D250&gt;Valores!$F$11,Valores!$F$11,Valores!$C$11*D250)</f>
        <v>107.47</v>
      </c>
      <c r="AM250" s="89">
        <f>IF(Valores!$C$57*D250&gt;Valores!$F$57,Valores!$F$57,Valores!$C$57*D250)</f>
        <v>94.49</v>
      </c>
      <c r="AN250" s="79">
        <f>IF($H$4="SI",SUM(AL250+AM250),AL250)*Valores!$C$63</f>
        <v>0</v>
      </c>
      <c r="AO250" s="12">
        <f t="shared" si="44"/>
        <v>506.77</v>
      </c>
      <c r="AP250" s="13">
        <f>AJ250*-Valores!$C$65</f>
        <v>-1788.2124000000003</v>
      </c>
      <c r="AQ250" s="13">
        <f>AJ250*-Valores!$C$66</f>
        <v>-68.77740000000001</v>
      </c>
      <c r="AR250" s="78">
        <f>AJ250*-Valores!$C$67</f>
        <v>-618.9966000000001</v>
      </c>
      <c r="AS250" s="78">
        <f>AJ250*-Valores!$C$68</f>
        <v>-371.39796000000007</v>
      </c>
      <c r="AT250" s="78">
        <f>AJ250*-Valores!$C$69</f>
        <v>-41.26644</v>
      </c>
      <c r="AU250" s="15">
        <f t="shared" si="41"/>
        <v>11786.2636</v>
      </c>
      <c r="AV250" s="15">
        <f t="shared" si="42"/>
        <v>11992.595800000001</v>
      </c>
      <c r="AW250" s="78">
        <f>AJ250*Valores!$C$70</f>
        <v>2200.8768000000005</v>
      </c>
      <c r="AX250" s="78">
        <f>AJ250*Valores!$C$71</f>
        <v>618.9966000000001</v>
      </c>
      <c r="AY250" s="78">
        <f>AJ250*Valores!$C$73</f>
        <v>137.55480000000003</v>
      </c>
      <c r="AZ250" s="78">
        <f>AJ250*Valores!$C$74</f>
        <v>481.4418000000001</v>
      </c>
      <c r="BA250" s="78">
        <f>AJ250*Valores!$C$75</f>
        <v>82.53288</v>
      </c>
      <c r="BB250" s="78">
        <f t="shared" si="45"/>
        <v>742.7959200000001</v>
      </c>
      <c r="BC250" s="20"/>
      <c r="BD250" s="20">
        <f t="shared" si="46"/>
        <v>44</v>
      </c>
      <c r="BE250" s="9" t="s">
        <v>462</v>
      </c>
    </row>
    <row r="251" spans="1:57" s="9" customFormat="1" ht="11.25" customHeight="1">
      <c r="A251" s="55">
        <v>250</v>
      </c>
      <c r="B251" s="55" t="s">
        <v>458</v>
      </c>
      <c r="C251" s="52" t="s">
        <v>355</v>
      </c>
      <c r="D251" s="52">
        <v>12</v>
      </c>
      <c r="E251" s="52">
        <f t="shared" si="43"/>
        <v>34</v>
      </c>
      <c r="F251" s="53" t="str">
        <f>CONCATENATE("Hora Cátedra Enseñanza Media ",D251," hs")</f>
        <v>Hora Cátedra Enseñanza Media 12 hs</v>
      </c>
      <c r="G251" s="124">
        <f t="shared" si="47"/>
        <v>948</v>
      </c>
      <c r="H251" s="129">
        <f>INT((G251*Valores!$C$2*100))/100</f>
        <v>5687.34</v>
      </c>
      <c r="I251" s="133">
        <v>0</v>
      </c>
      <c r="J251" s="80">
        <f>INT((I251*Valores!$C$2*100)+0.5)/100</f>
        <v>0</v>
      </c>
      <c r="K251" s="147">
        <v>0</v>
      </c>
      <c r="L251" s="80">
        <f>INT((K251*Valores!$C$2*100)+0.5)/100</f>
        <v>0</v>
      </c>
      <c r="M251" s="121">
        <v>0</v>
      </c>
      <c r="N251" s="80">
        <f>INT((M251*Valores!$C$2*100)+0.5)/100</f>
        <v>0</v>
      </c>
      <c r="O251" s="80">
        <f t="shared" si="37"/>
        <v>0</v>
      </c>
      <c r="P251" s="80">
        <f t="shared" si="38"/>
        <v>3061.53</v>
      </c>
      <c r="Q251" s="85">
        <f>Valores!$C$14*D251</f>
        <v>1650.48</v>
      </c>
      <c r="R251" s="85">
        <f>IF(D251&lt;15,(Valores!$E$4*D251),Valores!$D$4)</f>
        <v>2146.7999999999997</v>
      </c>
      <c r="S251" s="80">
        <v>0</v>
      </c>
      <c r="T251" s="82">
        <f>IF(Valores!$C$45*D251&gt;Valores!$C$43,Valores!$C$43,Valores!$C$45*D251)</f>
        <v>435.72</v>
      </c>
      <c r="U251" s="85">
        <f>Valores!$C$22*D251</f>
        <v>639.5999999999999</v>
      </c>
      <c r="V251" s="80">
        <f t="shared" si="48"/>
        <v>959.3999999999999</v>
      </c>
      <c r="W251" s="80">
        <v>0</v>
      </c>
      <c r="X251" s="80">
        <v>0</v>
      </c>
      <c r="Y251" s="60">
        <v>0</v>
      </c>
      <c r="Z251" s="80">
        <f>Y251*Valores!$C$2</f>
        <v>0</v>
      </c>
      <c r="AA251" s="80">
        <v>0</v>
      </c>
      <c r="AB251" s="90">
        <f>IF((Valores!$C$32)*D251&gt;Valores!$F$32,Valores!$F$32,(Valores!$C$32)*D251)</f>
        <v>72.72</v>
      </c>
      <c r="AC251" s="80">
        <f t="shared" si="39"/>
        <v>0</v>
      </c>
      <c r="AD251" s="80">
        <f>IF(Valores!$C$33*D251&gt;Valores!$F$33,Valores!$F$33,Valores!$C$33*D251)</f>
        <v>60.480000000000004</v>
      </c>
      <c r="AE251" s="115">
        <v>0</v>
      </c>
      <c r="AF251" s="80">
        <f>INT(((AE251*Valores!$C$2)*100)+0.5)/100</f>
        <v>0</v>
      </c>
      <c r="AG251" s="80">
        <f>IF(Valores!$D$58*'Escala Docente'!D251&gt;Valores!$F$58,Valores!$F$58,Valores!$D$58*'Escala Docente'!D251)</f>
        <v>246</v>
      </c>
      <c r="AH251" s="80">
        <f>IF(Valores!$D$60*D251&gt;Valores!$F$60,Valores!$F$60,Valores!$D$60*D251)</f>
        <v>70.32000000000001</v>
      </c>
      <c r="AI251" s="80">
        <f>SUM(H251,J251,L251,N251,O251,P251,Q251,R251,S251,T251,V251,W251,X251,Z251,AA251,AB251,AC251,AD251,AF251,AG251,AH251)*Valores!$C$63</f>
        <v>0</v>
      </c>
      <c r="AJ251" s="141">
        <f t="shared" si="40"/>
        <v>14390.789999999997</v>
      </c>
      <c r="AK251" s="85">
        <f>IF(Valores!$C$36*D251&gt;Valores!$F$36,Valores!$F$36,Valores!$C$36*D251)</f>
        <v>332.52</v>
      </c>
      <c r="AL251" s="82">
        <f>IF(Valores!$C$11*D251&gt;Valores!$F$11,Valores!$F$11,Valores!$C$11*D251)</f>
        <v>117.24</v>
      </c>
      <c r="AM251" s="90">
        <f>IF(Valores!$C$57*D251&gt;Valores!$F$57,Valores!$F$57,Valores!$C$57*D251)</f>
        <v>103.08</v>
      </c>
      <c r="AN251" s="82">
        <f>IF($H$4="SI",SUM(AL251+AM251),AL251)*Valores!$C$63</f>
        <v>0</v>
      </c>
      <c r="AO251" s="185">
        <f t="shared" si="44"/>
        <v>552.84</v>
      </c>
      <c r="AP251" s="154">
        <f>AJ251*-Valores!$C$65</f>
        <v>-1870.8026999999997</v>
      </c>
      <c r="AQ251" s="154">
        <f>AJ251*-Valores!$C$66</f>
        <v>-71.95394999999999</v>
      </c>
      <c r="AR251" s="81">
        <f>AJ251*-Valores!$C$67</f>
        <v>-647.5855499999999</v>
      </c>
      <c r="AS251" s="81">
        <f>AJ251*-Valores!$C$68</f>
        <v>-388.55132999999995</v>
      </c>
      <c r="AT251" s="81">
        <f>AJ251*-Valores!$C$69</f>
        <v>-43.172369999999994</v>
      </c>
      <c r="AU251" s="54">
        <f t="shared" si="41"/>
        <v>12353.287799999998</v>
      </c>
      <c r="AV251" s="54">
        <f t="shared" si="42"/>
        <v>12569.149649999998</v>
      </c>
      <c r="AW251" s="81">
        <f>AJ251*Valores!$C$70</f>
        <v>2302.5263999999997</v>
      </c>
      <c r="AX251" s="81">
        <f>AJ251*Valores!$C$71</f>
        <v>647.5855499999999</v>
      </c>
      <c r="AY251" s="81">
        <f>AJ251*Valores!$C$73</f>
        <v>143.90789999999998</v>
      </c>
      <c r="AZ251" s="81">
        <f>AJ251*Valores!$C$74</f>
        <v>503.67764999999997</v>
      </c>
      <c r="BA251" s="81">
        <f>AJ251*Valores!$C$75</f>
        <v>86.34473999999999</v>
      </c>
      <c r="BB251" s="81">
        <f t="shared" si="45"/>
        <v>777.1026599999999</v>
      </c>
      <c r="BC251" s="55"/>
      <c r="BD251" s="55">
        <f t="shared" si="46"/>
        <v>48</v>
      </c>
      <c r="BE251" s="52" t="s">
        <v>462</v>
      </c>
    </row>
    <row r="252" spans="1:57" s="9" customFormat="1" ht="11.25" customHeight="1">
      <c r="A252" s="20">
        <v>251</v>
      </c>
      <c r="B252" s="20"/>
      <c r="C252" s="9" t="s">
        <v>355</v>
      </c>
      <c r="D252" s="9">
        <v>12</v>
      </c>
      <c r="E252" s="9">
        <f t="shared" si="43"/>
        <v>42</v>
      </c>
      <c r="F252" s="10" t="str">
        <f>CONCATENATE("Hora Cátedra Enseñanza Media ",D252," hs Esc Esp")</f>
        <v>Hora Cátedra Enseñanza Media 12 hs Esc Esp</v>
      </c>
      <c r="G252" s="123">
        <f t="shared" si="47"/>
        <v>948</v>
      </c>
      <c r="H252" s="7">
        <f>INT((G252*Valores!$C$2*100))/100</f>
        <v>5687.34</v>
      </c>
      <c r="I252" s="134">
        <v>0</v>
      </c>
      <c r="J252" s="77">
        <f>INT((I252*Valores!$C$2*100)+0.5)/100</f>
        <v>0</v>
      </c>
      <c r="K252" s="146">
        <v>0</v>
      </c>
      <c r="L252" s="77">
        <f>INT((K252*Valores!$C$2*100)+0.5)/100</f>
        <v>0</v>
      </c>
      <c r="M252" s="120">
        <v>0</v>
      </c>
      <c r="N252" s="77">
        <f>INT((M252*Valores!$C$2*100)+0.5)/100</f>
        <v>0</v>
      </c>
      <c r="O252" s="77">
        <f t="shared" si="37"/>
        <v>0</v>
      </c>
      <c r="P252" s="77">
        <f t="shared" si="38"/>
        <v>3061.53</v>
      </c>
      <c r="Q252" s="61">
        <f>Valores!$C$14*D252</f>
        <v>1650.48</v>
      </c>
      <c r="R252" s="61">
        <f>IF(D252&lt;15,(Valores!$E$4*D252),Valores!$D$4)</f>
        <v>2146.7999999999997</v>
      </c>
      <c r="S252" s="77">
        <v>0</v>
      </c>
      <c r="T252" s="79">
        <f>IF(Valores!$C$45*D252&gt;Valores!$C$43,Valores!$C$43,Valores!$C$45*D252)</f>
        <v>435.72</v>
      </c>
      <c r="U252" s="61">
        <f>Valores!$C$22*D252</f>
        <v>639.5999999999999</v>
      </c>
      <c r="V252" s="77">
        <f t="shared" si="48"/>
        <v>959.3999999999999</v>
      </c>
      <c r="W252" s="77">
        <v>0</v>
      </c>
      <c r="X252" s="77">
        <v>0</v>
      </c>
      <c r="Y252" s="37">
        <v>0</v>
      </c>
      <c r="Z252" s="77">
        <f>Y252*Valores!$C$2</f>
        <v>0</v>
      </c>
      <c r="AA252" s="77">
        <v>0</v>
      </c>
      <c r="AB252" s="89">
        <f>IF((Valores!$C$32)*D252&gt;Valores!$F$32,Valores!$F$32,(Valores!$C$32)*D252)</f>
        <v>72.72</v>
      </c>
      <c r="AC252" s="77">
        <f t="shared" si="39"/>
        <v>0</v>
      </c>
      <c r="AD252" s="77">
        <f>IF(Valores!$C$33*D252&gt;Valores!$F$33,Valores!$F$33,Valores!$C$33*D252)</f>
        <v>60.480000000000004</v>
      </c>
      <c r="AE252" s="116">
        <v>94</v>
      </c>
      <c r="AF252" s="77">
        <f>INT(((AE252*Valores!$C$2)*100)+0.5)/100</f>
        <v>563.93</v>
      </c>
      <c r="AG252" s="77">
        <f>IF(Valores!$D$58*'Escala Docente'!D252&gt;Valores!$F$58,Valores!$F$58,Valores!$D$58*'Escala Docente'!D252)</f>
        <v>246</v>
      </c>
      <c r="AH252" s="77">
        <f>IF(Valores!$D$60*D252&gt;Valores!$F$60,Valores!$F$60,Valores!$D$60*D252)</f>
        <v>70.32000000000001</v>
      </c>
      <c r="AI252" s="77">
        <f>SUM(H252,J252,L252,N252,O252,P252,Q252,R252,S252,T252,V252,W252,X252,Z252,AA252,AB252,AC252,AD252,AF252,AG252,AH252)*Valores!$C$63</f>
        <v>0</v>
      </c>
      <c r="AJ252" s="140">
        <f t="shared" si="40"/>
        <v>14954.719999999998</v>
      </c>
      <c r="AK252" s="61">
        <f>IF(Valores!$C$36*D252&gt;Valores!$F$36,Valores!$F$36,Valores!$C$36*D252)</f>
        <v>332.52</v>
      </c>
      <c r="AL252" s="79">
        <f>IF(Valores!$C$11*D252&gt;Valores!$F$11,Valores!$F$11,Valores!$C$11*D252)</f>
        <v>117.24</v>
      </c>
      <c r="AM252" s="89">
        <f>IF(Valores!$C$57*D252&gt;Valores!$F$57,Valores!$F$57,Valores!$C$57*D252)</f>
        <v>103.08</v>
      </c>
      <c r="AN252" s="79">
        <f>IF($H$4="SI",SUM(AL252+AM252),AL252)*Valores!$C$63</f>
        <v>0</v>
      </c>
      <c r="AO252" s="12">
        <f t="shared" si="44"/>
        <v>552.84</v>
      </c>
      <c r="AP252" s="13">
        <f>AJ252*-Valores!$C$65</f>
        <v>-1944.1135999999997</v>
      </c>
      <c r="AQ252" s="13">
        <f>AJ252*-Valores!$C$66</f>
        <v>-74.77359999999999</v>
      </c>
      <c r="AR252" s="78">
        <f>AJ252*-Valores!$C$67</f>
        <v>-672.9623999999999</v>
      </c>
      <c r="AS252" s="78">
        <f>AJ252*-Valores!$C$68</f>
        <v>-403.77743999999996</v>
      </c>
      <c r="AT252" s="78">
        <f>AJ252*-Valores!$C$69</f>
        <v>-44.86415999999999</v>
      </c>
      <c r="AU252" s="15">
        <f t="shared" si="41"/>
        <v>12815.710399999996</v>
      </c>
      <c r="AV252" s="15">
        <f t="shared" si="42"/>
        <v>13040.0312</v>
      </c>
      <c r="AW252" s="78">
        <f>AJ252*Valores!$C$70</f>
        <v>2392.7551999999996</v>
      </c>
      <c r="AX252" s="78">
        <f>AJ252*Valores!$C$71</f>
        <v>672.9623999999999</v>
      </c>
      <c r="AY252" s="78">
        <f>AJ252*Valores!$C$73</f>
        <v>149.54719999999998</v>
      </c>
      <c r="AZ252" s="78">
        <f>AJ252*Valores!$C$74</f>
        <v>523.4151999999999</v>
      </c>
      <c r="BA252" s="78">
        <f>AJ252*Valores!$C$75</f>
        <v>89.72831999999998</v>
      </c>
      <c r="BB252" s="78">
        <f t="shared" si="45"/>
        <v>807.55488</v>
      </c>
      <c r="BC252" s="20"/>
      <c r="BD252" s="20">
        <f t="shared" si="46"/>
        <v>48</v>
      </c>
      <c r="BE252" s="9" t="s">
        <v>462</v>
      </c>
    </row>
    <row r="253" spans="1:57" s="9" customFormat="1" ht="11.25" customHeight="1">
      <c r="A253" s="20">
        <v>252</v>
      </c>
      <c r="B253" s="20"/>
      <c r="C253" s="9" t="s">
        <v>355</v>
      </c>
      <c r="D253" s="9">
        <v>13</v>
      </c>
      <c r="E253" s="9">
        <f t="shared" si="43"/>
        <v>34</v>
      </c>
      <c r="F253" s="10" t="str">
        <f>CONCATENATE("Hora Cátedra Enseñanza Media ",D253," hs")</f>
        <v>Hora Cátedra Enseñanza Media 13 hs</v>
      </c>
      <c r="G253" s="123">
        <f t="shared" si="47"/>
        <v>1027</v>
      </c>
      <c r="H253" s="7">
        <f>INT((G253*Valores!$C$2*100))/100</f>
        <v>6161.28</v>
      </c>
      <c r="I253" s="134">
        <v>0</v>
      </c>
      <c r="J253" s="77">
        <f>INT((I253*Valores!$C$2*100)+0.5)/100</f>
        <v>0</v>
      </c>
      <c r="K253" s="146">
        <v>0</v>
      </c>
      <c r="L253" s="77">
        <f>INT((K253*Valores!$C$2*100)+0.5)/100</f>
        <v>0</v>
      </c>
      <c r="M253" s="120">
        <v>0</v>
      </c>
      <c r="N253" s="77">
        <f>INT((M253*Valores!$C$2*100)+0.5)/100</f>
        <v>0</v>
      </c>
      <c r="O253" s="77">
        <f t="shared" si="37"/>
        <v>0</v>
      </c>
      <c r="P253" s="77">
        <f t="shared" si="38"/>
        <v>3316.6549999999997</v>
      </c>
      <c r="Q253" s="61">
        <f>Valores!$C$14*D253</f>
        <v>1788.02</v>
      </c>
      <c r="R253" s="61">
        <f>IF(D253&lt;15,(Valores!$E$4*D253),Valores!$D$4)</f>
        <v>2325.7</v>
      </c>
      <c r="S253" s="77">
        <v>0</v>
      </c>
      <c r="T253" s="79">
        <f>IF(Valores!$C$45*D253&gt;Valores!$C$43,Valores!$C$43,Valores!$C$45*D253)</f>
        <v>472.03000000000003</v>
      </c>
      <c r="U253" s="61">
        <f>Valores!$C$22*D253</f>
        <v>692.9</v>
      </c>
      <c r="V253" s="77">
        <f t="shared" si="48"/>
        <v>1039.35</v>
      </c>
      <c r="W253" s="77">
        <v>0</v>
      </c>
      <c r="X253" s="77">
        <v>0</v>
      </c>
      <c r="Y253" s="37">
        <v>0</v>
      </c>
      <c r="Z253" s="77">
        <f>Y253*Valores!$C$2</f>
        <v>0</v>
      </c>
      <c r="AA253" s="77">
        <v>0</v>
      </c>
      <c r="AB253" s="89">
        <f>IF((Valores!$C$32)*D253&gt;Valores!$F$32,Valores!$F$32,(Valores!$C$32)*D253)</f>
        <v>78.78</v>
      </c>
      <c r="AC253" s="77">
        <f t="shared" si="39"/>
        <v>0</v>
      </c>
      <c r="AD253" s="77">
        <f>IF(Valores!$C$33*D253&gt;Valores!$F$33,Valores!$F$33,Valores!$C$33*D253)</f>
        <v>65.52</v>
      </c>
      <c r="AE253" s="116">
        <v>0</v>
      </c>
      <c r="AF253" s="77">
        <f>INT(((AE253*Valores!$C$2)*100)+0.5)/100</f>
        <v>0</v>
      </c>
      <c r="AG253" s="77">
        <f>IF(Valores!$D$58*'Escala Docente'!D253&gt;Valores!$F$58,Valores!$F$58,Valores!$D$58*'Escala Docente'!D253)</f>
        <v>266.5</v>
      </c>
      <c r="AH253" s="77">
        <f>IF(Valores!$D$60*D253&gt;Valores!$F$60,Valores!$F$60,Valores!$D$60*D253)</f>
        <v>76.18</v>
      </c>
      <c r="AI253" s="77">
        <f>SUM(H253,J253,L253,N253,O253,P253,Q253,R253,S253,T253,V253,W253,X253,Z253,AA253,AB253,AC253,AD253,AF253,AG253,AH253)*Valores!$C$63</f>
        <v>0</v>
      </c>
      <c r="AJ253" s="140">
        <f t="shared" si="40"/>
        <v>15590.015000000001</v>
      </c>
      <c r="AK253" s="61">
        <f>IF(Valores!$C$36*D253&gt;Valores!$F$36,Valores!$F$36,Valores!$C$36*D253)</f>
        <v>360.23</v>
      </c>
      <c r="AL253" s="79">
        <f>IF(Valores!$C$11*D253&gt;Valores!$F$11,Valores!$F$11,Valores!$C$11*D253)</f>
        <v>127.00999999999999</v>
      </c>
      <c r="AM253" s="89">
        <f>IF(Valores!$C$57*D253&gt;Valores!$F$57,Valores!$F$57,Valores!$C$57*D253)</f>
        <v>111.67</v>
      </c>
      <c r="AN253" s="79">
        <f>IF($H$4="SI",SUM(AL253+AM253),AL253)*Valores!$C$63</f>
        <v>0</v>
      </c>
      <c r="AO253" s="12">
        <f t="shared" si="44"/>
        <v>598.91</v>
      </c>
      <c r="AP253" s="13">
        <f>AJ253*-Valores!$C$65</f>
        <v>-2026.7019500000001</v>
      </c>
      <c r="AQ253" s="13">
        <f>AJ253*-Valores!$C$66</f>
        <v>-77.95007500000001</v>
      </c>
      <c r="AR253" s="78">
        <f>AJ253*-Valores!$C$67</f>
        <v>-701.5506750000001</v>
      </c>
      <c r="AS253" s="78">
        <f>AJ253*-Valores!$C$68</f>
        <v>-420.93040500000006</v>
      </c>
      <c r="AT253" s="78">
        <f>AJ253*-Valores!$C$69</f>
        <v>-46.770045</v>
      </c>
      <c r="AU253" s="15">
        <f t="shared" si="41"/>
        <v>13382.7223</v>
      </c>
      <c r="AV253" s="15">
        <f t="shared" si="42"/>
        <v>13616.572525</v>
      </c>
      <c r="AW253" s="78">
        <f>AJ253*Valores!$C$70</f>
        <v>2494.4024000000004</v>
      </c>
      <c r="AX253" s="78">
        <f>AJ253*Valores!$C$71</f>
        <v>701.5506750000001</v>
      </c>
      <c r="AY253" s="78">
        <f>AJ253*Valores!$C$73</f>
        <v>155.90015000000002</v>
      </c>
      <c r="AZ253" s="78">
        <f>AJ253*Valores!$C$74</f>
        <v>545.6505250000001</v>
      </c>
      <c r="BA253" s="78">
        <f>AJ253*Valores!$C$75</f>
        <v>93.54009</v>
      </c>
      <c r="BB253" s="78">
        <f t="shared" si="45"/>
        <v>841.86081</v>
      </c>
      <c r="BC253" s="20"/>
      <c r="BD253" s="20">
        <f t="shared" si="46"/>
        <v>52</v>
      </c>
      <c r="BE253" s="9" t="s">
        <v>462</v>
      </c>
    </row>
    <row r="254" spans="1:57" s="9" customFormat="1" ht="11.25" customHeight="1">
      <c r="A254" s="20">
        <v>253</v>
      </c>
      <c r="B254" s="20"/>
      <c r="C254" s="9" t="s">
        <v>355</v>
      </c>
      <c r="D254" s="9">
        <v>13</v>
      </c>
      <c r="E254" s="9">
        <f t="shared" si="43"/>
        <v>42</v>
      </c>
      <c r="F254" s="10" t="str">
        <f>CONCATENATE("Hora Cátedra Enseñanza Media ",D254," hs Esc Esp")</f>
        <v>Hora Cátedra Enseñanza Media 13 hs Esc Esp</v>
      </c>
      <c r="G254" s="123">
        <f t="shared" si="47"/>
        <v>1027</v>
      </c>
      <c r="H254" s="7">
        <f>INT((G254*Valores!$C$2*100))/100</f>
        <v>6161.28</v>
      </c>
      <c r="I254" s="134">
        <v>0</v>
      </c>
      <c r="J254" s="77">
        <f>INT((I254*Valores!$C$2*100)+0.5)/100</f>
        <v>0</v>
      </c>
      <c r="K254" s="146">
        <v>0</v>
      </c>
      <c r="L254" s="77">
        <f>INT((K254*Valores!$C$2*100)+0.5)/100</f>
        <v>0</v>
      </c>
      <c r="M254" s="120">
        <v>0</v>
      </c>
      <c r="N254" s="77">
        <f>INT((M254*Valores!$C$2*100)+0.5)/100</f>
        <v>0</v>
      </c>
      <c r="O254" s="77">
        <f t="shared" si="37"/>
        <v>0</v>
      </c>
      <c r="P254" s="77">
        <f t="shared" si="38"/>
        <v>3316.6549999999997</v>
      </c>
      <c r="Q254" s="61">
        <f>Valores!$C$14*D254</f>
        <v>1788.02</v>
      </c>
      <c r="R254" s="61">
        <f>IF(D254&lt;15,(Valores!$E$4*D254),Valores!$D$4)</f>
        <v>2325.7</v>
      </c>
      <c r="S254" s="77">
        <v>0</v>
      </c>
      <c r="T254" s="79">
        <f>IF(Valores!$C$45*D254&gt;Valores!$C$43,Valores!$C$43,Valores!$C$45*D254)</f>
        <v>472.03000000000003</v>
      </c>
      <c r="U254" s="61">
        <f>Valores!$C$22*D254</f>
        <v>692.9</v>
      </c>
      <c r="V254" s="77">
        <f t="shared" si="48"/>
        <v>1039.35</v>
      </c>
      <c r="W254" s="77">
        <v>0</v>
      </c>
      <c r="X254" s="77">
        <v>0</v>
      </c>
      <c r="Y254" s="37">
        <v>0</v>
      </c>
      <c r="Z254" s="77">
        <f>Y254*Valores!$C$2</f>
        <v>0</v>
      </c>
      <c r="AA254" s="77">
        <v>0</v>
      </c>
      <c r="AB254" s="89">
        <f>IF((Valores!$C$32)*D254&gt;Valores!$F$32,Valores!$F$32,(Valores!$C$32)*D254)</f>
        <v>78.78</v>
      </c>
      <c r="AC254" s="77">
        <f t="shared" si="39"/>
        <v>0</v>
      </c>
      <c r="AD254" s="77">
        <f>IF(Valores!$C$33*D254&gt;Valores!$F$33,Valores!$F$33,Valores!$C$33*D254)</f>
        <v>65.52</v>
      </c>
      <c r="AE254" s="116">
        <v>94</v>
      </c>
      <c r="AF254" s="77">
        <f>INT(((AE254*Valores!$C$2)*100)+0.5)/100</f>
        <v>563.93</v>
      </c>
      <c r="AG254" s="77">
        <f>IF(Valores!$D$58*'Escala Docente'!D254&gt;Valores!$F$58,Valores!$F$58,Valores!$D$58*'Escala Docente'!D254)</f>
        <v>266.5</v>
      </c>
      <c r="AH254" s="77">
        <f>IF(Valores!$D$60*D254&gt;Valores!$F$60,Valores!$F$60,Valores!$D$60*D254)</f>
        <v>76.18</v>
      </c>
      <c r="AI254" s="77">
        <f>SUM(H254,J254,L254,N254,O254,P254,Q254,R254,S254,T254,V254,W254,X254,Z254,AA254,AB254,AC254,AD254,AF254,AG254,AH254)*Valores!$C$63</f>
        <v>0</v>
      </c>
      <c r="AJ254" s="140">
        <f t="shared" si="40"/>
        <v>16153.945000000002</v>
      </c>
      <c r="AK254" s="61">
        <f>IF(Valores!$C$36*D254&gt;Valores!$F$36,Valores!$F$36,Valores!$C$36*D254)</f>
        <v>360.23</v>
      </c>
      <c r="AL254" s="79">
        <f>IF(Valores!$C$11*D254&gt;Valores!$F$11,Valores!$F$11,Valores!$C$11*D254)</f>
        <v>127.00999999999999</v>
      </c>
      <c r="AM254" s="89">
        <f>IF(Valores!$C$57*D254&gt;Valores!$F$57,Valores!$F$57,Valores!$C$57*D254)</f>
        <v>111.67</v>
      </c>
      <c r="AN254" s="79">
        <f>IF($H$4="SI",SUM(AL254+AM254),AL254)*Valores!$C$63</f>
        <v>0</v>
      </c>
      <c r="AO254" s="12">
        <f t="shared" si="44"/>
        <v>598.91</v>
      </c>
      <c r="AP254" s="13">
        <f>AJ254*-Valores!$C$65</f>
        <v>-2100.01285</v>
      </c>
      <c r="AQ254" s="13">
        <f>AJ254*-Valores!$C$66</f>
        <v>-80.76972500000001</v>
      </c>
      <c r="AR254" s="78">
        <f>AJ254*-Valores!$C$67</f>
        <v>-726.9275250000001</v>
      </c>
      <c r="AS254" s="78">
        <f>AJ254*-Valores!$C$68</f>
        <v>-436.15651500000007</v>
      </c>
      <c r="AT254" s="78">
        <f>AJ254*-Valores!$C$69</f>
        <v>-48.46183500000001</v>
      </c>
      <c r="AU254" s="15">
        <f t="shared" si="41"/>
        <v>13845.144900000007</v>
      </c>
      <c r="AV254" s="15">
        <f t="shared" si="42"/>
        <v>14087.454075000003</v>
      </c>
      <c r="AW254" s="78">
        <f>AJ254*Valores!$C$70</f>
        <v>2584.6312000000003</v>
      </c>
      <c r="AX254" s="78">
        <f>AJ254*Valores!$C$71</f>
        <v>726.9275250000001</v>
      </c>
      <c r="AY254" s="78">
        <f>AJ254*Valores!$C$73</f>
        <v>161.53945000000002</v>
      </c>
      <c r="AZ254" s="78">
        <f>AJ254*Valores!$C$74</f>
        <v>565.3880750000001</v>
      </c>
      <c r="BA254" s="78">
        <f>AJ254*Valores!$C$75</f>
        <v>96.92367000000002</v>
      </c>
      <c r="BB254" s="78">
        <f t="shared" si="45"/>
        <v>872.3130300000001</v>
      </c>
      <c r="BC254" s="20"/>
      <c r="BD254" s="55">
        <f t="shared" si="46"/>
        <v>52</v>
      </c>
      <c r="BE254" s="9" t="s">
        <v>462</v>
      </c>
    </row>
    <row r="255" spans="1:57" s="9" customFormat="1" ht="11.25" customHeight="1">
      <c r="A255" s="20">
        <v>254</v>
      </c>
      <c r="B255" s="20"/>
      <c r="C255" s="9" t="s">
        <v>355</v>
      </c>
      <c r="D255" s="9">
        <v>14</v>
      </c>
      <c r="E255" s="9">
        <f t="shared" si="43"/>
        <v>34</v>
      </c>
      <c r="F255" s="10" t="str">
        <f>CONCATENATE("Hora Cátedra Enseñanza Media ",D255," hs")</f>
        <v>Hora Cátedra Enseñanza Media 14 hs</v>
      </c>
      <c r="G255" s="123">
        <f t="shared" si="47"/>
        <v>1106</v>
      </c>
      <c r="H255" s="7">
        <f>INT((G255*Valores!$C$2*100))/100</f>
        <v>6635.23</v>
      </c>
      <c r="I255" s="134">
        <v>0</v>
      </c>
      <c r="J255" s="77">
        <f>INT((I255*Valores!$C$2*100)+0.5)/100</f>
        <v>0</v>
      </c>
      <c r="K255" s="146">
        <v>0</v>
      </c>
      <c r="L255" s="77">
        <f>INT((K255*Valores!$C$2*100)+0.5)/100</f>
        <v>0</v>
      </c>
      <c r="M255" s="120">
        <v>0</v>
      </c>
      <c r="N255" s="77">
        <f>INT((M255*Valores!$C$2*100)+0.5)/100</f>
        <v>0</v>
      </c>
      <c r="O255" s="77">
        <f t="shared" si="37"/>
        <v>0</v>
      </c>
      <c r="P255" s="77">
        <f t="shared" si="38"/>
        <v>3571.785</v>
      </c>
      <c r="Q255" s="61">
        <f>Valores!$C$14*D255</f>
        <v>1925.56</v>
      </c>
      <c r="R255" s="61">
        <f>IF(D255&lt;15,(Valores!$E$4*D255),Valores!$D$4)</f>
        <v>2504.5999999999995</v>
      </c>
      <c r="S255" s="77">
        <v>0</v>
      </c>
      <c r="T255" s="79">
        <f>IF(Valores!$C$45*D255&gt;Valores!$C$43,Valores!$C$43,Valores!$C$45*D255)</f>
        <v>508.34000000000003</v>
      </c>
      <c r="U255" s="61">
        <f>Valores!$C$22*D255</f>
        <v>746.1999999999999</v>
      </c>
      <c r="V255" s="77">
        <f t="shared" si="48"/>
        <v>1119.3</v>
      </c>
      <c r="W255" s="77">
        <v>0</v>
      </c>
      <c r="X255" s="77">
        <v>0</v>
      </c>
      <c r="Y255" s="37">
        <v>0</v>
      </c>
      <c r="Z255" s="77">
        <f>Y255*Valores!$C$2</f>
        <v>0</v>
      </c>
      <c r="AA255" s="77">
        <v>0</v>
      </c>
      <c r="AB255" s="89">
        <f>IF((Valores!$C$32)*D255&gt;Valores!$F$32,Valores!$F$32,(Valores!$C$32)*D255)</f>
        <v>84.83999999999999</v>
      </c>
      <c r="AC255" s="77">
        <f t="shared" si="39"/>
        <v>0</v>
      </c>
      <c r="AD255" s="77">
        <f>IF(Valores!$C$33*D255&gt;Valores!$F$33,Valores!$F$33,Valores!$C$33*D255)</f>
        <v>70.56</v>
      </c>
      <c r="AE255" s="116">
        <v>0</v>
      </c>
      <c r="AF255" s="77">
        <f>INT(((AE255*Valores!$C$2)*100)+0.5)/100</f>
        <v>0</v>
      </c>
      <c r="AG255" s="77">
        <f>IF(Valores!$D$58*'Escala Docente'!D255&gt;Valores!$F$58,Valores!$F$58,Valores!$D$58*'Escala Docente'!D255)</f>
        <v>287</v>
      </c>
      <c r="AH255" s="77">
        <f>IF(Valores!$D$60*D255&gt;Valores!$F$60,Valores!$F$60,Valores!$D$60*D255)</f>
        <v>82.04</v>
      </c>
      <c r="AI255" s="77">
        <f>SUM(H255,J255,L255,N255,O255,P255,Q255,R255,S255,T255,V255,W255,X255,Z255,AA255,AB255,AC255,AD255,AF255,AG255,AH255)*Valores!$C$63</f>
        <v>0</v>
      </c>
      <c r="AJ255" s="140">
        <f t="shared" si="40"/>
        <v>16789.254999999997</v>
      </c>
      <c r="AK255" s="61">
        <f>IF(Valores!$C$36*D255&gt;Valores!$F$36,Valores!$F$36,Valores!$C$36*D255)</f>
        <v>387.94</v>
      </c>
      <c r="AL255" s="79">
        <f>IF(Valores!$C$11*D255&gt;Valores!$F$11,Valores!$F$11,Valores!$C$11*D255)</f>
        <v>136.78</v>
      </c>
      <c r="AM255" s="89">
        <f>IF(Valores!$C$57*D255&gt;Valores!$F$57,Valores!$F$57,Valores!$C$57*D255)</f>
        <v>120.25999999999999</v>
      </c>
      <c r="AN255" s="79">
        <f>IF($H$4="SI",SUM(AL255+AM255),AL255)*Valores!$C$63</f>
        <v>0</v>
      </c>
      <c r="AO255" s="12">
        <f t="shared" si="44"/>
        <v>644.98</v>
      </c>
      <c r="AP255" s="13">
        <f>AJ255*-Valores!$C$65</f>
        <v>-2182.60315</v>
      </c>
      <c r="AQ255" s="13">
        <f>AJ255*-Valores!$C$66</f>
        <v>-83.94627499999999</v>
      </c>
      <c r="AR255" s="78">
        <f>AJ255*-Valores!$C$67</f>
        <v>-755.5164749999999</v>
      </c>
      <c r="AS255" s="78">
        <f>AJ255*-Valores!$C$68</f>
        <v>-453.309885</v>
      </c>
      <c r="AT255" s="78">
        <f>AJ255*-Valores!$C$69</f>
        <v>-50.36776499999999</v>
      </c>
      <c r="AU255" s="15">
        <f t="shared" si="41"/>
        <v>14412.1691</v>
      </c>
      <c r="AV255" s="15">
        <f t="shared" si="42"/>
        <v>14664.007925</v>
      </c>
      <c r="AW255" s="78">
        <f>AJ255*Valores!$C$70</f>
        <v>2686.2807999999995</v>
      </c>
      <c r="AX255" s="78">
        <f>AJ255*Valores!$C$71</f>
        <v>755.5164749999999</v>
      </c>
      <c r="AY255" s="78">
        <f>AJ255*Valores!$C$73</f>
        <v>167.89254999999997</v>
      </c>
      <c r="AZ255" s="78">
        <f>AJ255*Valores!$C$74</f>
        <v>587.623925</v>
      </c>
      <c r="BA255" s="78">
        <f>AJ255*Valores!$C$75</f>
        <v>100.73552999999998</v>
      </c>
      <c r="BB255" s="78">
        <f t="shared" si="45"/>
        <v>906.61977</v>
      </c>
      <c r="BC255" s="20"/>
      <c r="BD255" s="20">
        <f t="shared" si="46"/>
        <v>56</v>
      </c>
      <c r="BE255" s="9" t="s">
        <v>462</v>
      </c>
    </row>
    <row r="256" spans="1:57" s="9" customFormat="1" ht="11.25" customHeight="1">
      <c r="A256" s="55">
        <v>255</v>
      </c>
      <c r="B256" s="55" t="s">
        <v>458</v>
      </c>
      <c r="C256" s="52" t="s">
        <v>355</v>
      </c>
      <c r="D256" s="52">
        <v>14</v>
      </c>
      <c r="E256" s="52">
        <f t="shared" si="43"/>
        <v>42</v>
      </c>
      <c r="F256" s="53" t="str">
        <f>CONCATENATE("Hora Cátedra Enseñanza Media ",D256," hs Esc Esp")</f>
        <v>Hora Cátedra Enseñanza Media 14 hs Esc Esp</v>
      </c>
      <c r="G256" s="124">
        <f t="shared" si="47"/>
        <v>1106</v>
      </c>
      <c r="H256" s="129">
        <f>INT((G256*Valores!$C$2*100))/100</f>
        <v>6635.23</v>
      </c>
      <c r="I256" s="133">
        <v>0</v>
      </c>
      <c r="J256" s="80">
        <f>INT((I256*Valores!$C$2*100)+0.5)/100</f>
        <v>0</v>
      </c>
      <c r="K256" s="147">
        <v>0</v>
      </c>
      <c r="L256" s="80">
        <f>INT((K256*Valores!$C$2*100)+0.5)/100</f>
        <v>0</v>
      </c>
      <c r="M256" s="121">
        <v>0</v>
      </c>
      <c r="N256" s="80">
        <f>INT((M256*Valores!$C$2*100)+0.5)/100</f>
        <v>0</v>
      </c>
      <c r="O256" s="80">
        <f t="shared" si="37"/>
        <v>0</v>
      </c>
      <c r="P256" s="80">
        <f t="shared" si="38"/>
        <v>3571.785</v>
      </c>
      <c r="Q256" s="85">
        <f>Valores!$C$14*D256</f>
        <v>1925.56</v>
      </c>
      <c r="R256" s="85">
        <f>IF(D256&lt;15,(Valores!$E$4*D256),Valores!$D$4)</f>
        <v>2504.5999999999995</v>
      </c>
      <c r="S256" s="80">
        <v>0</v>
      </c>
      <c r="T256" s="82">
        <f>IF(Valores!$C$45*D256&gt;Valores!$C$43,Valores!$C$43,Valores!$C$45*D256)</f>
        <v>508.34000000000003</v>
      </c>
      <c r="U256" s="85">
        <f>Valores!$C$22*D256</f>
        <v>746.1999999999999</v>
      </c>
      <c r="V256" s="80">
        <f t="shared" si="48"/>
        <v>1119.3</v>
      </c>
      <c r="W256" s="80">
        <v>0</v>
      </c>
      <c r="X256" s="80">
        <v>0</v>
      </c>
      <c r="Y256" s="60">
        <v>0</v>
      </c>
      <c r="Z256" s="80">
        <f>Y256*Valores!$C$2</f>
        <v>0</v>
      </c>
      <c r="AA256" s="80">
        <v>0</v>
      </c>
      <c r="AB256" s="90">
        <f>IF((Valores!$C$32)*D256&gt;Valores!$F$32,Valores!$F$32,(Valores!$C$32)*D256)</f>
        <v>84.83999999999999</v>
      </c>
      <c r="AC256" s="80">
        <f t="shared" si="39"/>
        <v>0</v>
      </c>
      <c r="AD256" s="80">
        <f>IF(Valores!$C$33*D256&gt;Valores!$F$33,Valores!$F$33,Valores!$C$33*D256)</f>
        <v>70.56</v>
      </c>
      <c r="AE256" s="115">
        <v>94</v>
      </c>
      <c r="AF256" s="80">
        <f>INT(((AE256*Valores!$C$2)*100)+0.5)/100</f>
        <v>563.93</v>
      </c>
      <c r="AG256" s="80">
        <f>IF(Valores!$D$58*'Escala Docente'!D256&gt;Valores!$F$58,Valores!$F$58,Valores!$D$58*'Escala Docente'!D256)</f>
        <v>287</v>
      </c>
      <c r="AH256" s="80">
        <f>IF(Valores!$D$60*D256&gt;Valores!$F$60,Valores!$F$60,Valores!$D$60*D256)</f>
        <v>82.04</v>
      </c>
      <c r="AI256" s="80">
        <f>SUM(H256,J256,L256,N256,O256,P256,Q256,R256,S256,T256,V256,W256,X256,Z256,AA256,AB256,AC256,AD256,AF256,AG256,AH256)*Valores!$C$63</f>
        <v>0</v>
      </c>
      <c r="AJ256" s="141">
        <f t="shared" si="40"/>
        <v>17353.184999999998</v>
      </c>
      <c r="AK256" s="85">
        <f>IF(Valores!$C$36*D256&gt;Valores!$F$36,Valores!$F$36,Valores!$C$36*D256)</f>
        <v>387.94</v>
      </c>
      <c r="AL256" s="82">
        <f>IF(Valores!$C$11*D256&gt;Valores!$F$11,Valores!$F$11,Valores!$C$11*D256)</f>
        <v>136.78</v>
      </c>
      <c r="AM256" s="90">
        <f>IF(Valores!$C$57*D256&gt;Valores!$F$57,Valores!$F$57,Valores!$C$57*D256)</f>
        <v>120.25999999999999</v>
      </c>
      <c r="AN256" s="82">
        <f>IF($H$4="SI",SUM(AL256+AM256),AL256)*Valores!$C$63</f>
        <v>0</v>
      </c>
      <c r="AO256" s="185">
        <f t="shared" si="44"/>
        <v>644.98</v>
      </c>
      <c r="AP256" s="154">
        <f>AJ256*-Valores!$C$65</f>
        <v>-2255.91405</v>
      </c>
      <c r="AQ256" s="154">
        <f>AJ256*-Valores!$C$66</f>
        <v>-86.765925</v>
      </c>
      <c r="AR256" s="81">
        <f>AJ256*-Valores!$C$67</f>
        <v>-780.8933249999999</v>
      </c>
      <c r="AS256" s="81">
        <f>AJ256*-Valores!$C$68</f>
        <v>-468.535995</v>
      </c>
      <c r="AT256" s="81">
        <f>AJ256*-Valores!$C$69</f>
        <v>-52.059554999999996</v>
      </c>
      <c r="AU256" s="54">
        <f t="shared" si="41"/>
        <v>14874.591699999997</v>
      </c>
      <c r="AV256" s="54">
        <f t="shared" si="42"/>
        <v>15134.889475</v>
      </c>
      <c r="AW256" s="81">
        <f>AJ256*Valores!$C$70</f>
        <v>2776.5096</v>
      </c>
      <c r="AX256" s="81">
        <f>AJ256*Valores!$C$71</f>
        <v>780.8933249999999</v>
      </c>
      <c r="AY256" s="81">
        <f>AJ256*Valores!$C$73</f>
        <v>173.53185</v>
      </c>
      <c r="AZ256" s="81">
        <f>AJ256*Valores!$C$74</f>
        <v>607.3614749999999</v>
      </c>
      <c r="BA256" s="81">
        <f>AJ256*Valores!$C$75</f>
        <v>104.11910999999999</v>
      </c>
      <c r="BB256" s="81">
        <f t="shared" si="45"/>
        <v>937.0719899999999</v>
      </c>
      <c r="BC256" s="55"/>
      <c r="BD256" s="55">
        <f t="shared" si="46"/>
        <v>56</v>
      </c>
      <c r="BE256" s="52" t="s">
        <v>462</v>
      </c>
    </row>
    <row r="257" spans="1:57" s="9" customFormat="1" ht="11.25" customHeight="1">
      <c r="A257" s="20">
        <v>256</v>
      </c>
      <c r="B257" s="20"/>
      <c r="C257" s="9" t="s">
        <v>355</v>
      </c>
      <c r="D257" s="9">
        <v>15</v>
      </c>
      <c r="E257" s="9">
        <f t="shared" si="43"/>
        <v>34</v>
      </c>
      <c r="F257" s="10" t="str">
        <f>CONCATENATE("Hora Cátedra Enseñanza Media ",D257," hs")</f>
        <v>Hora Cátedra Enseñanza Media 15 hs</v>
      </c>
      <c r="G257" s="123">
        <f t="shared" si="47"/>
        <v>1185</v>
      </c>
      <c r="H257" s="7">
        <f>INT((G257*Valores!$C$2*100))/100</f>
        <v>7109.17</v>
      </c>
      <c r="I257" s="134">
        <v>0</v>
      </c>
      <c r="J257" s="77">
        <f>INT((I257*Valores!$C$2*100)+0.5)/100</f>
        <v>0</v>
      </c>
      <c r="K257" s="146">
        <v>0</v>
      </c>
      <c r="L257" s="77">
        <f>INT((K257*Valores!$C$2*100)+0.5)/100</f>
        <v>0</v>
      </c>
      <c r="M257" s="120">
        <v>0</v>
      </c>
      <c r="N257" s="77">
        <f>INT((M257*Valores!$C$2*100)+0.5)/100</f>
        <v>0</v>
      </c>
      <c r="O257" s="77">
        <f t="shared" si="37"/>
        <v>0</v>
      </c>
      <c r="P257" s="77">
        <f t="shared" si="38"/>
        <v>3826.91</v>
      </c>
      <c r="Q257" s="61">
        <f>Valores!$C$14*D257</f>
        <v>2063.1</v>
      </c>
      <c r="R257" s="61">
        <f>IF(D257&lt;15,(Valores!$E$4*D257),Valores!$D$4)</f>
        <v>2683.49</v>
      </c>
      <c r="S257" s="77">
        <v>0</v>
      </c>
      <c r="T257" s="79">
        <f>IF(Valores!$C$45*D257&gt;Valores!$C$43,Valores!$C$43,Valores!$C$45*D257)</f>
        <v>544.6500000000001</v>
      </c>
      <c r="U257" s="61">
        <f>Valores!$C$22*D257</f>
        <v>799.5</v>
      </c>
      <c r="V257" s="77">
        <f t="shared" si="48"/>
        <v>1199.25</v>
      </c>
      <c r="W257" s="77">
        <v>0</v>
      </c>
      <c r="X257" s="77">
        <v>0</v>
      </c>
      <c r="Y257" s="37">
        <v>0</v>
      </c>
      <c r="Z257" s="77">
        <f>Y257*Valores!$C$2</f>
        <v>0</v>
      </c>
      <c r="AA257" s="77">
        <v>0</v>
      </c>
      <c r="AB257" s="89">
        <f>IF((Valores!$C$32)*D257&gt;Valores!$F$32,Valores!$F$32,(Valores!$C$32)*D257)</f>
        <v>90.89999999999999</v>
      </c>
      <c r="AC257" s="77">
        <f t="shared" si="39"/>
        <v>0</v>
      </c>
      <c r="AD257" s="77">
        <f>IF(Valores!$C$33*D257&gt;Valores!$F$33,Valores!$F$33,Valores!$C$33*D257)</f>
        <v>75.6</v>
      </c>
      <c r="AE257" s="116">
        <v>0</v>
      </c>
      <c r="AF257" s="77">
        <f>INT(((AE257*Valores!$C$2)*100)+0.5)/100</f>
        <v>0</v>
      </c>
      <c r="AG257" s="77">
        <f>IF(Valores!$D$58*'Escala Docente'!D257&gt;Valores!$F$58,Valores!$F$58,Valores!$D$58*'Escala Docente'!D257)</f>
        <v>307.5</v>
      </c>
      <c r="AH257" s="77">
        <f>IF(Valores!$D$60*D257&gt;Valores!$F$60,Valores!$F$60,Valores!$D$60*D257)</f>
        <v>87.9</v>
      </c>
      <c r="AI257" s="77">
        <f>SUM(H257,J257,L257,N257,O257,P257,Q257,R257,S257,T257,V257,W257,X257,Z257,AA257,AB257,AC257,AD257,AF257,AG257,AH257)*Valores!$C$63</f>
        <v>0</v>
      </c>
      <c r="AJ257" s="140">
        <f t="shared" si="40"/>
        <v>17988.47</v>
      </c>
      <c r="AK257" s="61">
        <f>IF(Valores!$C$36*D257&gt;Valores!$F$36,Valores!$F$36,Valores!$C$36*D257)</f>
        <v>415.65000000000003</v>
      </c>
      <c r="AL257" s="79">
        <f>IF(Valores!$C$11*D257&gt;Valores!$F$11,Valores!$F$11,Valores!$C$11*D257)</f>
        <v>146.54999999999998</v>
      </c>
      <c r="AM257" s="89">
        <f>IF(Valores!$C$57*D257&gt;Valores!$F$57,Valores!$F$57,Valores!$C$57*D257)</f>
        <v>128.85</v>
      </c>
      <c r="AN257" s="79">
        <f>IF($H$4="SI",SUM(AL257+AM257),AL257)*Valores!$C$63</f>
        <v>0</v>
      </c>
      <c r="AO257" s="12">
        <f t="shared" si="44"/>
        <v>691.0500000000001</v>
      </c>
      <c r="AP257" s="13">
        <f>AJ257*-Valores!$C$65</f>
        <v>-2338.5011000000004</v>
      </c>
      <c r="AQ257" s="13">
        <f>AJ257*-Valores!$C$66</f>
        <v>-89.94235</v>
      </c>
      <c r="AR257" s="78">
        <f>AJ257*-Valores!$C$67</f>
        <v>-809.4811500000001</v>
      </c>
      <c r="AS257" s="78">
        <f>AJ257*-Valores!$C$68</f>
        <v>-485.68869000000007</v>
      </c>
      <c r="AT257" s="78">
        <f>AJ257*-Valores!$C$69</f>
        <v>-53.965410000000006</v>
      </c>
      <c r="AU257" s="15">
        <f t="shared" si="41"/>
        <v>15441.595399999998</v>
      </c>
      <c r="AV257" s="15">
        <f t="shared" si="42"/>
        <v>15711.422449999998</v>
      </c>
      <c r="AW257" s="78">
        <f>AJ257*Valores!$C$70</f>
        <v>2878.1552</v>
      </c>
      <c r="AX257" s="78">
        <f>AJ257*Valores!$C$71</f>
        <v>809.4811500000001</v>
      </c>
      <c r="AY257" s="78">
        <f>AJ257*Valores!$C$73</f>
        <v>179.8847</v>
      </c>
      <c r="AZ257" s="78">
        <f>AJ257*Valores!$C$74</f>
        <v>629.5964500000001</v>
      </c>
      <c r="BA257" s="78">
        <f>AJ257*Valores!$C$75</f>
        <v>107.93082000000001</v>
      </c>
      <c r="BB257" s="78">
        <f t="shared" si="45"/>
        <v>971.3773800000001</v>
      </c>
      <c r="BC257" s="20"/>
      <c r="BD257" s="20">
        <f aca="true" t="shared" si="49" ref="BD257:BD288">4*D257</f>
        <v>60</v>
      </c>
      <c r="BE257" s="9" t="s">
        <v>462</v>
      </c>
    </row>
    <row r="258" spans="1:57" s="9" customFormat="1" ht="11.25" customHeight="1">
      <c r="A258" s="20">
        <v>257</v>
      </c>
      <c r="B258" s="20"/>
      <c r="C258" s="9" t="s">
        <v>355</v>
      </c>
      <c r="D258" s="9">
        <v>15</v>
      </c>
      <c r="E258" s="9">
        <f t="shared" si="43"/>
        <v>42</v>
      </c>
      <c r="F258" s="10" t="str">
        <f>CONCATENATE("Hora Cátedra Enseñanza Media ",D258," hs Esc Esp")</f>
        <v>Hora Cátedra Enseñanza Media 15 hs Esc Esp</v>
      </c>
      <c r="G258" s="123">
        <f t="shared" si="47"/>
        <v>1185</v>
      </c>
      <c r="H258" s="7">
        <f>INT((G258*Valores!$C$2*100))/100</f>
        <v>7109.17</v>
      </c>
      <c r="I258" s="134">
        <v>0</v>
      </c>
      <c r="J258" s="77">
        <f>INT((I258*Valores!$C$2*100)+0.5)/100</f>
        <v>0</v>
      </c>
      <c r="K258" s="146">
        <v>0</v>
      </c>
      <c r="L258" s="77">
        <f>INT((K258*Valores!$C$2*100)+0.5)/100</f>
        <v>0</v>
      </c>
      <c r="M258" s="120">
        <v>0</v>
      </c>
      <c r="N258" s="77">
        <f>INT((M258*Valores!$C$2*100)+0.5)/100</f>
        <v>0</v>
      </c>
      <c r="O258" s="77">
        <f t="shared" si="37"/>
        <v>0</v>
      </c>
      <c r="P258" s="77">
        <f t="shared" si="38"/>
        <v>3826.91</v>
      </c>
      <c r="Q258" s="61">
        <f>Valores!$C$14*D258</f>
        <v>2063.1</v>
      </c>
      <c r="R258" s="61">
        <f>IF(D258&lt;15,(Valores!$E$4*D258),Valores!$D$4)</f>
        <v>2683.49</v>
      </c>
      <c r="S258" s="77">
        <v>0</v>
      </c>
      <c r="T258" s="79">
        <f>IF(Valores!$C$45*D258&gt;Valores!$C$43,Valores!$C$43,Valores!$C$45*D258)</f>
        <v>544.6500000000001</v>
      </c>
      <c r="U258" s="61">
        <f>Valores!$C$22*D258</f>
        <v>799.5</v>
      </c>
      <c r="V258" s="77">
        <f t="shared" si="48"/>
        <v>1199.25</v>
      </c>
      <c r="W258" s="77">
        <v>0</v>
      </c>
      <c r="X258" s="77">
        <v>0</v>
      </c>
      <c r="Y258" s="37">
        <v>0</v>
      </c>
      <c r="Z258" s="77">
        <f>Y258*Valores!$C$2</f>
        <v>0</v>
      </c>
      <c r="AA258" s="77">
        <v>0</v>
      </c>
      <c r="AB258" s="89">
        <f>IF((Valores!$C$32)*D258&gt;Valores!$F$32,Valores!$F$32,(Valores!$C$32)*D258)</f>
        <v>90.89999999999999</v>
      </c>
      <c r="AC258" s="77">
        <f t="shared" si="39"/>
        <v>0</v>
      </c>
      <c r="AD258" s="77">
        <f>IF(Valores!$C$33*D258&gt;Valores!$F$33,Valores!$F$33,Valores!$C$33*D258)</f>
        <v>75.6</v>
      </c>
      <c r="AE258" s="116">
        <v>94</v>
      </c>
      <c r="AF258" s="77">
        <f>INT(((AE258*Valores!$C$2)*100)+0.5)/100</f>
        <v>563.93</v>
      </c>
      <c r="AG258" s="77">
        <f>IF(Valores!$D$58*'Escala Docente'!D258&gt;Valores!$F$58,Valores!$F$58,Valores!$D$58*'Escala Docente'!D258)</f>
        <v>307.5</v>
      </c>
      <c r="AH258" s="77">
        <f>IF(Valores!$D$60*D258&gt;Valores!$F$60,Valores!$F$60,Valores!$D$60*D258)</f>
        <v>87.9</v>
      </c>
      <c r="AI258" s="77">
        <f>SUM(H258,J258,L258,N258,O258,P258,Q258,R258,S258,T258,V258,W258,X258,Z258,AA258,AB258,AC258,AD258,AF258,AG258,AH258)*Valores!$C$63</f>
        <v>0</v>
      </c>
      <c r="AJ258" s="140">
        <f t="shared" si="40"/>
        <v>18552.4</v>
      </c>
      <c r="AK258" s="61">
        <f>IF(Valores!$C$36*D258&gt;Valores!$F$36,Valores!$F$36,Valores!$C$36*D258)</f>
        <v>415.65000000000003</v>
      </c>
      <c r="AL258" s="79">
        <f>IF(Valores!$C$11*D258&gt;Valores!$F$11,Valores!$F$11,Valores!$C$11*D258)</f>
        <v>146.54999999999998</v>
      </c>
      <c r="AM258" s="89">
        <f>IF(Valores!$C$57*D258&gt;Valores!$F$57,Valores!$F$57,Valores!$C$57*D258)</f>
        <v>128.85</v>
      </c>
      <c r="AN258" s="79">
        <f>IF($H$4="SI",SUM(AL258+AM258),AL258)*Valores!$C$63</f>
        <v>0</v>
      </c>
      <c r="AO258" s="12">
        <f t="shared" si="44"/>
        <v>691.0500000000001</v>
      </c>
      <c r="AP258" s="13">
        <f>AJ258*-Valores!$C$65</f>
        <v>-2411.8120000000004</v>
      </c>
      <c r="AQ258" s="13">
        <f>AJ258*-Valores!$C$66</f>
        <v>-92.76200000000001</v>
      </c>
      <c r="AR258" s="78">
        <f>AJ258*-Valores!$C$67</f>
        <v>-834.8580000000001</v>
      </c>
      <c r="AS258" s="78">
        <f>AJ258*-Valores!$C$68</f>
        <v>-500.91480000000007</v>
      </c>
      <c r="AT258" s="78">
        <f>AJ258*-Valores!$C$69</f>
        <v>-55.6572</v>
      </c>
      <c r="AU258" s="15">
        <f t="shared" si="41"/>
        <v>15904.018000000002</v>
      </c>
      <c r="AV258" s="15">
        <f t="shared" si="42"/>
        <v>16182.304000000004</v>
      </c>
      <c r="AW258" s="78">
        <f>AJ258*Valores!$C$70</f>
        <v>2968.3840000000005</v>
      </c>
      <c r="AX258" s="78">
        <f>AJ258*Valores!$C$71</f>
        <v>834.8580000000001</v>
      </c>
      <c r="AY258" s="78">
        <f>AJ258*Valores!$C$73</f>
        <v>185.52400000000003</v>
      </c>
      <c r="AZ258" s="78">
        <f>AJ258*Valores!$C$74</f>
        <v>649.3340000000001</v>
      </c>
      <c r="BA258" s="78">
        <f>AJ258*Valores!$C$75</f>
        <v>111.3144</v>
      </c>
      <c r="BB258" s="78">
        <f t="shared" si="45"/>
        <v>1001.8296000000003</v>
      </c>
      <c r="BC258" s="20"/>
      <c r="BD258" s="20">
        <f t="shared" si="49"/>
        <v>60</v>
      </c>
      <c r="BE258" s="9" t="s">
        <v>462</v>
      </c>
    </row>
    <row r="259" spans="1:57" s="9" customFormat="1" ht="11.25" customHeight="1">
      <c r="A259" s="20">
        <v>258</v>
      </c>
      <c r="B259" s="20"/>
      <c r="C259" s="9" t="s">
        <v>355</v>
      </c>
      <c r="D259" s="9">
        <v>16</v>
      </c>
      <c r="E259" s="9">
        <f t="shared" si="43"/>
        <v>34</v>
      </c>
      <c r="F259" s="10" t="str">
        <f>CONCATENATE("Hora Cátedra Enseñanza Media ",D259," hs")</f>
        <v>Hora Cátedra Enseñanza Media 16 hs</v>
      </c>
      <c r="G259" s="123">
        <f t="shared" si="47"/>
        <v>1264</v>
      </c>
      <c r="H259" s="7">
        <f>INT((G259*Valores!$C$2*100))/100</f>
        <v>7583.12</v>
      </c>
      <c r="I259" s="134">
        <v>0</v>
      </c>
      <c r="J259" s="77">
        <f>INT((I259*Valores!$C$2*100)+0.5)/100</f>
        <v>0</v>
      </c>
      <c r="K259" s="146">
        <v>0</v>
      </c>
      <c r="L259" s="77">
        <f>INT((K259*Valores!$C$2*100)+0.5)/100</f>
        <v>0</v>
      </c>
      <c r="M259" s="120">
        <v>0</v>
      </c>
      <c r="N259" s="77">
        <f>INT((M259*Valores!$C$2*100)+0.5)/100</f>
        <v>0</v>
      </c>
      <c r="O259" s="77">
        <f t="shared" si="37"/>
        <v>0</v>
      </c>
      <c r="P259" s="77">
        <f t="shared" si="38"/>
        <v>4082.04</v>
      </c>
      <c r="Q259" s="61">
        <f>Valores!$C$14*D259</f>
        <v>2200.64</v>
      </c>
      <c r="R259" s="61">
        <f>IF(D259&lt;15,(Valores!$E$4*D259),Valores!$D$4)</f>
        <v>2683.49</v>
      </c>
      <c r="S259" s="77">
        <v>0</v>
      </c>
      <c r="T259" s="79">
        <f>IF(Valores!$C$45*D259&gt;Valores!$C$43,Valores!$C$43,Valores!$C$45*D259)</f>
        <v>580.96</v>
      </c>
      <c r="U259" s="61">
        <f>Valores!$C$22*D259</f>
        <v>852.8</v>
      </c>
      <c r="V259" s="77">
        <f t="shared" si="48"/>
        <v>1279.1999999999998</v>
      </c>
      <c r="W259" s="77">
        <v>0</v>
      </c>
      <c r="X259" s="77">
        <v>0</v>
      </c>
      <c r="Y259" s="37">
        <v>0</v>
      </c>
      <c r="Z259" s="77">
        <f>Y259*Valores!$C$2</f>
        <v>0</v>
      </c>
      <c r="AA259" s="77">
        <v>0</v>
      </c>
      <c r="AB259" s="89">
        <f>IF((Valores!$C$32)*D259&gt;Valores!$F$32,Valores!$F$32,(Valores!$C$32)*D259)</f>
        <v>96.96</v>
      </c>
      <c r="AC259" s="77">
        <f t="shared" si="39"/>
        <v>0</v>
      </c>
      <c r="AD259" s="77">
        <f>IF(Valores!$C$33*D259&gt;Valores!$F$33,Valores!$F$33,Valores!$C$33*D259)</f>
        <v>80.64</v>
      </c>
      <c r="AE259" s="116">
        <v>0</v>
      </c>
      <c r="AF259" s="77">
        <f>INT(((AE259*Valores!$C$2)*100)+0.5)/100</f>
        <v>0</v>
      </c>
      <c r="AG259" s="77">
        <f>IF(Valores!$D$58*'Escala Docente'!D259&gt;Valores!$F$58,Valores!$F$58,Valores!$D$58*'Escala Docente'!D259)</f>
        <v>328</v>
      </c>
      <c r="AH259" s="77">
        <f>IF(Valores!$D$60*D259&gt;Valores!$F$60,Valores!$F$60,Valores!$D$60*D259)</f>
        <v>93.76</v>
      </c>
      <c r="AI259" s="77">
        <f>SUM(H259,J259,L259,N259,O259,P259,Q259,R259,S259,T259,V259,W259,X259,Z259,AA259,AB259,AC259,AD259,AF259,AG259,AH259)*Valores!$C$63</f>
        <v>0</v>
      </c>
      <c r="AJ259" s="140">
        <f t="shared" si="40"/>
        <v>19008.809999999998</v>
      </c>
      <c r="AK259" s="61">
        <f>IF(Valores!$C$36*D259&gt;Valores!$F$36,Valores!$F$36,Valores!$C$36*D259)</f>
        <v>443.36</v>
      </c>
      <c r="AL259" s="79">
        <f>IF(Valores!$C$11*D259&gt;Valores!$F$11,Valores!$F$11,Valores!$C$11*D259)</f>
        <v>156.32</v>
      </c>
      <c r="AM259" s="89">
        <f>IF(Valores!$C$57*D259&gt;Valores!$F$57,Valores!$F$57,Valores!$C$57*D259)</f>
        <v>137.44</v>
      </c>
      <c r="AN259" s="79">
        <f>IF($H$4="SI",SUM(AL259+AM259),AL259)*Valores!$C$63</f>
        <v>0</v>
      </c>
      <c r="AO259" s="12">
        <f t="shared" si="44"/>
        <v>737.1200000000001</v>
      </c>
      <c r="AP259" s="13">
        <f>AJ259*-Valores!$C$65</f>
        <v>-2471.1452999999997</v>
      </c>
      <c r="AQ259" s="13">
        <f>AJ259*-Valores!$C$66</f>
        <v>-95.04404999999998</v>
      </c>
      <c r="AR259" s="78">
        <f>AJ259*-Valores!$C$67</f>
        <v>-855.3964499999998</v>
      </c>
      <c r="AS259" s="78">
        <f>AJ259*-Valores!$C$68</f>
        <v>-513.23787</v>
      </c>
      <c r="AT259" s="78">
        <f>AJ259*-Valores!$C$69</f>
        <v>-57.02643</v>
      </c>
      <c r="AU259" s="15">
        <f t="shared" si="41"/>
        <v>16324.344199999996</v>
      </c>
      <c r="AV259" s="15">
        <f t="shared" si="42"/>
        <v>16609.476349999994</v>
      </c>
      <c r="AW259" s="78">
        <f>AJ259*Valores!$C$70</f>
        <v>3041.4095999999995</v>
      </c>
      <c r="AX259" s="78">
        <f>AJ259*Valores!$C$71</f>
        <v>855.3964499999998</v>
      </c>
      <c r="AY259" s="78">
        <f>AJ259*Valores!$C$73</f>
        <v>190.08809999999997</v>
      </c>
      <c r="AZ259" s="78">
        <f>AJ259*Valores!$C$74</f>
        <v>665.30835</v>
      </c>
      <c r="BA259" s="78">
        <f>AJ259*Valores!$C$75</f>
        <v>114.05286</v>
      </c>
      <c r="BB259" s="78">
        <f t="shared" si="45"/>
        <v>1026.4757399999999</v>
      </c>
      <c r="BC259" s="20"/>
      <c r="BD259" s="55">
        <f t="shared" si="49"/>
        <v>64</v>
      </c>
      <c r="BE259" s="9" t="s">
        <v>462</v>
      </c>
    </row>
    <row r="260" spans="1:57" s="9" customFormat="1" ht="11.25" customHeight="1">
      <c r="A260" s="20">
        <v>259</v>
      </c>
      <c r="B260" s="20"/>
      <c r="C260" s="9" t="s">
        <v>355</v>
      </c>
      <c r="D260" s="9">
        <v>16</v>
      </c>
      <c r="E260" s="9">
        <f t="shared" si="43"/>
        <v>42</v>
      </c>
      <c r="F260" s="10" t="str">
        <f>CONCATENATE("Hora Cátedra Enseñanza Media ",D260," hs Esc Esp")</f>
        <v>Hora Cátedra Enseñanza Media 16 hs Esc Esp</v>
      </c>
      <c r="G260" s="123">
        <f t="shared" si="47"/>
        <v>1264</v>
      </c>
      <c r="H260" s="7">
        <f>INT((G260*Valores!$C$2*100))/100</f>
        <v>7583.12</v>
      </c>
      <c r="I260" s="134">
        <v>0</v>
      </c>
      <c r="J260" s="77">
        <f>INT((I260*Valores!$C$2*100)+0.5)/100</f>
        <v>0</v>
      </c>
      <c r="K260" s="146">
        <v>0</v>
      </c>
      <c r="L260" s="77">
        <f>INT((K260*Valores!$C$2*100)+0.5)/100</f>
        <v>0</v>
      </c>
      <c r="M260" s="120">
        <v>0</v>
      </c>
      <c r="N260" s="77">
        <f>INT((M260*Valores!$C$2*100)+0.5)/100</f>
        <v>0</v>
      </c>
      <c r="O260" s="77">
        <f t="shared" si="37"/>
        <v>0</v>
      </c>
      <c r="P260" s="77">
        <f t="shared" si="38"/>
        <v>4082.04</v>
      </c>
      <c r="Q260" s="61">
        <f>Valores!$C$14*D260</f>
        <v>2200.64</v>
      </c>
      <c r="R260" s="61">
        <f>IF(D260&lt;15,(Valores!$E$4*D260),Valores!$D$4)</f>
        <v>2683.49</v>
      </c>
      <c r="S260" s="77">
        <v>0</v>
      </c>
      <c r="T260" s="79">
        <f>IF(Valores!$C$45*D260&gt;Valores!$C$43,Valores!$C$43,Valores!$C$45*D260)</f>
        <v>580.96</v>
      </c>
      <c r="U260" s="61">
        <f>Valores!$C$22*D260</f>
        <v>852.8</v>
      </c>
      <c r="V260" s="77">
        <f t="shared" si="48"/>
        <v>1279.1999999999998</v>
      </c>
      <c r="W260" s="77">
        <v>0</v>
      </c>
      <c r="X260" s="77">
        <v>0</v>
      </c>
      <c r="Y260" s="37">
        <v>0</v>
      </c>
      <c r="Z260" s="77">
        <f>Y260*Valores!$C$2</f>
        <v>0</v>
      </c>
      <c r="AA260" s="77">
        <v>0</v>
      </c>
      <c r="AB260" s="89">
        <f>IF((Valores!$C$32)*D260&gt;Valores!$F$32,Valores!$F$32,(Valores!$C$32)*D260)</f>
        <v>96.96</v>
      </c>
      <c r="AC260" s="77">
        <f t="shared" si="39"/>
        <v>0</v>
      </c>
      <c r="AD260" s="77">
        <f>IF(Valores!$C$33*D260&gt;Valores!$F$33,Valores!$F$33,Valores!$C$33*D260)</f>
        <v>80.64</v>
      </c>
      <c r="AE260" s="116">
        <v>94</v>
      </c>
      <c r="AF260" s="77">
        <f>INT(((AE260*Valores!$C$2)*100)+0.5)/100</f>
        <v>563.93</v>
      </c>
      <c r="AG260" s="77">
        <f>IF(Valores!$D$58*'Escala Docente'!D260&gt;Valores!$F$58,Valores!$F$58,Valores!$D$58*'Escala Docente'!D260)</f>
        <v>328</v>
      </c>
      <c r="AH260" s="77">
        <f>IF(Valores!$D$60*D260&gt;Valores!$F$60,Valores!$F$60,Valores!$D$60*D260)</f>
        <v>93.76</v>
      </c>
      <c r="AI260" s="77">
        <f>SUM(H260,J260,L260,N260,O260,P260,Q260,R260,S260,T260,V260,W260,X260,Z260,AA260,AB260,AC260,AD260,AF260,AG260,AH260)*Valores!$C$63</f>
        <v>0</v>
      </c>
      <c r="AJ260" s="140">
        <f t="shared" si="40"/>
        <v>19572.739999999998</v>
      </c>
      <c r="AK260" s="61">
        <f>IF(Valores!$C$36*D260&gt;Valores!$F$36,Valores!$F$36,Valores!$C$36*D260)</f>
        <v>443.36</v>
      </c>
      <c r="AL260" s="79">
        <f>IF(Valores!$C$11*D260&gt;Valores!$F$11,Valores!$F$11,Valores!$C$11*D260)</f>
        <v>156.32</v>
      </c>
      <c r="AM260" s="89">
        <f>IF(Valores!$C$57*D260&gt;Valores!$F$57,Valores!$F$57,Valores!$C$57*D260)</f>
        <v>137.44</v>
      </c>
      <c r="AN260" s="79">
        <f>IF($H$4="SI",SUM(AL260+AM260),AL260)*Valores!$C$63</f>
        <v>0</v>
      </c>
      <c r="AO260" s="12">
        <f t="shared" si="44"/>
        <v>737.1200000000001</v>
      </c>
      <c r="AP260" s="13">
        <f>AJ260*-Valores!$C$65</f>
        <v>-2544.4561999999996</v>
      </c>
      <c r="AQ260" s="13">
        <f>AJ260*-Valores!$C$66</f>
        <v>-97.8637</v>
      </c>
      <c r="AR260" s="78">
        <f>AJ260*-Valores!$C$67</f>
        <v>-880.7732999999998</v>
      </c>
      <c r="AS260" s="78">
        <f>AJ260*-Valores!$C$68</f>
        <v>-528.46398</v>
      </c>
      <c r="AT260" s="78">
        <f>AJ260*-Valores!$C$69</f>
        <v>-58.718219999999995</v>
      </c>
      <c r="AU260" s="15">
        <f t="shared" si="41"/>
        <v>16786.766799999994</v>
      </c>
      <c r="AV260" s="15">
        <f t="shared" si="42"/>
        <v>17080.357899999995</v>
      </c>
      <c r="AW260" s="78">
        <f>AJ260*Valores!$C$70</f>
        <v>3131.6384</v>
      </c>
      <c r="AX260" s="78">
        <f>AJ260*Valores!$C$71</f>
        <v>880.7732999999998</v>
      </c>
      <c r="AY260" s="78">
        <f>AJ260*Valores!$C$73</f>
        <v>195.7274</v>
      </c>
      <c r="AZ260" s="78">
        <f>AJ260*Valores!$C$74</f>
        <v>685.0459</v>
      </c>
      <c r="BA260" s="78">
        <f>AJ260*Valores!$C$75</f>
        <v>117.43643999999999</v>
      </c>
      <c r="BB260" s="78">
        <f t="shared" si="45"/>
        <v>1056.92796</v>
      </c>
      <c r="BC260" s="20"/>
      <c r="BD260" s="20">
        <f t="shared" si="49"/>
        <v>64</v>
      </c>
      <c r="BE260" s="9" t="s">
        <v>462</v>
      </c>
    </row>
    <row r="261" spans="1:57" s="9" customFormat="1" ht="11.25" customHeight="1">
      <c r="A261" s="55">
        <v>260</v>
      </c>
      <c r="B261" s="55" t="s">
        <v>458</v>
      </c>
      <c r="C261" s="52" t="s">
        <v>355</v>
      </c>
      <c r="D261" s="52">
        <v>17</v>
      </c>
      <c r="E261" s="52">
        <f t="shared" si="43"/>
        <v>34</v>
      </c>
      <c r="F261" s="53" t="str">
        <f>CONCATENATE("Hora Cátedra Enseñanza Media ",D261," hs")</f>
        <v>Hora Cátedra Enseñanza Media 17 hs</v>
      </c>
      <c r="G261" s="124">
        <f aca="true" t="shared" si="50" ref="G261:G292">79*D261</f>
        <v>1343</v>
      </c>
      <c r="H261" s="129">
        <f>INT((G261*Valores!$C$2*100))/100</f>
        <v>8057.06</v>
      </c>
      <c r="I261" s="133">
        <v>0</v>
      </c>
      <c r="J261" s="80">
        <f>INT((I261*Valores!$C$2*100)+0.5)/100</f>
        <v>0</v>
      </c>
      <c r="K261" s="147">
        <v>0</v>
      </c>
      <c r="L261" s="80">
        <f>INT((K261*Valores!$C$2*100)+0.5)/100</f>
        <v>0</v>
      </c>
      <c r="M261" s="121">
        <v>0</v>
      </c>
      <c r="N261" s="80">
        <f>INT((M261*Valores!$C$2*100)+0.5)/100</f>
        <v>0</v>
      </c>
      <c r="O261" s="80">
        <f t="shared" si="37"/>
        <v>0</v>
      </c>
      <c r="P261" s="80">
        <f t="shared" si="38"/>
        <v>4337.165</v>
      </c>
      <c r="Q261" s="85">
        <f>Valores!$C$14*D261</f>
        <v>2338.18</v>
      </c>
      <c r="R261" s="85">
        <f>IF(D261&lt;15,(Valores!$E$4*D261),Valores!$D$4)</f>
        <v>2683.49</v>
      </c>
      <c r="S261" s="80">
        <v>0</v>
      </c>
      <c r="T261" s="82">
        <f>IF(Valores!$C$45*D261&gt;Valores!$C$43,Valores!$C$43,Valores!$C$45*D261)</f>
        <v>617.27</v>
      </c>
      <c r="U261" s="85">
        <f>Valores!$C$22*D261</f>
        <v>906.0999999999999</v>
      </c>
      <c r="V261" s="80">
        <f t="shared" si="48"/>
        <v>1359.1499999999999</v>
      </c>
      <c r="W261" s="80">
        <v>0</v>
      </c>
      <c r="X261" s="80">
        <v>0</v>
      </c>
      <c r="Y261" s="60">
        <v>0</v>
      </c>
      <c r="Z261" s="80">
        <f>Y261*Valores!$C$2</f>
        <v>0</v>
      </c>
      <c r="AA261" s="80">
        <v>0</v>
      </c>
      <c r="AB261" s="90">
        <f>IF((Valores!$C$32)*D261&gt;Valores!$F$32,Valores!$F$32,(Valores!$C$32)*D261)</f>
        <v>103.02</v>
      </c>
      <c r="AC261" s="80">
        <f t="shared" si="39"/>
        <v>0</v>
      </c>
      <c r="AD261" s="80">
        <f>IF(Valores!$C$33*D261&gt;Valores!$F$33,Valores!$F$33,Valores!$C$33*D261)</f>
        <v>85.68</v>
      </c>
      <c r="AE261" s="115">
        <v>0</v>
      </c>
      <c r="AF261" s="80">
        <f>INT(((AE261*Valores!$C$2)*100)+0.5)/100</f>
        <v>0</v>
      </c>
      <c r="AG261" s="80">
        <f>IF(Valores!$D$58*'Escala Docente'!D261&gt;Valores!$F$58,Valores!$F$58,Valores!$D$58*'Escala Docente'!D261)</f>
        <v>348.5</v>
      </c>
      <c r="AH261" s="80">
        <f>IF(Valores!$D$60*D261&gt;Valores!$F$60,Valores!$F$60,Valores!$D$60*D261)</f>
        <v>99.62</v>
      </c>
      <c r="AI261" s="80">
        <f>SUM(H261,J261,L261,N261,O261,P261,Q261,R261,S261,T261,V261,W261,X261,Z261,AA261,AB261,AC261,AD261,AF261,AG261,AH261)*Valores!$C$63</f>
        <v>0</v>
      </c>
      <c r="AJ261" s="141">
        <f t="shared" si="40"/>
        <v>20029.135000000002</v>
      </c>
      <c r="AK261" s="85">
        <f>IF(Valores!$C$36*D261&gt;Valores!$F$36,Valores!$F$36,Valores!$C$36*D261)</f>
        <v>471.07</v>
      </c>
      <c r="AL261" s="82">
        <f>IF(Valores!$C$11*D261&gt;Valores!$F$11,Valores!$F$11,Valores!$C$11*D261)</f>
        <v>166.09</v>
      </c>
      <c r="AM261" s="90">
        <f>IF(Valores!$C$57*D261&gt;Valores!$F$57,Valores!$F$57,Valores!$C$57*D261)</f>
        <v>146.03</v>
      </c>
      <c r="AN261" s="82">
        <f>IF($H$4="SI",SUM(AL261+AM261),AL261)*Valores!$C$63</f>
        <v>0</v>
      </c>
      <c r="AO261" s="185">
        <f t="shared" si="44"/>
        <v>783.1899999999999</v>
      </c>
      <c r="AP261" s="154">
        <f>AJ261*-Valores!$C$65</f>
        <v>-2603.7875500000005</v>
      </c>
      <c r="AQ261" s="154">
        <f>AJ261*-Valores!$C$66</f>
        <v>-100.14567500000001</v>
      </c>
      <c r="AR261" s="81">
        <f>AJ261*-Valores!$C$67</f>
        <v>-901.3110750000001</v>
      </c>
      <c r="AS261" s="81">
        <f>AJ261*-Valores!$C$68</f>
        <v>-540.7866450000001</v>
      </c>
      <c r="AT261" s="81">
        <f>AJ261*-Valores!$C$69</f>
        <v>-60.087405000000004</v>
      </c>
      <c r="AU261" s="54">
        <f t="shared" si="41"/>
        <v>17207.0807</v>
      </c>
      <c r="AV261" s="54">
        <f t="shared" si="42"/>
        <v>17507.517725</v>
      </c>
      <c r="AW261" s="81">
        <f>AJ261*Valores!$C$70</f>
        <v>3204.6616000000004</v>
      </c>
      <c r="AX261" s="81">
        <f>AJ261*Valores!$C$71</f>
        <v>901.3110750000001</v>
      </c>
      <c r="AY261" s="81">
        <f>AJ261*Valores!$C$73</f>
        <v>200.29135000000002</v>
      </c>
      <c r="AZ261" s="81">
        <f>AJ261*Valores!$C$74</f>
        <v>701.0197250000001</v>
      </c>
      <c r="BA261" s="81">
        <f>AJ261*Valores!$C$75</f>
        <v>120.17481000000001</v>
      </c>
      <c r="BB261" s="81">
        <f t="shared" si="45"/>
        <v>1081.57329</v>
      </c>
      <c r="BC261" s="55"/>
      <c r="BD261" s="55">
        <f t="shared" si="49"/>
        <v>68</v>
      </c>
      <c r="BE261" s="52" t="s">
        <v>462</v>
      </c>
    </row>
    <row r="262" spans="1:57" s="9" customFormat="1" ht="11.25" customHeight="1">
      <c r="A262" s="20">
        <v>261</v>
      </c>
      <c r="B262" s="20"/>
      <c r="C262" s="9" t="s">
        <v>355</v>
      </c>
      <c r="D262" s="9">
        <v>17</v>
      </c>
      <c r="E262" s="9">
        <f t="shared" si="43"/>
        <v>42</v>
      </c>
      <c r="F262" s="10" t="str">
        <f>CONCATENATE("Hora Cátedra Enseñanza Media ",D262," hs Esc Esp")</f>
        <v>Hora Cátedra Enseñanza Media 17 hs Esc Esp</v>
      </c>
      <c r="G262" s="123">
        <f t="shared" si="50"/>
        <v>1343</v>
      </c>
      <c r="H262" s="7">
        <f>INT((G262*Valores!$C$2*100))/100</f>
        <v>8057.06</v>
      </c>
      <c r="I262" s="134">
        <v>0</v>
      </c>
      <c r="J262" s="77">
        <f>INT((I262*Valores!$C$2*100)+0.5)/100</f>
        <v>0</v>
      </c>
      <c r="K262" s="146">
        <v>0</v>
      </c>
      <c r="L262" s="77">
        <f>INT((K262*Valores!$C$2*100)+0.5)/100</f>
        <v>0</v>
      </c>
      <c r="M262" s="120">
        <v>0</v>
      </c>
      <c r="N262" s="77">
        <f>INT((M262*Valores!$C$2*100)+0.5)/100</f>
        <v>0</v>
      </c>
      <c r="O262" s="77">
        <f t="shared" si="37"/>
        <v>0</v>
      </c>
      <c r="P262" s="77">
        <f t="shared" si="38"/>
        <v>4337.165</v>
      </c>
      <c r="Q262" s="61">
        <f>Valores!$C$14*D262</f>
        <v>2338.18</v>
      </c>
      <c r="R262" s="61">
        <f>IF(D262&lt;15,(Valores!$E$4*D262),Valores!$D$4)</f>
        <v>2683.49</v>
      </c>
      <c r="S262" s="77">
        <v>0</v>
      </c>
      <c r="T262" s="79">
        <f>IF(Valores!$C$45*D262&gt;Valores!$C$43,Valores!$C$43,Valores!$C$45*D262)</f>
        <v>617.27</v>
      </c>
      <c r="U262" s="61">
        <f>Valores!$C$22*D262</f>
        <v>906.0999999999999</v>
      </c>
      <c r="V262" s="77">
        <f t="shared" si="48"/>
        <v>1359.1499999999999</v>
      </c>
      <c r="W262" s="77">
        <v>0</v>
      </c>
      <c r="X262" s="77">
        <v>0</v>
      </c>
      <c r="Y262" s="37">
        <v>0</v>
      </c>
      <c r="Z262" s="77">
        <f>Y262*Valores!$C$2</f>
        <v>0</v>
      </c>
      <c r="AA262" s="77">
        <v>0</v>
      </c>
      <c r="AB262" s="89">
        <f>IF((Valores!$C$32)*D262&gt;Valores!$F$32,Valores!$F$32,(Valores!$C$32)*D262)</f>
        <v>103.02</v>
      </c>
      <c r="AC262" s="77">
        <f t="shared" si="39"/>
        <v>0</v>
      </c>
      <c r="AD262" s="77">
        <f>IF(Valores!$C$33*D262&gt;Valores!$F$33,Valores!$F$33,Valores!$C$33*D262)</f>
        <v>85.68</v>
      </c>
      <c r="AE262" s="116">
        <v>94</v>
      </c>
      <c r="AF262" s="77">
        <f>INT(((AE262*Valores!$C$2)*100)+0.5)/100</f>
        <v>563.93</v>
      </c>
      <c r="AG262" s="77">
        <f>IF(Valores!$D$58*'Escala Docente'!D262&gt;Valores!$F$58,Valores!$F$58,Valores!$D$58*'Escala Docente'!D262)</f>
        <v>348.5</v>
      </c>
      <c r="AH262" s="77">
        <f>IF(Valores!$D$60*D262&gt;Valores!$F$60,Valores!$F$60,Valores!$D$60*D262)</f>
        <v>99.62</v>
      </c>
      <c r="AI262" s="77">
        <f>SUM(H262,J262,L262,N262,O262,P262,Q262,R262,S262,T262,V262,W262,X262,Z262,AA262,AB262,AC262,AD262,AF262,AG262,AH262)*Valores!$C$63</f>
        <v>0</v>
      </c>
      <c r="AJ262" s="140">
        <f t="shared" si="40"/>
        <v>20593.065000000002</v>
      </c>
      <c r="AK262" s="61">
        <f>IF(Valores!$C$36*D262&gt;Valores!$F$36,Valores!$F$36,Valores!$C$36*D262)</f>
        <v>471.07</v>
      </c>
      <c r="AL262" s="79">
        <f>IF(Valores!$C$11*D262&gt;Valores!$F$11,Valores!$F$11,Valores!$C$11*D262)</f>
        <v>166.09</v>
      </c>
      <c r="AM262" s="89">
        <f>IF(Valores!$C$57*D262&gt;Valores!$F$57,Valores!$F$57,Valores!$C$57*D262)</f>
        <v>146.03</v>
      </c>
      <c r="AN262" s="79">
        <f>IF($H$4="SI",SUM(AL262+AM262),AL262)*Valores!$C$63</f>
        <v>0</v>
      </c>
      <c r="AO262" s="12">
        <f t="shared" si="44"/>
        <v>783.1899999999999</v>
      </c>
      <c r="AP262" s="13">
        <f>AJ262*-Valores!$C$65</f>
        <v>-2677.0984500000004</v>
      </c>
      <c r="AQ262" s="13">
        <f>AJ262*-Valores!$C$66</f>
        <v>-102.965325</v>
      </c>
      <c r="AR262" s="78">
        <f>AJ262*-Valores!$C$67</f>
        <v>-926.6879250000001</v>
      </c>
      <c r="AS262" s="78">
        <f>AJ262*-Valores!$C$68</f>
        <v>-556.0127550000001</v>
      </c>
      <c r="AT262" s="78">
        <f>AJ262*-Valores!$C$69</f>
        <v>-61.77919500000001</v>
      </c>
      <c r="AU262" s="15">
        <f t="shared" si="41"/>
        <v>17669.5033</v>
      </c>
      <c r="AV262" s="15">
        <f t="shared" si="42"/>
        <v>17978.399275</v>
      </c>
      <c r="AW262" s="78">
        <f>AJ262*Valores!$C$70</f>
        <v>3294.8904</v>
      </c>
      <c r="AX262" s="78">
        <f>AJ262*Valores!$C$71</f>
        <v>926.6879250000001</v>
      </c>
      <c r="AY262" s="78">
        <f>AJ262*Valores!$C$73</f>
        <v>205.93065</v>
      </c>
      <c r="AZ262" s="78">
        <f>AJ262*Valores!$C$74</f>
        <v>720.7572750000002</v>
      </c>
      <c r="BA262" s="78">
        <f>AJ262*Valores!$C$75</f>
        <v>123.55839000000002</v>
      </c>
      <c r="BB262" s="78">
        <f t="shared" si="45"/>
        <v>1112.0255100000002</v>
      </c>
      <c r="BC262" s="20"/>
      <c r="BD262" s="20">
        <f t="shared" si="49"/>
        <v>68</v>
      </c>
      <c r="BE262" s="9" t="s">
        <v>462</v>
      </c>
    </row>
    <row r="263" spans="1:57" s="9" customFormat="1" ht="11.25" customHeight="1">
      <c r="A263" s="20">
        <v>262</v>
      </c>
      <c r="B263" s="20"/>
      <c r="C263" s="9" t="s">
        <v>355</v>
      </c>
      <c r="D263" s="9">
        <v>18</v>
      </c>
      <c r="E263" s="9">
        <f t="shared" si="43"/>
        <v>34</v>
      </c>
      <c r="F263" s="10" t="str">
        <f>CONCATENATE("Hora Cátedra Enseñanza Media ",D263," hs")</f>
        <v>Hora Cátedra Enseñanza Media 18 hs</v>
      </c>
      <c r="G263" s="123">
        <f t="shared" si="50"/>
        <v>1422</v>
      </c>
      <c r="H263" s="7">
        <f>INT((G263*Valores!$C$2*100))/100</f>
        <v>8531.01</v>
      </c>
      <c r="I263" s="134">
        <v>0</v>
      </c>
      <c r="J263" s="77">
        <f>INT((I263*Valores!$C$2*100)+0.5)/100</f>
        <v>0</v>
      </c>
      <c r="K263" s="146">
        <v>0</v>
      </c>
      <c r="L263" s="77">
        <f>INT((K263*Valores!$C$2*100)+0.5)/100</f>
        <v>0</v>
      </c>
      <c r="M263" s="120">
        <v>0</v>
      </c>
      <c r="N263" s="77">
        <f>INT((M263*Valores!$C$2*100)+0.5)/100</f>
        <v>0</v>
      </c>
      <c r="O263" s="77">
        <f aca="true" t="shared" si="51" ref="O263:O326">IF($J$2=0,IF(C263&lt;&gt;"13-930",(SUM(H263,J263,L263,N263,Z263,U263,T263)*$O$2),0),0)</f>
        <v>0</v>
      </c>
      <c r="P263" s="77">
        <f aca="true" t="shared" si="52" ref="P263:P327">SUM(H263,J263,L263,N263,Z263,T263)*$J$2</f>
        <v>4592.295</v>
      </c>
      <c r="Q263" s="61">
        <f>Valores!$C$14*D263</f>
        <v>2475.72</v>
      </c>
      <c r="R263" s="61">
        <f>IF(D263&lt;15,(Valores!$E$4*D263),Valores!$D$4)</f>
        <v>2683.49</v>
      </c>
      <c r="S263" s="77">
        <v>0</v>
      </c>
      <c r="T263" s="79">
        <f>IF(Valores!$C$45*D263&gt;Valores!$C$43,Valores!$C$43,Valores!$C$45*D263)</f>
        <v>653.58</v>
      </c>
      <c r="U263" s="61">
        <f>Valores!$C$22*D263</f>
        <v>959.4</v>
      </c>
      <c r="V263" s="77">
        <f t="shared" si="48"/>
        <v>1439.1</v>
      </c>
      <c r="W263" s="77">
        <v>0</v>
      </c>
      <c r="X263" s="77">
        <v>0</v>
      </c>
      <c r="Y263" s="37">
        <v>0</v>
      </c>
      <c r="Z263" s="77">
        <f>Y263*Valores!$C$2</f>
        <v>0</v>
      </c>
      <c r="AA263" s="77">
        <v>0</v>
      </c>
      <c r="AB263" s="89">
        <f>IF((Valores!$C$32)*D263&gt;Valores!$F$32,Valores!$F$32,(Valores!$C$32)*D263)</f>
        <v>109.08</v>
      </c>
      <c r="AC263" s="77">
        <f aca="true" t="shared" si="53" ref="AC263:AC327">SUM(H263,J263,L263,Z263,T263,N263)*$H$3/100</f>
        <v>0</v>
      </c>
      <c r="AD263" s="77">
        <f>IF(Valores!$C$33*D263&gt;Valores!$F$33,Valores!$F$33,Valores!$C$33*D263)</f>
        <v>90.72</v>
      </c>
      <c r="AE263" s="116">
        <v>0</v>
      </c>
      <c r="AF263" s="77">
        <f>INT(((AE263*Valores!$C$2)*100)+0.5)/100</f>
        <v>0</v>
      </c>
      <c r="AG263" s="77">
        <f>IF(Valores!$D$58*'Escala Docente'!D263&gt;Valores!$F$58,Valores!$F$58,Valores!$D$58*'Escala Docente'!D263)</f>
        <v>369</v>
      </c>
      <c r="AH263" s="77">
        <f>IF(Valores!$D$60*D263&gt;Valores!$F$60,Valores!$F$60,Valores!$D$60*D263)</f>
        <v>105.48</v>
      </c>
      <c r="AI263" s="77">
        <f>SUM(H263,J263,L263,N263,O263,P263,Q263,R263,S263,T263,V263,W263,X263,Z263,AA263,AB263,AC263,AD263,AF263,AG263,AH263)*Valores!$C$63</f>
        <v>0</v>
      </c>
      <c r="AJ263" s="140">
        <f aca="true" t="shared" si="54" ref="AJ263:AJ326">SUM(H263,J263,L263,N263,O263,P263,Q263,R263,S263,V263,W263,X263,Z263,AA263,AB263,AC263,AD263,AF263,T263,AG263,AH263,AI263)</f>
        <v>21049.475000000002</v>
      </c>
      <c r="AK263" s="61">
        <f>IF(Valores!$C$36*D263&gt;Valores!$F$36,Valores!$F$36,Valores!$C$36*D263)</f>
        <v>498.78000000000003</v>
      </c>
      <c r="AL263" s="79">
        <f>IF(Valores!$C$11*D263&gt;Valores!$F$11,Valores!$F$11,Valores!$C$11*D263)</f>
        <v>175.85999999999999</v>
      </c>
      <c r="AM263" s="89">
        <f>IF(Valores!$C$57*D263&gt;Valores!$F$57,Valores!$F$57,Valores!$C$57*D263)</f>
        <v>154.62</v>
      </c>
      <c r="AN263" s="79">
        <f>IF($H$4="SI",SUM(AL263+AM263),AL263)*Valores!$C$63</f>
        <v>0</v>
      </c>
      <c r="AO263" s="12">
        <f t="shared" si="44"/>
        <v>829.26</v>
      </c>
      <c r="AP263" s="13">
        <f>AJ263*-Valores!$C$65</f>
        <v>-2736.43175</v>
      </c>
      <c r="AQ263" s="13">
        <f>AJ263*-Valores!$C$66</f>
        <v>-105.24737500000002</v>
      </c>
      <c r="AR263" s="78">
        <f>AJ263*-Valores!$C$67</f>
        <v>-947.2263750000001</v>
      </c>
      <c r="AS263" s="78">
        <f>AJ263*-Valores!$C$68</f>
        <v>-568.3358250000001</v>
      </c>
      <c r="AT263" s="78">
        <f>AJ263*-Valores!$C$69</f>
        <v>-63.14842500000001</v>
      </c>
      <c r="AU263" s="15">
        <f aca="true" t="shared" si="55" ref="AU263:AU327">AJ263+AO263+AQ263+AR263+AP263</f>
        <v>18089.829500000003</v>
      </c>
      <c r="AV263" s="15">
        <f aca="true" t="shared" si="56" ref="AV263:AV327">AJ263+AO263+AQ263+AS263+AP263+AT263</f>
        <v>18405.571625</v>
      </c>
      <c r="AW263" s="78">
        <f>AJ263*Valores!$C$70</f>
        <v>3367.9160000000006</v>
      </c>
      <c r="AX263" s="78">
        <f>AJ263*Valores!$C$71</f>
        <v>947.2263750000001</v>
      </c>
      <c r="AY263" s="78">
        <f>AJ263*Valores!$C$73</f>
        <v>210.49475000000004</v>
      </c>
      <c r="AZ263" s="78">
        <f>AJ263*Valores!$C$74</f>
        <v>736.7316250000001</v>
      </c>
      <c r="BA263" s="78">
        <f>AJ263*Valores!$C$75</f>
        <v>126.29685000000002</v>
      </c>
      <c r="BB263" s="78">
        <f t="shared" si="45"/>
        <v>1136.6716500000002</v>
      </c>
      <c r="BC263" s="20"/>
      <c r="BD263" s="20">
        <f t="shared" si="49"/>
        <v>72</v>
      </c>
      <c r="BE263" s="9" t="s">
        <v>462</v>
      </c>
    </row>
    <row r="264" spans="1:57" s="9" customFormat="1" ht="11.25" customHeight="1">
      <c r="A264" s="20">
        <v>263</v>
      </c>
      <c r="B264" s="20"/>
      <c r="C264" s="9" t="s">
        <v>355</v>
      </c>
      <c r="D264" s="9">
        <v>18</v>
      </c>
      <c r="E264" s="9">
        <f aca="true" t="shared" si="57" ref="E264:E327">LEN(F264)</f>
        <v>42</v>
      </c>
      <c r="F264" s="10" t="str">
        <f>CONCATENATE("Hora Cátedra Enseñanza Media ",D264," hs Esc Esp")</f>
        <v>Hora Cátedra Enseñanza Media 18 hs Esc Esp</v>
      </c>
      <c r="G264" s="123">
        <f t="shared" si="50"/>
        <v>1422</v>
      </c>
      <c r="H264" s="7">
        <f>INT((G264*Valores!$C$2*100))/100</f>
        <v>8531.01</v>
      </c>
      <c r="I264" s="134">
        <v>0</v>
      </c>
      <c r="J264" s="77">
        <f>INT((I264*Valores!$C$2*100)+0.5)/100</f>
        <v>0</v>
      </c>
      <c r="K264" s="146">
        <v>0</v>
      </c>
      <c r="L264" s="77">
        <f>INT((K264*Valores!$C$2*100)+0.5)/100</f>
        <v>0</v>
      </c>
      <c r="M264" s="120">
        <v>0</v>
      </c>
      <c r="N264" s="77">
        <f>INT((M264*Valores!$C$2*100)+0.5)/100</f>
        <v>0</v>
      </c>
      <c r="O264" s="77">
        <f t="shared" si="51"/>
        <v>0</v>
      </c>
      <c r="P264" s="77">
        <f t="shared" si="52"/>
        <v>4592.295</v>
      </c>
      <c r="Q264" s="61">
        <f>Valores!$C$14*D264</f>
        <v>2475.72</v>
      </c>
      <c r="R264" s="61">
        <f>IF(D264&lt;15,(Valores!$E$4*D264),Valores!$D$4)</f>
        <v>2683.49</v>
      </c>
      <c r="S264" s="77">
        <v>0</v>
      </c>
      <c r="T264" s="79">
        <f>IF(Valores!$C$45*D264&gt;Valores!$C$43,Valores!$C$43,Valores!$C$45*D264)</f>
        <v>653.58</v>
      </c>
      <c r="U264" s="61">
        <f>Valores!$C$22*D264</f>
        <v>959.4</v>
      </c>
      <c r="V264" s="77">
        <f t="shared" si="48"/>
        <v>1439.1</v>
      </c>
      <c r="W264" s="77">
        <v>0</v>
      </c>
      <c r="X264" s="77">
        <v>0</v>
      </c>
      <c r="Y264" s="37">
        <v>0</v>
      </c>
      <c r="Z264" s="77">
        <f>Y264*Valores!$C$2</f>
        <v>0</v>
      </c>
      <c r="AA264" s="77">
        <v>0</v>
      </c>
      <c r="AB264" s="89">
        <f>IF((Valores!$C$32)*D264&gt;Valores!$F$32,Valores!$F$32,(Valores!$C$32)*D264)</f>
        <v>109.08</v>
      </c>
      <c r="AC264" s="77">
        <f t="shared" si="53"/>
        <v>0</v>
      </c>
      <c r="AD264" s="77">
        <f>IF(Valores!$C$33*D264&gt;Valores!$F$33,Valores!$F$33,Valores!$C$33*D264)</f>
        <v>90.72</v>
      </c>
      <c r="AE264" s="116">
        <v>94</v>
      </c>
      <c r="AF264" s="77">
        <f>INT(((AE264*Valores!$C$2)*100)+0.5)/100</f>
        <v>563.93</v>
      </c>
      <c r="AG264" s="77">
        <f>IF(Valores!$D$58*'Escala Docente'!D264&gt;Valores!$F$58,Valores!$F$58,Valores!$D$58*'Escala Docente'!D264)</f>
        <v>369</v>
      </c>
      <c r="AH264" s="77">
        <f>IF(Valores!$D$60*D264&gt;Valores!$F$60,Valores!$F$60,Valores!$D$60*D264)</f>
        <v>105.48</v>
      </c>
      <c r="AI264" s="77">
        <f>SUM(H264,J264,L264,N264,O264,P264,Q264,R264,S264,T264,V264,W264,X264,Z264,AA264,AB264,AC264,AD264,AF264,AG264,AH264)*Valores!$C$63</f>
        <v>0</v>
      </c>
      <c r="AJ264" s="140">
        <f t="shared" si="54"/>
        <v>21613.405000000002</v>
      </c>
      <c r="AK264" s="61">
        <f>IF(Valores!$C$36*D264&gt;Valores!$F$36,Valores!$F$36,Valores!$C$36*D264)</f>
        <v>498.78000000000003</v>
      </c>
      <c r="AL264" s="79">
        <f>IF(Valores!$C$11*D264&gt;Valores!$F$11,Valores!$F$11,Valores!$C$11*D264)</f>
        <v>175.85999999999999</v>
      </c>
      <c r="AM264" s="89">
        <f>IF(Valores!$C$57*D264&gt;Valores!$F$57,Valores!$F$57,Valores!$C$57*D264)</f>
        <v>154.62</v>
      </c>
      <c r="AN264" s="79">
        <f>IF($H$4="SI",SUM(AL264+AM264),AL264)*Valores!$C$63</f>
        <v>0</v>
      </c>
      <c r="AO264" s="12">
        <f aca="true" t="shared" si="58" ref="AO264:AO327">SUM(AK264:AL264,AM264,AN264)</f>
        <v>829.26</v>
      </c>
      <c r="AP264" s="13">
        <f>AJ264*-Valores!$C$65</f>
        <v>-2809.7426500000006</v>
      </c>
      <c r="AQ264" s="13">
        <f>AJ264*-Valores!$C$66</f>
        <v>-108.06702500000002</v>
      </c>
      <c r="AR264" s="78">
        <f>AJ264*-Valores!$C$67</f>
        <v>-972.6032250000001</v>
      </c>
      <c r="AS264" s="78">
        <f>AJ264*-Valores!$C$68</f>
        <v>-583.5619350000002</v>
      </c>
      <c r="AT264" s="78">
        <f>AJ264*-Valores!$C$69</f>
        <v>-64.84021500000001</v>
      </c>
      <c r="AU264" s="15">
        <f t="shared" si="55"/>
        <v>18552.2521</v>
      </c>
      <c r="AV264" s="15">
        <f t="shared" si="56"/>
        <v>18876.453175</v>
      </c>
      <c r="AW264" s="78">
        <f>AJ264*Valores!$C$70</f>
        <v>3458.1448000000005</v>
      </c>
      <c r="AX264" s="78">
        <f>AJ264*Valores!$C$71</f>
        <v>972.6032250000001</v>
      </c>
      <c r="AY264" s="78">
        <f>AJ264*Valores!$C$73</f>
        <v>216.13405000000003</v>
      </c>
      <c r="AZ264" s="78">
        <f>AJ264*Valores!$C$74</f>
        <v>756.4691750000002</v>
      </c>
      <c r="BA264" s="78">
        <f>AJ264*Valores!$C$75</f>
        <v>129.68043000000003</v>
      </c>
      <c r="BB264" s="78">
        <f t="shared" si="45"/>
        <v>1167.1238700000001</v>
      </c>
      <c r="BC264" s="20"/>
      <c r="BD264" s="55">
        <f t="shared" si="49"/>
        <v>72</v>
      </c>
      <c r="BE264" s="9" t="s">
        <v>462</v>
      </c>
    </row>
    <row r="265" spans="1:57" s="9" customFormat="1" ht="11.25" customHeight="1">
      <c r="A265" s="20">
        <v>264</v>
      </c>
      <c r="B265" s="20"/>
      <c r="C265" s="9" t="s">
        <v>355</v>
      </c>
      <c r="D265" s="9">
        <v>19</v>
      </c>
      <c r="E265" s="9">
        <f t="shared" si="57"/>
        <v>34</v>
      </c>
      <c r="F265" s="10" t="str">
        <f>CONCATENATE("Hora Cátedra Enseñanza Media ",D265," hs")</f>
        <v>Hora Cátedra Enseñanza Media 19 hs</v>
      </c>
      <c r="G265" s="123">
        <f t="shared" si="50"/>
        <v>1501</v>
      </c>
      <c r="H265" s="7">
        <f>INT((G265*Valores!$C$2*100))/100</f>
        <v>9004.95</v>
      </c>
      <c r="I265" s="134">
        <v>0</v>
      </c>
      <c r="J265" s="77">
        <f>INT((I265*Valores!$C$2*100)+0.5)/100</f>
        <v>0</v>
      </c>
      <c r="K265" s="146">
        <v>0</v>
      </c>
      <c r="L265" s="77">
        <f>INT((K265*Valores!$C$2*100)+0.5)/100</f>
        <v>0</v>
      </c>
      <c r="M265" s="120">
        <v>0</v>
      </c>
      <c r="N265" s="77">
        <f>INT((M265*Valores!$C$2*100)+0.5)/100</f>
        <v>0</v>
      </c>
      <c r="O265" s="77">
        <f t="shared" si="51"/>
        <v>0</v>
      </c>
      <c r="P265" s="77">
        <f t="shared" si="52"/>
        <v>4847.42</v>
      </c>
      <c r="Q265" s="61">
        <f>Valores!$C$14*D265</f>
        <v>2613.2599999999998</v>
      </c>
      <c r="R265" s="61">
        <f>IF(D265&lt;15,(Valores!$E$4*D265),Valores!$D$4)</f>
        <v>2683.49</v>
      </c>
      <c r="S265" s="77">
        <v>0</v>
      </c>
      <c r="T265" s="79">
        <f>IF(Valores!$C$45*D265&gt;Valores!$C$43,Valores!$C$43,Valores!$C$45*D265)</f>
        <v>689.8900000000001</v>
      </c>
      <c r="U265" s="61">
        <f>Valores!$C$22*D265</f>
        <v>1012.6999999999999</v>
      </c>
      <c r="V265" s="77">
        <f t="shared" si="48"/>
        <v>1519.05</v>
      </c>
      <c r="W265" s="77">
        <v>0</v>
      </c>
      <c r="X265" s="77">
        <v>0</v>
      </c>
      <c r="Y265" s="37">
        <v>0</v>
      </c>
      <c r="Z265" s="77">
        <f>Y265*Valores!$C$2</f>
        <v>0</v>
      </c>
      <c r="AA265" s="77">
        <v>0</v>
      </c>
      <c r="AB265" s="89">
        <f>IF((Valores!$C$32)*D265&gt;Valores!$F$32,Valores!$F$32,(Valores!$C$32)*D265)</f>
        <v>115.13999999999999</v>
      </c>
      <c r="AC265" s="77">
        <f t="shared" si="53"/>
        <v>0</v>
      </c>
      <c r="AD265" s="77">
        <f>IF(Valores!$C$33*D265&gt;Valores!$F$33,Valores!$F$33,Valores!$C$33*D265)</f>
        <v>95.76</v>
      </c>
      <c r="AE265" s="116">
        <v>0</v>
      </c>
      <c r="AF265" s="77">
        <f>INT(((AE265*Valores!$C$2)*100)+0.5)/100</f>
        <v>0</v>
      </c>
      <c r="AG265" s="77">
        <f>IF(Valores!$D$58*'Escala Docente'!D265&gt;Valores!$F$58,Valores!$F$58,Valores!$D$58*'Escala Docente'!D265)</f>
        <v>389.5</v>
      </c>
      <c r="AH265" s="77">
        <f>IF(Valores!$D$60*D265&gt;Valores!$F$60,Valores!$F$60,Valores!$D$60*D265)</f>
        <v>111.34</v>
      </c>
      <c r="AI265" s="77">
        <f>SUM(H265,J265,L265,N265,O265,P265,Q265,R265,S265,T265,V265,W265,X265,Z265,AA265,AB265,AC265,AD265,AF265,AG265,AH265)*Valores!$C$63</f>
        <v>0</v>
      </c>
      <c r="AJ265" s="140">
        <f t="shared" si="54"/>
        <v>22069.8</v>
      </c>
      <c r="AK265" s="61">
        <f>IF(Valores!$C$36*D265&gt;Valores!$F$36,Valores!$F$36,Valores!$C$36*D265)</f>
        <v>526.49</v>
      </c>
      <c r="AL265" s="79">
        <f>IF(Valores!$C$11*D265&gt;Valores!$F$11,Valores!$F$11,Valores!$C$11*D265)</f>
        <v>185.63</v>
      </c>
      <c r="AM265" s="89">
        <f>IF(Valores!$C$57*D265&gt;Valores!$F$57,Valores!$F$57,Valores!$C$57*D265)</f>
        <v>163.21</v>
      </c>
      <c r="AN265" s="79">
        <f>IF($H$4="SI",SUM(AL265+AM265),AL265)*Valores!$C$63</f>
        <v>0</v>
      </c>
      <c r="AO265" s="12">
        <f t="shared" si="58"/>
        <v>875.33</v>
      </c>
      <c r="AP265" s="13">
        <f>AJ265*-Valores!$C$65</f>
        <v>-2869.074</v>
      </c>
      <c r="AQ265" s="13">
        <f>AJ265*-Valores!$C$66</f>
        <v>-110.349</v>
      </c>
      <c r="AR265" s="78">
        <f>AJ265*-Valores!$C$67</f>
        <v>-993.141</v>
      </c>
      <c r="AS265" s="78">
        <f>AJ265*-Valores!$C$68</f>
        <v>-595.8846000000001</v>
      </c>
      <c r="AT265" s="78">
        <f>AJ265*-Valores!$C$69</f>
        <v>-66.2094</v>
      </c>
      <c r="AU265" s="15">
        <f t="shared" si="55"/>
        <v>18972.566000000003</v>
      </c>
      <c r="AV265" s="15">
        <f t="shared" si="56"/>
        <v>19303.613</v>
      </c>
      <c r="AW265" s="78">
        <f>AJ265*Valores!$C$70</f>
        <v>3531.168</v>
      </c>
      <c r="AX265" s="78">
        <f>AJ265*Valores!$C$71</f>
        <v>993.141</v>
      </c>
      <c r="AY265" s="78">
        <f>AJ265*Valores!$C$73</f>
        <v>220.698</v>
      </c>
      <c r="AZ265" s="78">
        <f>AJ265*Valores!$C$74</f>
        <v>772.4430000000001</v>
      </c>
      <c r="BA265" s="78">
        <f>AJ265*Valores!$C$75</f>
        <v>132.4188</v>
      </c>
      <c r="BB265" s="78">
        <f aca="true" t="shared" si="59" ref="BB265:BB327">AJ265*5.4/100</f>
        <v>1191.7692</v>
      </c>
      <c r="BC265" s="20"/>
      <c r="BD265" s="20">
        <f t="shared" si="49"/>
        <v>76</v>
      </c>
      <c r="BE265" s="9" t="s">
        <v>462</v>
      </c>
    </row>
    <row r="266" spans="1:57" s="9" customFormat="1" ht="11.25" customHeight="1">
      <c r="A266" s="55">
        <v>265</v>
      </c>
      <c r="B266" s="55" t="s">
        <v>458</v>
      </c>
      <c r="C266" s="52" t="s">
        <v>355</v>
      </c>
      <c r="D266" s="52">
        <v>19</v>
      </c>
      <c r="E266" s="52">
        <f t="shared" si="57"/>
        <v>42</v>
      </c>
      <c r="F266" s="53" t="str">
        <f>CONCATENATE("Hora Cátedra Enseñanza Media ",D266," hs Esc Esp")</f>
        <v>Hora Cátedra Enseñanza Media 19 hs Esc Esp</v>
      </c>
      <c r="G266" s="124">
        <f t="shared" si="50"/>
        <v>1501</v>
      </c>
      <c r="H266" s="129">
        <f>INT((G266*Valores!$C$2*100))/100</f>
        <v>9004.95</v>
      </c>
      <c r="I266" s="133">
        <v>0</v>
      </c>
      <c r="J266" s="80">
        <f>INT((I266*Valores!$C$2*100)+0.5)/100</f>
        <v>0</v>
      </c>
      <c r="K266" s="147">
        <v>0</v>
      </c>
      <c r="L266" s="80">
        <f>INT((K266*Valores!$C$2*100)+0.5)/100</f>
        <v>0</v>
      </c>
      <c r="M266" s="121">
        <v>0</v>
      </c>
      <c r="N266" s="80">
        <f>INT((M266*Valores!$C$2*100)+0.5)/100</f>
        <v>0</v>
      </c>
      <c r="O266" s="80">
        <f t="shared" si="51"/>
        <v>0</v>
      </c>
      <c r="P266" s="80">
        <f t="shared" si="52"/>
        <v>4847.42</v>
      </c>
      <c r="Q266" s="85">
        <f>Valores!$C$14*D266</f>
        <v>2613.2599999999998</v>
      </c>
      <c r="R266" s="85">
        <f>IF(D266&lt;15,(Valores!$E$4*D266),Valores!$D$4)</f>
        <v>2683.49</v>
      </c>
      <c r="S266" s="80">
        <v>0</v>
      </c>
      <c r="T266" s="82">
        <f>IF(Valores!$C$45*D266&gt;Valores!$C$43,Valores!$C$43,Valores!$C$45*D266)</f>
        <v>689.8900000000001</v>
      </c>
      <c r="U266" s="85">
        <f>Valores!$C$22*D266</f>
        <v>1012.6999999999999</v>
      </c>
      <c r="V266" s="80">
        <f t="shared" si="48"/>
        <v>1519.05</v>
      </c>
      <c r="W266" s="80">
        <v>0</v>
      </c>
      <c r="X266" s="80">
        <v>0</v>
      </c>
      <c r="Y266" s="60">
        <v>0</v>
      </c>
      <c r="Z266" s="80">
        <f>Y266*Valores!$C$2</f>
        <v>0</v>
      </c>
      <c r="AA266" s="80">
        <v>0</v>
      </c>
      <c r="AB266" s="90">
        <f>IF((Valores!$C$32)*D266&gt;Valores!$F$32,Valores!$F$32,(Valores!$C$32)*D266)</f>
        <v>115.13999999999999</v>
      </c>
      <c r="AC266" s="80">
        <f t="shared" si="53"/>
        <v>0</v>
      </c>
      <c r="AD266" s="80">
        <f>IF(Valores!$C$33*D266&gt;Valores!$F$33,Valores!$F$33,Valores!$C$33*D266)</f>
        <v>95.76</v>
      </c>
      <c r="AE266" s="115">
        <v>94</v>
      </c>
      <c r="AF266" s="80">
        <f>INT(((AE266*Valores!$C$2)*100)+0.5)/100</f>
        <v>563.93</v>
      </c>
      <c r="AG266" s="80">
        <f>IF(Valores!$D$58*'Escala Docente'!D266&gt;Valores!$F$58,Valores!$F$58,Valores!$D$58*'Escala Docente'!D266)</f>
        <v>389.5</v>
      </c>
      <c r="AH266" s="80">
        <f>IF(Valores!$D$60*D266&gt;Valores!$F$60,Valores!$F$60,Valores!$D$60*D266)</f>
        <v>111.34</v>
      </c>
      <c r="AI266" s="80">
        <f>SUM(H266,J266,L266,N266,O266,P266,Q266,R266,S266,T266,V266,W266,X266,Z266,AA266,AB266,AC266,AD266,AF266,AG266,AH266)*Valores!$C$63</f>
        <v>0</v>
      </c>
      <c r="AJ266" s="141">
        <f t="shared" si="54"/>
        <v>22633.73</v>
      </c>
      <c r="AK266" s="85">
        <f>IF(Valores!$C$36*D266&gt;Valores!$F$36,Valores!$F$36,Valores!$C$36*D266)</f>
        <v>526.49</v>
      </c>
      <c r="AL266" s="82">
        <f>IF(Valores!$C$11*D266&gt;Valores!$F$11,Valores!$F$11,Valores!$C$11*D266)</f>
        <v>185.63</v>
      </c>
      <c r="AM266" s="90">
        <f>IF(Valores!$C$57*D266&gt;Valores!$F$57,Valores!$F$57,Valores!$C$57*D266)</f>
        <v>163.21</v>
      </c>
      <c r="AN266" s="82">
        <f>IF($H$4="SI",SUM(AL266+AM266),AL266)*Valores!$C$63</f>
        <v>0</v>
      </c>
      <c r="AO266" s="185">
        <f t="shared" si="58"/>
        <v>875.33</v>
      </c>
      <c r="AP266" s="154">
        <f>AJ266*-Valores!$C$65</f>
        <v>-2942.3849</v>
      </c>
      <c r="AQ266" s="154">
        <f>AJ266*-Valores!$C$66</f>
        <v>-113.16865</v>
      </c>
      <c r="AR266" s="81">
        <f>AJ266*-Valores!$C$67</f>
        <v>-1018.51785</v>
      </c>
      <c r="AS266" s="81">
        <f>AJ266*-Valores!$C$68</f>
        <v>-611.11071</v>
      </c>
      <c r="AT266" s="81">
        <f>AJ266*-Valores!$C$69</f>
        <v>-67.90119</v>
      </c>
      <c r="AU266" s="54">
        <f t="shared" si="55"/>
        <v>19434.9886</v>
      </c>
      <c r="AV266" s="54">
        <f t="shared" si="56"/>
        <v>19774.49455</v>
      </c>
      <c r="AW266" s="81">
        <f>AJ266*Valores!$C$70</f>
        <v>3621.3968</v>
      </c>
      <c r="AX266" s="81">
        <f>AJ266*Valores!$C$71</f>
        <v>1018.51785</v>
      </c>
      <c r="AY266" s="81">
        <f>AJ266*Valores!$C$73</f>
        <v>226.3373</v>
      </c>
      <c r="AZ266" s="81">
        <f>AJ266*Valores!$C$74</f>
        <v>792.18055</v>
      </c>
      <c r="BA266" s="81">
        <f>AJ266*Valores!$C$75</f>
        <v>135.80238</v>
      </c>
      <c r="BB266" s="81">
        <f t="shared" si="59"/>
        <v>1222.22142</v>
      </c>
      <c r="BC266" s="55"/>
      <c r="BD266" s="55">
        <f t="shared" si="49"/>
        <v>76</v>
      </c>
      <c r="BE266" s="52" t="s">
        <v>462</v>
      </c>
    </row>
    <row r="267" spans="1:57" s="9" customFormat="1" ht="11.25" customHeight="1">
      <c r="A267" s="20">
        <v>266</v>
      </c>
      <c r="B267" s="20"/>
      <c r="C267" s="9" t="s">
        <v>355</v>
      </c>
      <c r="D267" s="9">
        <v>20</v>
      </c>
      <c r="E267" s="9">
        <f t="shared" si="57"/>
        <v>34</v>
      </c>
      <c r="F267" s="10" t="str">
        <f>CONCATENATE("Hora Cátedra Enseñanza Media ",D267," hs")</f>
        <v>Hora Cátedra Enseñanza Media 20 hs</v>
      </c>
      <c r="G267" s="123">
        <f t="shared" si="50"/>
        <v>1580</v>
      </c>
      <c r="H267" s="7">
        <f>INT((G267*Valores!$C$2*100))/100</f>
        <v>9478.9</v>
      </c>
      <c r="I267" s="134">
        <v>0</v>
      </c>
      <c r="J267" s="77">
        <f>INT((I267*Valores!$C$2*100)+0.5)/100</f>
        <v>0</v>
      </c>
      <c r="K267" s="146">
        <v>0</v>
      </c>
      <c r="L267" s="77">
        <f>INT((K267*Valores!$C$2*100)+0.5)/100</f>
        <v>0</v>
      </c>
      <c r="M267" s="120">
        <v>0</v>
      </c>
      <c r="N267" s="77">
        <f>INT((M267*Valores!$C$2*100)+0.5)/100</f>
        <v>0</v>
      </c>
      <c r="O267" s="77">
        <f t="shared" si="51"/>
        <v>0</v>
      </c>
      <c r="P267" s="77">
        <f t="shared" si="52"/>
        <v>5102.55</v>
      </c>
      <c r="Q267" s="61">
        <f>Valores!$C$14*D267</f>
        <v>2750.7999999999997</v>
      </c>
      <c r="R267" s="61">
        <f>IF(D267&lt;15,(Valores!$E$4*D267),Valores!$D$4)</f>
        <v>2683.49</v>
      </c>
      <c r="S267" s="77">
        <v>0</v>
      </c>
      <c r="T267" s="79">
        <f>IF(Valores!$C$45*D267&gt;Valores!$C$43,Valores!$C$43,Valores!$C$45*D267)</f>
        <v>726.2</v>
      </c>
      <c r="U267" s="61">
        <f>Valores!$C$22*D267</f>
        <v>1066</v>
      </c>
      <c r="V267" s="77">
        <f t="shared" si="48"/>
        <v>1599</v>
      </c>
      <c r="W267" s="77">
        <v>0</v>
      </c>
      <c r="X267" s="77">
        <v>0</v>
      </c>
      <c r="Y267" s="37">
        <v>0</v>
      </c>
      <c r="Z267" s="77">
        <f>Y267*Valores!$C$2</f>
        <v>0</v>
      </c>
      <c r="AA267" s="77">
        <v>0</v>
      </c>
      <c r="AB267" s="89">
        <f>IF((Valores!$C$32)*D267&gt;Valores!$F$32,Valores!$F$32,(Valores!$C$32)*D267)</f>
        <v>121.19999999999999</v>
      </c>
      <c r="AC267" s="77">
        <f t="shared" si="53"/>
        <v>0</v>
      </c>
      <c r="AD267" s="77">
        <f>IF(Valores!$C$33*D267&gt;Valores!$F$33,Valores!$F$33,Valores!$C$33*D267)</f>
        <v>100.8</v>
      </c>
      <c r="AE267" s="116">
        <v>0</v>
      </c>
      <c r="AF267" s="77">
        <f>INT(((AE267*Valores!$C$2)*100)+0.5)/100</f>
        <v>0</v>
      </c>
      <c r="AG267" s="77">
        <f>IF(Valores!$D$58*'Escala Docente'!D267&gt;Valores!$F$58,Valores!$F$58,Valores!$D$58*'Escala Docente'!D267)</f>
        <v>410</v>
      </c>
      <c r="AH267" s="77">
        <f>IF(Valores!$D$60*D267&gt;Valores!$F$60,Valores!$F$60,Valores!$D$60*D267)</f>
        <v>117.2</v>
      </c>
      <c r="AI267" s="77">
        <f>SUM(H267,J267,L267,N267,O267,P267,Q267,R267,S267,T267,V267,W267,X267,Z267,AA267,AB267,AC267,AD267,AF267,AG267,AH267)*Valores!$C$63</f>
        <v>0</v>
      </c>
      <c r="AJ267" s="140">
        <f t="shared" si="54"/>
        <v>23090.14</v>
      </c>
      <c r="AK267" s="61">
        <f>IF(Valores!$C$36*D267&gt;Valores!$F$36,Valores!$F$36,Valores!$C$36*D267)</f>
        <v>554.2</v>
      </c>
      <c r="AL267" s="79">
        <f>IF(Valores!$C$11*D267&gt;Valores!$F$11,Valores!$F$11,Valores!$C$11*D267)</f>
        <v>195.39999999999998</v>
      </c>
      <c r="AM267" s="89">
        <f>IF(Valores!$C$57*D267&gt;Valores!$F$57,Valores!$F$57,Valores!$C$57*D267)</f>
        <v>171.8</v>
      </c>
      <c r="AN267" s="79">
        <f>IF($H$4="SI",SUM(AL267+AM267),AL267)*Valores!$C$63</f>
        <v>0</v>
      </c>
      <c r="AO267" s="12">
        <f t="shared" si="58"/>
        <v>921.4000000000001</v>
      </c>
      <c r="AP267" s="13">
        <f>AJ267*-Valores!$C$65</f>
        <v>-3001.7182000000003</v>
      </c>
      <c r="AQ267" s="13">
        <f>AJ267*-Valores!$C$66</f>
        <v>-115.4507</v>
      </c>
      <c r="AR267" s="78">
        <f>AJ267*-Valores!$C$67</f>
        <v>-1039.0563</v>
      </c>
      <c r="AS267" s="78">
        <f>AJ267*-Valores!$C$68</f>
        <v>-623.4337800000001</v>
      </c>
      <c r="AT267" s="78">
        <f>AJ267*-Valores!$C$69</f>
        <v>-69.27042</v>
      </c>
      <c r="AU267" s="15">
        <f t="shared" si="55"/>
        <v>19855.3148</v>
      </c>
      <c r="AV267" s="15">
        <f t="shared" si="56"/>
        <v>20201.6669</v>
      </c>
      <c r="AW267" s="78">
        <f>AJ267*Valores!$C$70</f>
        <v>3694.4224</v>
      </c>
      <c r="AX267" s="78">
        <f>AJ267*Valores!$C$71</f>
        <v>1039.0563</v>
      </c>
      <c r="AY267" s="78">
        <f>AJ267*Valores!$C$73</f>
        <v>230.9014</v>
      </c>
      <c r="AZ267" s="78">
        <f>AJ267*Valores!$C$74</f>
        <v>808.1549000000001</v>
      </c>
      <c r="BA267" s="78">
        <f>AJ267*Valores!$C$75</f>
        <v>138.54084</v>
      </c>
      <c r="BB267" s="78">
        <f t="shared" si="59"/>
        <v>1246.8675600000001</v>
      </c>
      <c r="BC267" s="20"/>
      <c r="BD267" s="20">
        <f t="shared" si="49"/>
        <v>80</v>
      </c>
      <c r="BE267" s="9" t="s">
        <v>462</v>
      </c>
    </row>
    <row r="268" spans="1:57" s="9" customFormat="1" ht="11.25" customHeight="1">
      <c r="A268" s="20">
        <v>267</v>
      </c>
      <c r="B268" s="20"/>
      <c r="C268" s="9" t="s">
        <v>355</v>
      </c>
      <c r="D268" s="9">
        <v>20</v>
      </c>
      <c r="E268" s="9">
        <f t="shared" si="57"/>
        <v>42</v>
      </c>
      <c r="F268" s="10" t="str">
        <f>CONCATENATE("Hora Cátedra Enseñanza Media ",D268," hs Esc Esp")</f>
        <v>Hora Cátedra Enseñanza Media 20 hs Esc Esp</v>
      </c>
      <c r="G268" s="123">
        <f t="shared" si="50"/>
        <v>1580</v>
      </c>
      <c r="H268" s="7">
        <f>INT((G268*Valores!$C$2*100))/100</f>
        <v>9478.9</v>
      </c>
      <c r="I268" s="134">
        <v>0</v>
      </c>
      <c r="J268" s="77">
        <f>INT((I268*Valores!$C$2*100)+0.5)/100</f>
        <v>0</v>
      </c>
      <c r="K268" s="146">
        <v>0</v>
      </c>
      <c r="L268" s="77">
        <f>INT((K268*Valores!$C$2*100)+0.5)/100</f>
        <v>0</v>
      </c>
      <c r="M268" s="120">
        <v>0</v>
      </c>
      <c r="N268" s="77">
        <f>INT((M268*Valores!$C$2*100)+0.5)/100</f>
        <v>0</v>
      </c>
      <c r="O268" s="77">
        <f t="shared" si="51"/>
        <v>0</v>
      </c>
      <c r="P268" s="77">
        <f t="shared" si="52"/>
        <v>5102.55</v>
      </c>
      <c r="Q268" s="61">
        <f>Valores!$C$14*D268</f>
        <v>2750.7999999999997</v>
      </c>
      <c r="R268" s="61">
        <f>IF(D268&lt;15,(Valores!$E$4*D268),Valores!$D$4)</f>
        <v>2683.49</v>
      </c>
      <c r="S268" s="77">
        <v>0</v>
      </c>
      <c r="T268" s="79">
        <f>IF(Valores!$C$45*D268&gt;Valores!$C$43,Valores!$C$43,Valores!$C$45*D268)</f>
        <v>726.2</v>
      </c>
      <c r="U268" s="61">
        <f>Valores!$C$22*D268</f>
        <v>1066</v>
      </c>
      <c r="V268" s="77">
        <f t="shared" si="48"/>
        <v>1599</v>
      </c>
      <c r="W268" s="77">
        <v>0</v>
      </c>
      <c r="X268" s="77">
        <v>0</v>
      </c>
      <c r="Y268" s="37">
        <v>0</v>
      </c>
      <c r="Z268" s="77">
        <f>Y268*Valores!$C$2</f>
        <v>0</v>
      </c>
      <c r="AA268" s="77">
        <v>0</v>
      </c>
      <c r="AB268" s="89">
        <f>IF((Valores!$C$32)*D268&gt;Valores!$F$32,Valores!$F$32,(Valores!$C$32)*D268)</f>
        <v>121.19999999999999</v>
      </c>
      <c r="AC268" s="77">
        <f t="shared" si="53"/>
        <v>0</v>
      </c>
      <c r="AD268" s="77">
        <f>IF(Valores!$C$33*D268&gt;Valores!$F$33,Valores!$F$33,Valores!$C$33*D268)</f>
        <v>100.8</v>
      </c>
      <c r="AE268" s="116">
        <v>94</v>
      </c>
      <c r="AF268" s="77">
        <f>INT(((AE268*Valores!$C$2)*100)+0.5)/100</f>
        <v>563.93</v>
      </c>
      <c r="AG268" s="77">
        <f>IF(Valores!$D$58*'Escala Docente'!D268&gt;Valores!$F$58,Valores!$F$58,Valores!$D$58*'Escala Docente'!D268)</f>
        <v>410</v>
      </c>
      <c r="AH268" s="77">
        <f>IF(Valores!$D$60*D268&gt;Valores!$F$60,Valores!$F$60,Valores!$D$60*D268)</f>
        <v>117.2</v>
      </c>
      <c r="AI268" s="77">
        <f>SUM(H268,J268,L268,N268,O268,P268,Q268,R268,S268,T268,V268,W268,X268,Z268,AA268,AB268,AC268,AD268,AF268,AG268,AH268)*Valores!$C$63</f>
        <v>0</v>
      </c>
      <c r="AJ268" s="140">
        <f t="shared" si="54"/>
        <v>23654.07</v>
      </c>
      <c r="AK268" s="61">
        <f>IF(Valores!$C$36*D268&gt;Valores!$F$36,Valores!$F$36,Valores!$C$36*D268)</f>
        <v>554.2</v>
      </c>
      <c r="AL268" s="79">
        <f>IF(Valores!$C$11*D268&gt;Valores!$F$11,Valores!$F$11,Valores!$C$11*D268)</f>
        <v>195.39999999999998</v>
      </c>
      <c r="AM268" s="89">
        <f>IF(Valores!$C$57*D268&gt;Valores!$F$57,Valores!$F$57,Valores!$C$57*D268)</f>
        <v>171.8</v>
      </c>
      <c r="AN268" s="79">
        <f>IF($H$4="SI",SUM(AL268+AM268),AL268)*Valores!$C$63</f>
        <v>0</v>
      </c>
      <c r="AO268" s="12">
        <f t="shared" si="58"/>
        <v>921.4000000000001</v>
      </c>
      <c r="AP268" s="13">
        <f>AJ268*-Valores!$C$65</f>
        <v>-3075.0291</v>
      </c>
      <c r="AQ268" s="13">
        <f>AJ268*-Valores!$C$66</f>
        <v>-118.27035000000001</v>
      </c>
      <c r="AR268" s="78">
        <f>AJ268*-Valores!$C$67</f>
        <v>-1064.4331499999998</v>
      </c>
      <c r="AS268" s="78">
        <f>AJ268*-Valores!$C$68</f>
        <v>-638.65989</v>
      </c>
      <c r="AT268" s="78">
        <f>AJ268*-Valores!$C$69</f>
        <v>-70.96221</v>
      </c>
      <c r="AU268" s="15">
        <f t="shared" si="55"/>
        <v>20317.7374</v>
      </c>
      <c r="AV268" s="15">
        <f t="shared" si="56"/>
        <v>20672.548450000002</v>
      </c>
      <c r="AW268" s="78">
        <f>AJ268*Valores!$C$70</f>
        <v>3784.6512000000002</v>
      </c>
      <c r="AX268" s="78">
        <f>AJ268*Valores!$C$71</f>
        <v>1064.4331499999998</v>
      </c>
      <c r="AY268" s="78">
        <f>AJ268*Valores!$C$73</f>
        <v>236.54070000000002</v>
      </c>
      <c r="AZ268" s="78">
        <f>AJ268*Valores!$C$74</f>
        <v>827.89245</v>
      </c>
      <c r="BA268" s="78">
        <f>AJ268*Valores!$C$75</f>
        <v>141.92442</v>
      </c>
      <c r="BB268" s="78">
        <f t="shared" si="59"/>
        <v>1277.31978</v>
      </c>
      <c r="BC268" s="20"/>
      <c r="BD268" s="20">
        <f t="shared" si="49"/>
        <v>80</v>
      </c>
      <c r="BE268" s="9" t="s">
        <v>462</v>
      </c>
    </row>
    <row r="269" spans="1:57" s="9" customFormat="1" ht="11.25" customHeight="1">
      <c r="A269" s="20">
        <v>268</v>
      </c>
      <c r="B269" s="20"/>
      <c r="C269" s="9" t="s">
        <v>355</v>
      </c>
      <c r="D269" s="9">
        <v>21</v>
      </c>
      <c r="E269" s="9">
        <f t="shared" si="57"/>
        <v>34</v>
      </c>
      <c r="F269" s="10" t="str">
        <f>CONCATENATE("Hora Cátedra Enseñanza Media ",D269," hs")</f>
        <v>Hora Cátedra Enseñanza Media 21 hs</v>
      </c>
      <c r="G269" s="123">
        <f t="shared" si="50"/>
        <v>1659</v>
      </c>
      <c r="H269" s="7">
        <f>INT((G269*Valores!$C$2*100))/100</f>
        <v>9952.84</v>
      </c>
      <c r="I269" s="134">
        <v>0</v>
      </c>
      <c r="J269" s="77">
        <f>INT((I269*Valores!$C$2*100)+0.5)/100</f>
        <v>0</v>
      </c>
      <c r="K269" s="146">
        <v>0</v>
      </c>
      <c r="L269" s="77">
        <f>INT((K269*Valores!$C$2*100)+0.5)/100</f>
        <v>0</v>
      </c>
      <c r="M269" s="120">
        <v>0</v>
      </c>
      <c r="N269" s="77">
        <f>INT((M269*Valores!$C$2*100)+0.5)/100</f>
        <v>0</v>
      </c>
      <c r="O269" s="77">
        <f t="shared" si="51"/>
        <v>0</v>
      </c>
      <c r="P269" s="77">
        <f t="shared" si="52"/>
        <v>5357.675</v>
      </c>
      <c r="Q269" s="61">
        <f>Valores!$C$14*D269</f>
        <v>2888.3399999999997</v>
      </c>
      <c r="R269" s="61">
        <f>IF(D269&lt;15,(Valores!$E$4*D269),Valores!$D$4)</f>
        <v>2683.49</v>
      </c>
      <c r="S269" s="77">
        <v>0</v>
      </c>
      <c r="T269" s="79">
        <f>IF(Valores!$C$45*D269&gt;Valores!$C$43,Valores!$C$43,Valores!$C$45*D269)</f>
        <v>762.51</v>
      </c>
      <c r="U269" s="61">
        <f>Valores!$C$22*D269</f>
        <v>1119.3</v>
      </c>
      <c r="V269" s="77">
        <f t="shared" si="48"/>
        <v>1678.9499999999998</v>
      </c>
      <c r="W269" s="77">
        <v>0</v>
      </c>
      <c r="X269" s="77">
        <v>0</v>
      </c>
      <c r="Y269" s="37">
        <v>0</v>
      </c>
      <c r="Z269" s="77">
        <f>Y269*Valores!$C$2</f>
        <v>0</v>
      </c>
      <c r="AA269" s="77">
        <v>0</v>
      </c>
      <c r="AB269" s="89">
        <f>IF((Valores!$C$32)*D269&gt;Valores!$F$32,Valores!$F$32,(Valores!$C$32)*D269)</f>
        <v>127.25999999999999</v>
      </c>
      <c r="AC269" s="77">
        <f t="shared" si="53"/>
        <v>0</v>
      </c>
      <c r="AD269" s="77">
        <f>IF(Valores!$C$33*D269&gt;Valores!$F$33,Valores!$F$33,Valores!$C$33*D269)</f>
        <v>105.84</v>
      </c>
      <c r="AE269" s="116">
        <v>0</v>
      </c>
      <c r="AF269" s="77">
        <f>INT(((AE269*Valores!$C$2)*100)+0.5)/100</f>
        <v>0</v>
      </c>
      <c r="AG269" s="77">
        <f>IF(Valores!$D$58*'Escala Docente'!D269&gt;Valores!$F$58,Valores!$F$58,Valores!$D$58*'Escala Docente'!D269)</f>
        <v>430.5</v>
      </c>
      <c r="AH269" s="77">
        <f>IF(Valores!$D$60*D269&gt;Valores!$F$60,Valores!$F$60,Valores!$D$60*D269)</f>
        <v>123.06</v>
      </c>
      <c r="AI269" s="77">
        <f>SUM(H269,J269,L269,N269,O269,P269,Q269,R269,S269,T269,V269,W269,X269,Z269,AA269,AB269,AC269,AD269,AF269,AG269,AH269)*Valores!$C$63</f>
        <v>0</v>
      </c>
      <c r="AJ269" s="140">
        <f t="shared" si="54"/>
        <v>24110.465</v>
      </c>
      <c r="AK269" s="61">
        <f>IF(Valores!$C$36*D269&gt;Valores!$F$36,Valores!$F$36,Valores!$C$36*D269)</f>
        <v>581.91</v>
      </c>
      <c r="AL269" s="79">
        <f>IF(Valores!$C$11*D269&gt;Valores!$F$11,Valores!$F$11,Valores!$C$11*D269)</f>
        <v>205.17</v>
      </c>
      <c r="AM269" s="89">
        <f>IF(Valores!$C$57*D269&gt;Valores!$F$57,Valores!$F$57,Valores!$C$57*D269)</f>
        <v>180.39</v>
      </c>
      <c r="AN269" s="79">
        <f>IF($H$4="SI",SUM(AL269+AM269),AL269)*Valores!$C$63</f>
        <v>0</v>
      </c>
      <c r="AO269" s="12">
        <f t="shared" si="58"/>
        <v>967.4699999999999</v>
      </c>
      <c r="AP269" s="13">
        <f>AJ269*-Valores!$C$65</f>
        <v>-3134.36045</v>
      </c>
      <c r="AQ269" s="13">
        <f>AJ269*-Valores!$C$66</f>
        <v>-120.552325</v>
      </c>
      <c r="AR269" s="78">
        <f>AJ269*-Valores!$C$67</f>
        <v>-1084.970925</v>
      </c>
      <c r="AS269" s="78">
        <f>AJ269*-Valores!$C$68</f>
        <v>-650.982555</v>
      </c>
      <c r="AT269" s="78">
        <f>AJ269*-Valores!$C$69</f>
        <v>-72.331395</v>
      </c>
      <c r="AU269" s="15">
        <f t="shared" si="55"/>
        <v>20738.0513</v>
      </c>
      <c r="AV269" s="15">
        <f t="shared" si="56"/>
        <v>21099.708275</v>
      </c>
      <c r="AW269" s="78">
        <f>AJ269*Valores!$C$70</f>
        <v>3857.6744</v>
      </c>
      <c r="AX269" s="78">
        <f>AJ269*Valores!$C$71</f>
        <v>1084.970925</v>
      </c>
      <c r="AY269" s="78">
        <f>AJ269*Valores!$C$73</f>
        <v>241.10465</v>
      </c>
      <c r="AZ269" s="78">
        <f>AJ269*Valores!$C$74</f>
        <v>843.8662750000001</v>
      </c>
      <c r="BA269" s="78">
        <f>AJ269*Valores!$C$75</f>
        <v>144.66279</v>
      </c>
      <c r="BB269" s="78">
        <f t="shared" si="59"/>
        <v>1301.96511</v>
      </c>
      <c r="BC269" s="20"/>
      <c r="BD269" s="55">
        <f t="shared" si="49"/>
        <v>84</v>
      </c>
      <c r="BE269" s="9" t="s">
        <v>462</v>
      </c>
    </row>
    <row r="270" spans="1:57" s="9" customFormat="1" ht="11.25" customHeight="1">
      <c r="A270" s="20">
        <v>269</v>
      </c>
      <c r="B270" s="20"/>
      <c r="C270" s="9" t="s">
        <v>355</v>
      </c>
      <c r="D270" s="9">
        <v>21</v>
      </c>
      <c r="E270" s="9">
        <f t="shared" si="57"/>
        <v>42</v>
      </c>
      <c r="F270" s="10" t="str">
        <f>CONCATENATE("Hora Cátedra Enseñanza Media ",D270," hs Esc Esp")</f>
        <v>Hora Cátedra Enseñanza Media 21 hs Esc Esp</v>
      </c>
      <c r="G270" s="123">
        <f t="shared" si="50"/>
        <v>1659</v>
      </c>
      <c r="H270" s="7">
        <f>INT((G270*Valores!$C$2*100))/100</f>
        <v>9952.84</v>
      </c>
      <c r="I270" s="134">
        <v>0</v>
      </c>
      <c r="J270" s="77">
        <f>INT((I270*Valores!$C$2*100)+0.5)/100</f>
        <v>0</v>
      </c>
      <c r="K270" s="146">
        <v>0</v>
      </c>
      <c r="L270" s="77">
        <f>INT((K270*Valores!$C$2*100)+0.5)/100</f>
        <v>0</v>
      </c>
      <c r="M270" s="120">
        <v>0</v>
      </c>
      <c r="N270" s="77">
        <f>INT((M270*Valores!$C$2*100)+0.5)/100</f>
        <v>0</v>
      </c>
      <c r="O270" s="77">
        <f t="shared" si="51"/>
        <v>0</v>
      </c>
      <c r="P270" s="77">
        <f t="shared" si="52"/>
        <v>5357.675</v>
      </c>
      <c r="Q270" s="61">
        <f>Valores!$C$14*D270</f>
        <v>2888.3399999999997</v>
      </c>
      <c r="R270" s="61">
        <f>IF(D270&lt;15,(Valores!$E$4*D270),Valores!$D$4)</f>
        <v>2683.49</v>
      </c>
      <c r="S270" s="77">
        <v>0</v>
      </c>
      <c r="T270" s="79">
        <f>IF(Valores!$C$45*D270&gt;Valores!$C$43,Valores!$C$43,Valores!$C$45*D270)</f>
        <v>762.51</v>
      </c>
      <c r="U270" s="61">
        <f>Valores!$C$22*D270</f>
        <v>1119.3</v>
      </c>
      <c r="V270" s="77">
        <f t="shared" si="48"/>
        <v>1678.9499999999998</v>
      </c>
      <c r="W270" s="77">
        <v>0</v>
      </c>
      <c r="X270" s="77">
        <v>0</v>
      </c>
      <c r="Y270" s="37">
        <v>0</v>
      </c>
      <c r="Z270" s="77">
        <f>Y270*Valores!$C$2</f>
        <v>0</v>
      </c>
      <c r="AA270" s="77">
        <v>0</v>
      </c>
      <c r="AB270" s="89">
        <f>IF((Valores!$C$32)*D270&gt;Valores!$F$32,Valores!$F$32,(Valores!$C$32)*D270)</f>
        <v>127.25999999999999</v>
      </c>
      <c r="AC270" s="77">
        <f t="shared" si="53"/>
        <v>0</v>
      </c>
      <c r="AD270" s="77">
        <f>IF(Valores!$C$33*D270&gt;Valores!$F$33,Valores!$F$33,Valores!$C$33*D270)</f>
        <v>105.84</v>
      </c>
      <c r="AE270" s="116">
        <v>94</v>
      </c>
      <c r="AF270" s="77">
        <f>INT(((AE270*Valores!$C$2)*100)+0.5)/100</f>
        <v>563.93</v>
      </c>
      <c r="AG270" s="77">
        <f>IF(Valores!$D$58*'Escala Docente'!D270&gt;Valores!$F$58,Valores!$F$58,Valores!$D$58*'Escala Docente'!D270)</f>
        <v>430.5</v>
      </c>
      <c r="AH270" s="77">
        <f>IF(Valores!$D$60*D270&gt;Valores!$F$60,Valores!$F$60,Valores!$D$60*D270)</f>
        <v>123.06</v>
      </c>
      <c r="AI270" s="77">
        <f>SUM(H270,J270,L270,N270,O270,P270,Q270,R270,S270,T270,V270,W270,X270,Z270,AA270,AB270,AC270,AD270,AF270,AG270,AH270)*Valores!$C$63</f>
        <v>0</v>
      </c>
      <c r="AJ270" s="140">
        <f t="shared" si="54"/>
        <v>24674.395</v>
      </c>
      <c r="AK270" s="61">
        <f>IF(Valores!$C$36*D270&gt;Valores!$F$36,Valores!$F$36,Valores!$C$36*D270)</f>
        <v>581.91</v>
      </c>
      <c r="AL270" s="79">
        <f>IF(Valores!$C$11*D270&gt;Valores!$F$11,Valores!$F$11,Valores!$C$11*D270)</f>
        <v>205.17</v>
      </c>
      <c r="AM270" s="89">
        <f>IF(Valores!$C$57*D270&gt;Valores!$F$57,Valores!$F$57,Valores!$C$57*D270)</f>
        <v>180.39</v>
      </c>
      <c r="AN270" s="79">
        <f>IF($H$4="SI",SUM(AL270+AM270),AL270)*Valores!$C$63</f>
        <v>0</v>
      </c>
      <c r="AO270" s="12">
        <f t="shared" si="58"/>
        <v>967.4699999999999</v>
      </c>
      <c r="AP270" s="13">
        <f>AJ270*-Valores!$C$65</f>
        <v>-3207.67135</v>
      </c>
      <c r="AQ270" s="13">
        <f>AJ270*-Valores!$C$66</f>
        <v>-123.371975</v>
      </c>
      <c r="AR270" s="78">
        <f>AJ270*-Valores!$C$67</f>
        <v>-1110.347775</v>
      </c>
      <c r="AS270" s="78">
        <f>AJ270*-Valores!$C$68</f>
        <v>-666.2086650000001</v>
      </c>
      <c r="AT270" s="78">
        <f>AJ270*-Valores!$C$69</f>
        <v>-74.023185</v>
      </c>
      <c r="AU270" s="15">
        <f t="shared" si="55"/>
        <v>21200.473900000005</v>
      </c>
      <c r="AV270" s="15">
        <f t="shared" si="56"/>
        <v>21570.589825000006</v>
      </c>
      <c r="AW270" s="78">
        <f>AJ270*Valores!$C$70</f>
        <v>3947.9032</v>
      </c>
      <c r="AX270" s="78">
        <f>AJ270*Valores!$C$71</f>
        <v>1110.347775</v>
      </c>
      <c r="AY270" s="78">
        <f>AJ270*Valores!$C$73</f>
        <v>246.74395</v>
      </c>
      <c r="AZ270" s="78">
        <f>AJ270*Valores!$C$74</f>
        <v>863.6038250000001</v>
      </c>
      <c r="BA270" s="78">
        <f>AJ270*Valores!$C$75</f>
        <v>148.04637</v>
      </c>
      <c r="BB270" s="78">
        <f t="shared" si="59"/>
        <v>1332.41733</v>
      </c>
      <c r="BC270" s="20"/>
      <c r="BD270" s="20">
        <f t="shared" si="49"/>
        <v>84</v>
      </c>
      <c r="BE270" s="9" t="s">
        <v>462</v>
      </c>
    </row>
    <row r="271" spans="1:57" s="9" customFormat="1" ht="11.25" customHeight="1">
      <c r="A271" s="55">
        <v>270</v>
      </c>
      <c r="B271" s="55" t="s">
        <v>458</v>
      </c>
      <c r="C271" s="52" t="s">
        <v>355</v>
      </c>
      <c r="D271" s="52">
        <v>22</v>
      </c>
      <c r="E271" s="52">
        <f t="shared" si="57"/>
        <v>34</v>
      </c>
      <c r="F271" s="53" t="str">
        <f>CONCATENATE("Hora Cátedra Enseñanza Media ",D271," hs")</f>
        <v>Hora Cátedra Enseñanza Media 22 hs</v>
      </c>
      <c r="G271" s="124">
        <f t="shared" si="50"/>
        <v>1738</v>
      </c>
      <c r="H271" s="129">
        <f>INT((G271*Valores!$C$2*100))/100</f>
        <v>10426.79</v>
      </c>
      <c r="I271" s="133">
        <v>0</v>
      </c>
      <c r="J271" s="80">
        <f>INT((I271*Valores!$C$2*100)+0.5)/100</f>
        <v>0</v>
      </c>
      <c r="K271" s="147">
        <v>0</v>
      </c>
      <c r="L271" s="80">
        <f>INT((K271*Valores!$C$2*100)+0.5)/100</f>
        <v>0</v>
      </c>
      <c r="M271" s="121">
        <v>0</v>
      </c>
      <c r="N271" s="80">
        <f>INT((M271*Valores!$C$2*100)+0.5)/100</f>
        <v>0</v>
      </c>
      <c r="O271" s="80">
        <f t="shared" si="51"/>
        <v>0</v>
      </c>
      <c r="P271" s="80">
        <f t="shared" si="52"/>
        <v>5612.805</v>
      </c>
      <c r="Q271" s="85">
        <f>Valores!$C$14*D271</f>
        <v>3025.8799999999997</v>
      </c>
      <c r="R271" s="85">
        <f>IF(D271&lt;15,(Valores!$E$4*D271),Valores!$D$4)</f>
        <v>2683.49</v>
      </c>
      <c r="S271" s="80">
        <v>0</v>
      </c>
      <c r="T271" s="82">
        <f>IF(Valores!$C$45*D271&gt;Valores!$C$43,Valores!$C$43,Valores!$C$45*D271)</f>
        <v>798.82</v>
      </c>
      <c r="U271" s="85">
        <f>Valores!$C$22*D271</f>
        <v>1172.6</v>
      </c>
      <c r="V271" s="80">
        <f t="shared" si="48"/>
        <v>1758.8999999999999</v>
      </c>
      <c r="W271" s="80">
        <v>0</v>
      </c>
      <c r="X271" s="80">
        <v>0</v>
      </c>
      <c r="Y271" s="60">
        <v>0</v>
      </c>
      <c r="Z271" s="80">
        <f>Y271*Valores!$C$2</f>
        <v>0</v>
      </c>
      <c r="AA271" s="80">
        <v>0</v>
      </c>
      <c r="AB271" s="90">
        <f>IF((Valores!$C$32)*D271&gt;Valores!$F$32,Valores!$F$32,(Valores!$C$32)*D271)</f>
        <v>133.32</v>
      </c>
      <c r="AC271" s="80">
        <f t="shared" si="53"/>
        <v>0</v>
      </c>
      <c r="AD271" s="80">
        <f>IF(Valores!$C$33*D271&gt;Valores!$F$33,Valores!$F$33,Valores!$C$33*D271)</f>
        <v>110.88</v>
      </c>
      <c r="AE271" s="115">
        <v>0</v>
      </c>
      <c r="AF271" s="80">
        <f>INT(((AE271*Valores!$C$2)*100)+0.5)/100</f>
        <v>0</v>
      </c>
      <c r="AG271" s="80">
        <f>IF(Valores!$D$58*'Escala Docente'!D271&gt;Valores!$F$58,Valores!$F$58,Valores!$D$58*'Escala Docente'!D271)</f>
        <v>451</v>
      </c>
      <c r="AH271" s="80">
        <f>IF(Valores!$D$60*D271&gt;Valores!$F$60,Valores!$F$60,Valores!$D$60*D271)</f>
        <v>128.92000000000002</v>
      </c>
      <c r="AI271" s="80">
        <f>SUM(H271,J271,L271,N271,O271,P271,Q271,R271,S271,T271,V271,W271,X271,Z271,AA271,AB271,AC271,AD271,AF271,AG271,AH271)*Valores!$C$63</f>
        <v>0</v>
      </c>
      <c r="AJ271" s="141">
        <f t="shared" si="54"/>
        <v>25130.805000000004</v>
      </c>
      <c r="AK271" s="85">
        <f>IF(Valores!$C$36*D271&gt;Valores!$F$36,Valores!$F$36,Valores!$C$36*D271)</f>
        <v>609.62</v>
      </c>
      <c r="AL271" s="82">
        <f>IF(Valores!$C$11*D271&gt;Valores!$F$11,Valores!$F$11,Valores!$C$11*D271)</f>
        <v>214.94</v>
      </c>
      <c r="AM271" s="90">
        <f>IF(Valores!$C$57*D271&gt;Valores!$F$57,Valores!$F$57,Valores!$C$57*D271)</f>
        <v>188.98</v>
      </c>
      <c r="AN271" s="82">
        <f>IF($H$4="SI",SUM(AL271+AM271),AL271)*Valores!$C$63</f>
        <v>0</v>
      </c>
      <c r="AO271" s="185">
        <f t="shared" si="58"/>
        <v>1013.54</v>
      </c>
      <c r="AP271" s="154">
        <f>AJ271*-Valores!$C$65</f>
        <v>-3267.0046500000008</v>
      </c>
      <c r="AQ271" s="154">
        <f>AJ271*-Valores!$C$66</f>
        <v>-125.65402500000002</v>
      </c>
      <c r="AR271" s="81">
        <f>AJ271*-Valores!$C$67</f>
        <v>-1130.8862250000002</v>
      </c>
      <c r="AS271" s="81">
        <f>AJ271*-Valores!$C$68</f>
        <v>-678.5317350000001</v>
      </c>
      <c r="AT271" s="81">
        <f>AJ271*-Valores!$C$69</f>
        <v>-75.39241500000001</v>
      </c>
      <c r="AU271" s="54">
        <f t="shared" si="55"/>
        <v>21620.8001</v>
      </c>
      <c r="AV271" s="54">
        <f t="shared" si="56"/>
        <v>21997.762175000007</v>
      </c>
      <c r="AW271" s="81">
        <f>AJ271*Valores!$C$70</f>
        <v>4020.9288000000006</v>
      </c>
      <c r="AX271" s="81">
        <f>AJ271*Valores!$C$71</f>
        <v>1130.8862250000002</v>
      </c>
      <c r="AY271" s="81">
        <f>AJ271*Valores!$C$73</f>
        <v>251.30805000000004</v>
      </c>
      <c r="AZ271" s="81">
        <f>AJ271*Valores!$C$74</f>
        <v>879.5781750000002</v>
      </c>
      <c r="BA271" s="81">
        <f>AJ271*Valores!$C$75</f>
        <v>150.78483000000003</v>
      </c>
      <c r="BB271" s="81">
        <f t="shared" si="59"/>
        <v>1357.0634700000003</v>
      </c>
      <c r="BC271" s="55"/>
      <c r="BD271" s="55">
        <f t="shared" si="49"/>
        <v>88</v>
      </c>
      <c r="BE271" s="52" t="s">
        <v>462</v>
      </c>
    </row>
    <row r="272" spans="1:57" s="9" customFormat="1" ht="11.25" customHeight="1">
      <c r="A272" s="20">
        <v>271</v>
      </c>
      <c r="B272" s="20"/>
      <c r="C272" s="9" t="s">
        <v>355</v>
      </c>
      <c r="D272" s="9">
        <v>22</v>
      </c>
      <c r="E272" s="9">
        <f t="shared" si="57"/>
        <v>42</v>
      </c>
      <c r="F272" s="10" t="str">
        <f>CONCATENATE("Hora Cátedra Enseñanza Media ",D272," hs Esc Esp")</f>
        <v>Hora Cátedra Enseñanza Media 22 hs Esc Esp</v>
      </c>
      <c r="G272" s="123">
        <f t="shared" si="50"/>
        <v>1738</v>
      </c>
      <c r="H272" s="7">
        <f>INT((G272*Valores!$C$2*100))/100</f>
        <v>10426.79</v>
      </c>
      <c r="I272" s="134">
        <v>0</v>
      </c>
      <c r="J272" s="77">
        <f>INT((I272*Valores!$C$2*100)+0.5)/100</f>
        <v>0</v>
      </c>
      <c r="K272" s="146">
        <v>0</v>
      </c>
      <c r="L272" s="77">
        <f>INT((K272*Valores!$C$2*100)+0.5)/100</f>
        <v>0</v>
      </c>
      <c r="M272" s="120">
        <v>0</v>
      </c>
      <c r="N272" s="77">
        <f>INT((M272*Valores!$C$2*100)+0.5)/100</f>
        <v>0</v>
      </c>
      <c r="O272" s="77">
        <f t="shared" si="51"/>
        <v>0</v>
      </c>
      <c r="P272" s="77">
        <f t="shared" si="52"/>
        <v>5612.805</v>
      </c>
      <c r="Q272" s="61">
        <f>Valores!$C$14*D272</f>
        <v>3025.8799999999997</v>
      </c>
      <c r="R272" s="61">
        <f>IF(D272&lt;15,(Valores!$E$4*D272),Valores!$D$4)</f>
        <v>2683.49</v>
      </c>
      <c r="S272" s="77">
        <v>0</v>
      </c>
      <c r="T272" s="79">
        <f>IF(Valores!$C$45*D272&gt;Valores!$C$43,Valores!$C$43,Valores!$C$45*D272)</f>
        <v>798.82</v>
      </c>
      <c r="U272" s="61">
        <f>Valores!$C$22*D272</f>
        <v>1172.6</v>
      </c>
      <c r="V272" s="77">
        <f t="shared" si="48"/>
        <v>1758.8999999999999</v>
      </c>
      <c r="W272" s="77">
        <v>0</v>
      </c>
      <c r="X272" s="77">
        <v>0</v>
      </c>
      <c r="Y272" s="37">
        <v>0</v>
      </c>
      <c r="Z272" s="77">
        <f>Y272*Valores!$C$2</f>
        <v>0</v>
      </c>
      <c r="AA272" s="77">
        <v>0</v>
      </c>
      <c r="AB272" s="89">
        <f>IF((Valores!$C$32)*D272&gt;Valores!$F$32,Valores!$F$32,(Valores!$C$32)*D272)</f>
        <v>133.32</v>
      </c>
      <c r="AC272" s="77">
        <f t="shared" si="53"/>
        <v>0</v>
      </c>
      <c r="AD272" s="77">
        <f>IF(Valores!$C$33*D272&gt;Valores!$F$33,Valores!$F$33,Valores!$C$33*D272)</f>
        <v>110.88</v>
      </c>
      <c r="AE272" s="116">
        <v>94</v>
      </c>
      <c r="AF272" s="77">
        <f>INT(((AE272*Valores!$C$2)*100)+0.5)/100</f>
        <v>563.93</v>
      </c>
      <c r="AG272" s="77">
        <f>IF(Valores!$D$58*'Escala Docente'!D272&gt;Valores!$F$58,Valores!$F$58,Valores!$D$58*'Escala Docente'!D272)</f>
        <v>451</v>
      </c>
      <c r="AH272" s="77">
        <f>IF(Valores!$D$60*D272&gt;Valores!$F$60,Valores!$F$60,Valores!$D$60*D272)</f>
        <v>128.92000000000002</v>
      </c>
      <c r="AI272" s="77">
        <f>SUM(H272,J272,L272,N272,O272,P272,Q272,R272,S272,T272,V272,W272,X272,Z272,AA272,AB272,AC272,AD272,AF272,AG272,AH272)*Valores!$C$63</f>
        <v>0</v>
      </c>
      <c r="AJ272" s="140">
        <f t="shared" si="54"/>
        <v>25694.735000000004</v>
      </c>
      <c r="AK272" s="61">
        <f>IF(Valores!$C$36*D272&gt;Valores!$F$36,Valores!$F$36,Valores!$C$36*D272)</f>
        <v>609.62</v>
      </c>
      <c r="AL272" s="79">
        <f>IF(Valores!$C$11*D272&gt;Valores!$F$11,Valores!$F$11,Valores!$C$11*D272)</f>
        <v>214.94</v>
      </c>
      <c r="AM272" s="89">
        <f>IF(Valores!$C$57*D272&gt;Valores!$F$57,Valores!$F$57,Valores!$C$57*D272)</f>
        <v>188.98</v>
      </c>
      <c r="AN272" s="79">
        <f>IF($H$4="SI",SUM(AL272+AM272),AL272)*Valores!$C$63</f>
        <v>0</v>
      </c>
      <c r="AO272" s="12">
        <f t="shared" si="58"/>
        <v>1013.54</v>
      </c>
      <c r="AP272" s="13">
        <f>AJ272*-Valores!$C$65</f>
        <v>-3340.3155500000007</v>
      </c>
      <c r="AQ272" s="13">
        <f>AJ272*-Valores!$C$66</f>
        <v>-128.47367500000001</v>
      </c>
      <c r="AR272" s="78">
        <f>AJ272*-Valores!$C$67</f>
        <v>-1156.263075</v>
      </c>
      <c r="AS272" s="78">
        <f>AJ272*-Valores!$C$68</f>
        <v>-693.7578450000002</v>
      </c>
      <c r="AT272" s="78">
        <f>AJ272*-Valores!$C$69</f>
        <v>-77.08420500000001</v>
      </c>
      <c r="AU272" s="15">
        <f t="shared" si="55"/>
        <v>22083.222700000006</v>
      </c>
      <c r="AV272" s="15">
        <f t="shared" si="56"/>
        <v>22468.643725000005</v>
      </c>
      <c r="AW272" s="78">
        <f>AJ272*Valores!$C$70</f>
        <v>4111.1576000000005</v>
      </c>
      <c r="AX272" s="78">
        <f>AJ272*Valores!$C$71</f>
        <v>1156.263075</v>
      </c>
      <c r="AY272" s="78">
        <f>AJ272*Valores!$C$73</f>
        <v>256.94735000000003</v>
      </c>
      <c r="AZ272" s="78">
        <f>AJ272*Valores!$C$74</f>
        <v>899.3157250000003</v>
      </c>
      <c r="BA272" s="78">
        <f>AJ272*Valores!$C$75</f>
        <v>154.16841000000002</v>
      </c>
      <c r="BB272" s="78">
        <f t="shared" si="59"/>
        <v>1387.5156900000002</v>
      </c>
      <c r="BC272" s="20"/>
      <c r="BD272" s="20">
        <f t="shared" si="49"/>
        <v>88</v>
      </c>
      <c r="BE272" s="9" t="s">
        <v>462</v>
      </c>
    </row>
    <row r="273" spans="1:57" s="9" customFormat="1" ht="11.25" customHeight="1">
      <c r="A273" s="20">
        <v>272</v>
      </c>
      <c r="B273" s="20"/>
      <c r="C273" s="9" t="s">
        <v>355</v>
      </c>
      <c r="D273" s="9">
        <v>23</v>
      </c>
      <c r="E273" s="9">
        <f t="shared" si="57"/>
        <v>34</v>
      </c>
      <c r="F273" s="10" t="str">
        <f>CONCATENATE("Hora Cátedra Enseñanza Media ",D273," hs")</f>
        <v>Hora Cátedra Enseñanza Media 23 hs</v>
      </c>
      <c r="G273" s="123">
        <f t="shared" si="50"/>
        <v>1817</v>
      </c>
      <c r="H273" s="7">
        <f>INT((G273*Valores!$C$2*100))/100</f>
        <v>10900.73</v>
      </c>
      <c r="I273" s="134">
        <v>0</v>
      </c>
      <c r="J273" s="77">
        <f>INT((I273*Valores!$C$2*100)+0.5)/100</f>
        <v>0</v>
      </c>
      <c r="K273" s="146">
        <v>0</v>
      </c>
      <c r="L273" s="77">
        <f>INT((K273*Valores!$C$2*100)+0.5)/100</f>
        <v>0</v>
      </c>
      <c r="M273" s="120">
        <v>0</v>
      </c>
      <c r="N273" s="77">
        <f>INT((M273*Valores!$C$2*100)+0.5)/100</f>
        <v>0</v>
      </c>
      <c r="O273" s="77">
        <f t="shared" si="51"/>
        <v>0</v>
      </c>
      <c r="P273" s="77">
        <f t="shared" si="52"/>
        <v>5867.93</v>
      </c>
      <c r="Q273" s="61">
        <f>Valores!$C$14*D273</f>
        <v>3163.4199999999996</v>
      </c>
      <c r="R273" s="61">
        <f>IF(D273&lt;15,(Valores!$E$4*D273),Valores!$D$4)</f>
        <v>2683.49</v>
      </c>
      <c r="S273" s="77">
        <v>0</v>
      </c>
      <c r="T273" s="79">
        <f>IF(Valores!$C$45*D273&gt;Valores!$C$43,Valores!$C$43,Valores!$C$45*D273)</f>
        <v>835.1300000000001</v>
      </c>
      <c r="U273" s="61">
        <f>Valores!$C$22*D273</f>
        <v>1225.8999999999999</v>
      </c>
      <c r="V273" s="77">
        <f t="shared" si="48"/>
        <v>1838.85</v>
      </c>
      <c r="W273" s="77">
        <v>0</v>
      </c>
      <c r="X273" s="77">
        <v>0</v>
      </c>
      <c r="Y273" s="37">
        <v>0</v>
      </c>
      <c r="Z273" s="77">
        <f>Y273*Valores!$C$2</f>
        <v>0</v>
      </c>
      <c r="AA273" s="77">
        <v>0</v>
      </c>
      <c r="AB273" s="89">
        <f>IF((Valores!$C$32)*D273&gt;Valores!$F$32,Valores!$F$32,(Valores!$C$32)*D273)</f>
        <v>139.38</v>
      </c>
      <c r="AC273" s="77">
        <f t="shared" si="53"/>
        <v>0</v>
      </c>
      <c r="AD273" s="77">
        <f>IF(Valores!$C$33*D273&gt;Valores!$F$33,Valores!$F$33,Valores!$C$33*D273)</f>
        <v>115.92</v>
      </c>
      <c r="AE273" s="116">
        <v>0</v>
      </c>
      <c r="AF273" s="77">
        <f>INT(((AE273*Valores!$C$2)*100)+0.5)/100</f>
        <v>0</v>
      </c>
      <c r="AG273" s="77">
        <f>IF(Valores!$D$58*'Escala Docente'!D273&gt;Valores!$F$58,Valores!$F$58,Valores!$D$58*'Escala Docente'!D273)</f>
        <v>471.5</v>
      </c>
      <c r="AH273" s="77">
        <f>IF(Valores!$D$60*D273&gt;Valores!$F$60,Valores!$F$60,Valores!$D$60*D273)</f>
        <v>134.78</v>
      </c>
      <c r="AI273" s="77">
        <f>SUM(H273,J273,L273,N273,O273,P273,Q273,R273,S273,T273,V273,W273,X273,Z273,AA273,AB273,AC273,AD273,AF273,AG273,AH273)*Valores!$C$63</f>
        <v>0</v>
      </c>
      <c r="AJ273" s="140">
        <f t="shared" si="54"/>
        <v>26151.129999999997</v>
      </c>
      <c r="AK273" s="61">
        <f>IF(Valores!$C$36*D273&gt;Valores!$F$36,Valores!$F$36,Valores!$C$36*D273)</f>
        <v>637.33</v>
      </c>
      <c r="AL273" s="79">
        <f>IF(Valores!$C$11*D273&gt;Valores!$F$11,Valores!$F$11,Valores!$C$11*D273)</f>
        <v>224.70999999999998</v>
      </c>
      <c r="AM273" s="89">
        <f>IF(Valores!$C$57*D273&gt;Valores!$F$57,Valores!$F$57,Valores!$C$57*D273)</f>
        <v>197.57</v>
      </c>
      <c r="AN273" s="79">
        <f>IF($H$4="SI",SUM(AL273+AM273),AL273)*Valores!$C$63</f>
        <v>0</v>
      </c>
      <c r="AO273" s="12">
        <f t="shared" si="58"/>
        <v>1059.61</v>
      </c>
      <c r="AP273" s="13">
        <f>AJ273*-Valores!$C$65</f>
        <v>-3399.6468999999997</v>
      </c>
      <c r="AQ273" s="13">
        <f>AJ273*-Valores!$C$66</f>
        <v>-130.75565</v>
      </c>
      <c r="AR273" s="78">
        <f>AJ273*-Valores!$C$67</f>
        <v>-1176.8008499999999</v>
      </c>
      <c r="AS273" s="78">
        <f>AJ273*-Valores!$C$68</f>
        <v>-706.08051</v>
      </c>
      <c r="AT273" s="78">
        <f>AJ273*-Valores!$C$69</f>
        <v>-78.45339</v>
      </c>
      <c r="AU273" s="15">
        <f t="shared" si="55"/>
        <v>22503.5366</v>
      </c>
      <c r="AV273" s="15">
        <f t="shared" si="56"/>
        <v>22895.80355</v>
      </c>
      <c r="AW273" s="78">
        <f>AJ273*Valores!$C$70</f>
        <v>4184.1808</v>
      </c>
      <c r="AX273" s="78">
        <f>AJ273*Valores!$C$71</f>
        <v>1176.8008499999999</v>
      </c>
      <c r="AY273" s="78">
        <f>AJ273*Valores!$C$73</f>
        <v>261.5113</v>
      </c>
      <c r="AZ273" s="78">
        <f>AJ273*Valores!$C$74</f>
        <v>915.28955</v>
      </c>
      <c r="BA273" s="78">
        <f>AJ273*Valores!$C$75</f>
        <v>156.90678</v>
      </c>
      <c r="BB273" s="78">
        <f t="shared" si="59"/>
        <v>1412.1610199999998</v>
      </c>
      <c r="BC273" s="20"/>
      <c r="BD273" s="20">
        <f t="shared" si="49"/>
        <v>92</v>
      </c>
      <c r="BE273" s="9" t="s">
        <v>462</v>
      </c>
    </row>
    <row r="274" spans="1:57" s="9" customFormat="1" ht="11.25" customHeight="1">
      <c r="A274" s="20">
        <v>273</v>
      </c>
      <c r="B274" s="20"/>
      <c r="C274" s="9" t="s">
        <v>355</v>
      </c>
      <c r="D274" s="9">
        <v>23</v>
      </c>
      <c r="E274" s="9">
        <f t="shared" si="57"/>
        <v>42</v>
      </c>
      <c r="F274" s="10" t="str">
        <f>CONCATENATE("Hora Cátedra Enseñanza Media ",D274," hs Esc Esp")</f>
        <v>Hora Cátedra Enseñanza Media 23 hs Esc Esp</v>
      </c>
      <c r="G274" s="123">
        <f t="shared" si="50"/>
        <v>1817</v>
      </c>
      <c r="H274" s="7">
        <f>INT((G274*Valores!$C$2*100))/100</f>
        <v>10900.73</v>
      </c>
      <c r="I274" s="134">
        <v>0</v>
      </c>
      <c r="J274" s="77">
        <f>INT((I274*Valores!$C$2*100)+0.5)/100</f>
        <v>0</v>
      </c>
      <c r="K274" s="146">
        <v>0</v>
      </c>
      <c r="L274" s="77">
        <f>INT((K274*Valores!$C$2*100)+0.5)/100</f>
        <v>0</v>
      </c>
      <c r="M274" s="120">
        <v>0</v>
      </c>
      <c r="N274" s="77">
        <f>INT((M274*Valores!$C$2*100)+0.5)/100</f>
        <v>0</v>
      </c>
      <c r="O274" s="77">
        <f t="shared" si="51"/>
        <v>0</v>
      </c>
      <c r="P274" s="77">
        <f t="shared" si="52"/>
        <v>5867.93</v>
      </c>
      <c r="Q274" s="61">
        <f>Valores!$C$14*D274</f>
        <v>3163.4199999999996</v>
      </c>
      <c r="R274" s="61">
        <f>IF(D274&lt;15,(Valores!$E$4*D274),Valores!$D$4)</f>
        <v>2683.49</v>
      </c>
      <c r="S274" s="77">
        <v>0</v>
      </c>
      <c r="T274" s="79">
        <f>IF(Valores!$C$45*D274&gt;Valores!$C$43,Valores!$C$43,Valores!$C$45*D274)</f>
        <v>835.1300000000001</v>
      </c>
      <c r="U274" s="61">
        <f>Valores!$C$22*D274</f>
        <v>1225.8999999999999</v>
      </c>
      <c r="V274" s="77">
        <f t="shared" si="48"/>
        <v>1838.85</v>
      </c>
      <c r="W274" s="77">
        <v>0</v>
      </c>
      <c r="X274" s="77">
        <v>0</v>
      </c>
      <c r="Y274" s="37">
        <v>0</v>
      </c>
      <c r="Z274" s="77">
        <f>Y274*Valores!$C$2</f>
        <v>0</v>
      </c>
      <c r="AA274" s="77">
        <v>0</v>
      </c>
      <c r="AB274" s="89">
        <f>IF((Valores!$C$32)*D274&gt;Valores!$F$32,Valores!$F$32,(Valores!$C$32)*D274)</f>
        <v>139.38</v>
      </c>
      <c r="AC274" s="77">
        <f t="shared" si="53"/>
        <v>0</v>
      </c>
      <c r="AD274" s="77">
        <f>IF(Valores!$C$33*D274&gt;Valores!$F$33,Valores!$F$33,Valores!$C$33*D274)</f>
        <v>115.92</v>
      </c>
      <c r="AE274" s="116">
        <v>94</v>
      </c>
      <c r="AF274" s="77">
        <f>INT(((AE274*Valores!$C$2)*100)+0.5)/100</f>
        <v>563.93</v>
      </c>
      <c r="AG274" s="77">
        <f>IF(Valores!$D$58*'Escala Docente'!D274&gt;Valores!$F$58,Valores!$F$58,Valores!$D$58*'Escala Docente'!D274)</f>
        <v>471.5</v>
      </c>
      <c r="AH274" s="77">
        <f>IF(Valores!$D$60*D274&gt;Valores!$F$60,Valores!$F$60,Valores!$D$60*D274)</f>
        <v>134.78</v>
      </c>
      <c r="AI274" s="77">
        <f>SUM(H274,J274,L274,N274,O274,P274,Q274,R274,S274,T274,V274,W274,X274,Z274,AA274,AB274,AC274,AD274,AF274,AG274,AH274)*Valores!$C$63</f>
        <v>0</v>
      </c>
      <c r="AJ274" s="140">
        <f t="shared" si="54"/>
        <v>26715.059999999998</v>
      </c>
      <c r="AK274" s="61">
        <f>IF(Valores!$C$36*D274&gt;Valores!$F$36,Valores!$F$36,Valores!$C$36*D274)</f>
        <v>637.33</v>
      </c>
      <c r="AL274" s="79">
        <f>IF(Valores!$C$11*D274&gt;Valores!$F$11,Valores!$F$11,Valores!$C$11*D274)</f>
        <v>224.70999999999998</v>
      </c>
      <c r="AM274" s="89">
        <f>IF(Valores!$C$57*D274&gt;Valores!$F$57,Valores!$F$57,Valores!$C$57*D274)</f>
        <v>197.57</v>
      </c>
      <c r="AN274" s="79">
        <f>IF($H$4="SI",SUM(AL274+AM274),AL274)*Valores!$C$63</f>
        <v>0</v>
      </c>
      <c r="AO274" s="12">
        <f t="shared" si="58"/>
        <v>1059.61</v>
      </c>
      <c r="AP274" s="13">
        <f>AJ274*-Valores!$C$65</f>
        <v>-3472.9577999999997</v>
      </c>
      <c r="AQ274" s="13">
        <f>AJ274*-Valores!$C$66</f>
        <v>-133.5753</v>
      </c>
      <c r="AR274" s="78">
        <f>AJ274*-Valores!$C$67</f>
        <v>-1202.1777</v>
      </c>
      <c r="AS274" s="78">
        <f>AJ274*-Valores!$C$68</f>
        <v>-721.3066200000001</v>
      </c>
      <c r="AT274" s="78">
        <f>AJ274*-Valores!$C$69</f>
        <v>-80.14518</v>
      </c>
      <c r="AU274" s="15">
        <f t="shared" si="55"/>
        <v>22965.959199999998</v>
      </c>
      <c r="AV274" s="15">
        <f t="shared" si="56"/>
        <v>23366.6851</v>
      </c>
      <c r="AW274" s="78">
        <f>AJ274*Valores!$C$70</f>
        <v>4274.4096</v>
      </c>
      <c r="AX274" s="78">
        <f>AJ274*Valores!$C$71</f>
        <v>1202.1777</v>
      </c>
      <c r="AY274" s="78">
        <f>AJ274*Valores!$C$73</f>
        <v>267.1506</v>
      </c>
      <c r="AZ274" s="78">
        <f>AJ274*Valores!$C$74</f>
        <v>935.0271</v>
      </c>
      <c r="BA274" s="78">
        <f>AJ274*Valores!$C$75</f>
        <v>160.29036</v>
      </c>
      <c r="BB274" s="78">
        <f t="shared" si="59"/>
        <v>1442.61324</v>
      </c>
      <c r="BC274" s="20"/>
      <c r="BD274" s="55">
        <f t="shared" si="49"/>
        <v>92</v>
      </c>
      <c r="BE274" s="9" t="s">
        <v>462</v>
      </c>
    </row>
    <row r="275" spans="1:57" s="9" customFormat="1" ht="11.25" customHeight="1">
      <c r="A275" s="20">
        <v>274</v>
      </c>
      <c r="B275" s="20"/>
      <c r="C275" s="9" t="s">
        <v>355</v>
      </c>
      <c r="D275" s="9">
        <v>24</v>
      </c>
      <c r="E275" s="9">
        <f t="shared" si="57"/>
        <v>34</v>
      </c>
      <c r="F275" s="10" t="str">
        <f>CONCATENATE("Hora Cátedra Enseñanza Media ",D275," hs")</f>
        <v>Hora Cátedra Enseñanza Media 24 hs</v>
      </c>
      <c r="G275" s="123">
        <f t="shared" si="50"/>
        <v>1896</v>
      </c>
      <c r="H275" s="7">
        <f>INT((G275*Valores!$C$2*100))/100</f>
        <v>11374.68</v>
      </c>
      <c r="I275" s="134">
        <v>0</v>
      </c>
      <c r="J275" s="77">
        <f>INT((I275*Valores!$C$2*100)+0.5)/100</f>
        <v>0</v>
      </c>
      <c r="K275" s="146">
        <v>0</v>
      </c>
      <c r="L275" s="77">
        <f>INT((K275*Valores!$C$2*100)+0.5)/100</f>
        <v>0</v>
      </c>
      <c r="M275" s="120">
        <v>0</v>
      </c>
      <c r="N275" s="77">
        <f>INT((M275*Valores!$C$2*100)+0.5)/100</f>
        <v>0</v>
      </c>
      <c r="O275" s="77">
        <f t="shared" si="51"/>
        <v>0</v>
      </c>
      <c r="P275" s="77">
        <f t="shared" si="52"/>
        <v>6123.06</v>
      </c>
      <c r="Q275" s="61">
        <f>Valores!$C$14*D275</f>
        <v>3300.96</v>
      </c>
      <c r="R275" s="61">
        <f>IF(D275&lt;15,(Valores!$E$4*D275),Valores!$D$4)</f>
        <v>2683.49</v>
      </c>
      <c r="S275" s="77">
        <v>0</v>
      </c>
      <c r="T275" s="79">
        <f>IF(Valores!$C$45*D275&gt;Valores!$C$43,Valores!$C$43,Valores!$C$45*D275)</f>
        <v>871.44</v>
      </c>
      <c r="U275" s="61">
        <f>Valores!$C$22*D275</f>
        <v>1279.1999999999998</v>
      </c>
      <c r="V275" s="77">
        <f t="shared" si="48"/>
        <v>1918.7999999999997</v>
      </c>
      <c r="W275" s="77">
        <v>0</v>
      </c>
      <c r="X275" s="77">
        <v>0</v>
      </c>
      <c r="Y275" s="37">
        <v>0</v>
      </c>
      <c r="Z275" s="77">
        <f>Y275*Valores!$C$2</f>
        <v>0</v>
      </c>
      <c r="AA275" s="77">
        <v>0</v>
      </c>
      <c r="AB275" s="89">
        <f>IF((Valores!$C$32)*D275&gt;Valores!$F$32,Valores!$F$32,(Valores!$C$32)*D275)</f>
        <v>145.44</v>
      </c>
      <c r="AC275" s="77">
        <f t="shared" si="53"/>
        <v>0</v>
      </c>
      <c r="AD275" s="77">
        <f>IF(Valores!$C$33*D275&gt;Valores!$F$33,Valores!$F$33,Valores!$C$33*D275)</f>
        <v>120.96000000000001</v>
      </c>
      <c r="AE275" s="116">
        <v>0</v>
      </c>
      <c r="AF275" s="77">
        <f>INT(((AE275*Valores!$C$2)*100)+0.5)/100</f>
        <v>0</v>
      </c>
      <c r="AG275" s="77">
        <f>IF(Valores!$D$58*'Escala Docente'!D275&gt;Valores!$F$58,Valores!$F$58,Valores!$D$58*'Escala Docente'!D275)</f>
        <v>492</v>
      </c>
      <c r="AH275" s="77">
        <f>IF(Valores!$D$60*D275&gt;Valores!$F$60,Valores!$F$60,Valores!$D$60*D275)</f>
        <v>140.64000000000001</v>
      </c>
      <c r="AI275" s="77">
        <f>SUM(H275,J275,L275,N275,O275,P275,Q275,R275,S275,T275,V275,W275,X275,Z275,AA275,AB275,AC275,AD275,AF275,AG275,AH275)*Valores!$C$63</f>
        <v>0</v>
      </c>
      <c r="AJ275" s="140">
        <f t="shared" si="54"/>
        <v>27171.469999999998</v>
      </c>
      <c r="AK275" s="61">
        <f>IF(Valores!$C$36*D275&gt;Valores!$F$36,Valores!$F$36,Valores!$C$36*D275)</f>
        <v>665.04</v>
      </c>
      <c r="AL275" s="79">
        <f>IF(Valores!$C$11*D275&gt;Valores!$F$11,Valores!$F$11,Valores!$C$11*D275)</f>
        <v>234.48</v>
      </c>
      <c r="AM275" s="89">
        <f>IF(Valores!$C$57*D275&gt;Valores!$F$57,Valores!$F$57,Valores!$C$57*D275)</f>
        <v>206.16</v>
      </c>
      <c r="AN275" s="79">
        <f>IF($H$4="SI",SUM(AL275+AM275),AL275)*Valores!$C$63</f>
        <v>0</v>
      </c>
      <c r="AO275" s="12">
        <f t="shared" si="58"/>
        <v>1105.68</v>
      </c>
      <c r="AP275" s="13">
        <f>AJ275*-Valores!$C$65</f>
        <v>-3532.2911</v>
      </c>
      <c r="AQ275" s="13">
        <f>AJ275*-Valores!$C$66</f>
        <v>-135.85735</v>
      </c>
      <c r="AR275" s="78">
        <f>AJ275*-Valores!$C$67</f>
        <v>-1222.7161499999997</v>
      </c>
      <c r="AS275" s="78">
        <f>AJ275*-Valores!$C$68</f>
        <v>-733.62969</v>
      </c>
      <c r="AT275" s="78">
        <f>AJ275*-Valores!$C$69</f>
        <v>-81.51441</v>
      </c>
      <c r="AU275" s="15">
        <f t="shared" si="55"/>
        <v>23386.2854</v>
      </c>
      <c r="AV275" s="15">
        <f t="shared" si="56"/>
        <v>23793.85745</v>
      </c>
      <c r="AW275" s="78">
        <f>AJ275*Valores!$C$70</f>
        <v>4347.4352</v>
      </c>
      <c r="AX275" s="78">
        <f>AJ275*Valores!$C$71</f>
        <v>1222.7161499999997</v>
      </c>
      <c r="AY275" s="78">
        <f>AJ275*Valores!$C$73</f>
        <v>271.7147</v>
      </c>
      <c r="AZ275" s="78">
        <f>AJ275*Valores!$C$74</f>
        <v>951.00145</v>
      </c>
      <c r="BA275" s="78">
        <f>AJ275*Valores!$C$75</f>
        <v>163.02882</v>
      </c>
      <c r="BB275" s="78">
        <f t="shared" si="59"/>
        <v>1467.25938</v>
      </c>
      <c r="BC275" s="20"/>
      <c r="BD275" s="20">
        <f t="shared" si="49"/>
        <v>96</v>
      </c>
      <c r="BE275" s="9" t="s">
        <v>462</v>
      </c>
    </row>
    <row r="276" spans="1:57" s="9" customFormat="1" ht="11.25" customHeight="1">
      <c r="A276" s="55">
        <v>275</v>
      </c>
      <c r="B276" s="55" t="s">
        <v>458</v>
      </c>
      <c r="C276" s="52" t="s">
        <v>355</v>
      </c>
      <c r="D276" s="52">
        <v>24</v>
      </c>
      <c r="E276" s="52">
        <f t="shared" si="57"/>
        <v>42</v>
      </c>
      <c r="F276" s="53" t="str">
        <f>CONCATENATE("Hora Cátedra Enseñanza Media ",D276," hs Esc Esp")</f>
        <v>Hora Cátedra Enseñanza Media 24 hs Esc Esp</v>
      </c>
      <c r="G276" s="124">
        <f t="shared" si="50"/>
        <v>1896</v>
      </c>
      <c r="H276" s="129">
        <f>INT((G276*Valores!$C$2*100))/100</f>
        <v>11374.68</v>
      </c>
      <c r="I276" s="133">
        <v>0</v>
      </c>
      <c r="J276" s="80">
        <f>INT((I276*Valores!$C$2*100)+0.5)/100</f>
        <v>0</v>
      </c>
      <c r="K276" s="147">
        <v>0</v>
      </c>
      <c r="L276" s="80">
        <f>INT((K276*Valores!$C$2*100)+0.5)/100</f>
        <v>0</v>
      </c>
      <c r="M276" s="121">
        <v>0</v>
      </c>
      <c r="N276" s="80">
        <f>INT((M276*Valores!$C$2*100)+0.5)/100</f>
        <v>0</v>
      </c>
      <c r="O276" s="80">
        <f t="shared" si="51"/>
        <v>0</v>
      </c>
      <c r="P276" s="80">
        <f t="shared" si="52"/>
        <v>6123.06</v>
      </c>
      <c r="Q276" s="85">
        <f>Valores!$C$14*D276</f>
        <v>3300.96</v>
      </c>
      <c r="R276" s="85">
        <f>IF(D276&lt;15,(Valores!$E$4*D276),Valores!$D$4)</f>
        <v>2683.49</v>
      </c>
      <c r="S276" s="80">
        <v>0</v>
      </c>
      <c r="T276" s="82">
        <f>IF(Valores!$C$45*D276&gt;Valores!$C$43,Valores!$C$43,Valores!$C$45*D276)</f>
        <v>871.44</v>
      </c>
      <c r="U276" s="85">
        <f>Valores!$C$22*D276</f>
        <v>1279.1999999999998</v>
      </c>
      <c r="V276" s="80">
        <f t="shared" si="48"/>
        <v>1918.7999999999997</v>
      </c>
      <c r="W276" s="80">
        <v>0</v>
      </c>
      <c r="X276" s="80">
        <v>0</v>
      </c>
      <c r="Y276" s="60">
        <v>0</v>
      </c>
      <c r="Z276" s="80">
        <f>Y276*Valores!$C$2</f>
        <v>0</v>
      </c>
      <c r="AA276" s="80">
        <v>0</v>
      </c>
      <c r="AB276" s="90">
        <f>IF((Valores!$C$32)*D276&gt;Valores!$F$32,Valores!$F$32,(Valores!$C$32)*D276)</f>
        <v>145.44</v>
      </c>
      <c r="AC276" s="80">
        <f t="shared" si="53"/>
        <v>0</v>
      </c>
      <c r="AD276" s="80">
        <f>IF(Valores!$C$33*D276&gt;Valores!$F$33,Valores!$F$33,Valores!$C$33*D276)</f>
        <v>120.96000000000001</v>
      </c>
      <c r="AE276" s="115">
        <v>94</v>
      </c>
      <c r="AF276" s="80">
        <f>INT(((AE276*Valores!$C$2)*100)+0.5)/100</f>
        <v>563.93</v>
      </c>
      <c r="AG276" s="80">
        <f>IF(Valores!$D$58*'Escala Docente'!D276&gt;Valores!$F$58,Valores!$F$58,Valores!$D$58*'Escala Docente'!D276)</f>
        <v>492</v>
      </c>
      <c r="AH276" s="80">
        <f>IF(Valores!$D$60*D276&gt;Valores!$F$60,Valores!$F$60,Valores!$D$60*D276)</f>
        <v>140.64000000000001</v>
      </c>
      <c r="AI276" s="80">
        <f>SUM(H276,J276,L276,N276,O276,P276,Q276,R276,S276,T276,V276,W276,X276,Z276,AA276,AB276,AC276,AD276,AF276,AG276,AH276)*Valores!$C$63</f>
        <v>0</v>
      </c>
      <c r="AJ276" s="141">
        <f t="shared" si="54"/>
        <v>27735.399999999998</v>
      </c>
      <c r="AK276" s="85">
        <f>IF(Valores!$C$36*D276&gt;Valores!$F$36,Valores!$F$36,Valores!$C$36*D276)</f>
        <v>665.04</v>
      </c>
      <c r="AL276" s="82">
        <f>IF(Valores!$C$11*D276&gt;Valores!$F$11,Valores!$F$11,Valores!$C$11*D276)</f>
        <v>234.48</v>
      </c>
      <c r="AM276" s="90">
        <f>IF(Valores!$C$57*D276&gt;Valores!$F$57,Valores!$F$57,Valores!$C$57*D276)</f>
        <v>206.16</v>
      </c>
      <c r="AN276" s="82">
        <f>IF($H$4="SI",SUM(AL276+AM276),AL276)*Valores!$C$63</f>
        <v>0</v>
      </c>
      <c r="AO276" s="185">
        <f t="shared" si="58"/>
        <v>1105.68</v>
      </c>
      <c r="AP276" s="154">
        <f>AJ276*-Valores!$C$65</f>
        <v>-3605.602</v>
      </c>
      <c r="AQ276" s="154">
        <f>AJ276*-Valores!$C$66</f>
        <v>-138.677</v>
      </c>
      <c r="AR276" s="81">
        <f>AJ276*-Valores!$C$67</f>
        <v>-1248.0929999999998</v>
      </c>
      <c r="AS276" s="81">
        <f>AJ276*-Valores!$C$68</f>
        <v>-748.8558</v>
      </c>
      <c r="AT276" s="81">
        <f>AJ276*-Valores!$C$69</f>
        <v>-83.2062</v>
      </c>
      <c r="AU276" s="54">
        <f t="shared" si="55"/>
        <v>23848.708</v>
      </c>
      <c r="AV276" s="54">
        <f t="shared" si="56"/>
        <v>24264.738999999998</v>
      </c>
      <c r="AW276" s="81">
        <f>AJ276*Valores!$C$70</f>
        <v>4437.664</v>
      </c>
      <c r="AX276" s="81">
        <f>AJ276*Valores!$C$71</f>
        <v>1248.0929999999998</v>
      </c>
      <c r="AY276" s="81">
        <f>AJ276*Valores!$C$73</f>
        <v>277.354</v>
      </c>
      <c r="AZ276" s="81">
        <f>AJ276*Valores!$C$74</f>
        <v>970.739</v>
      </c>
      <c r="BA276" s="81">
        <f>AJ276*Valores!$C$75</f>
        <v>166.4124</v>
      </c>
      <c r="BB276" s="81">
        <f t="shared" si="59"/>
        <v>1497.7116</v>
      </c>
      <c r="BC276" s="55"/>
      <c r="BD276" s="55">
        <f t="shared" si="49"/>
        <v>96</v>
      </c>
      <c r="BE276" s="52" t="s">
        <v>462</v>
      </c>
    </row>
    <row r="277" spans="1:57" s="9" customFormat="1" ht="11.25" customHeight="1">
      <c r="A277" s="20">
        <v>276</v>
      </c>
      <c r="B277" s="20"/>
      <c r="C277" s="9" t="s">
        <v>355</v>
      </c>
      <c r="D277" s="9">
        <v>25</v>
      </c>
      <c r="E277" s="9">
        <f t="shared" si="57"/>
        <v>34</v>
      </c>
      <c r="F277" s="10" t="str">
        <f>CONCATENATE("Hora Cátedra Enseñanza Media ",D277," hs")</f>
        <v>Hora Cátedra Enseñanza Media 25 hs</v>
      </c>
      <c r="G277" s="123">
        <f t="shared" si="50"/>
        <v>1975</v>
      </c>
      <c r="H277" s="7">
        <f>INT((G277*Valores!$C$2*100))/100</f>
        <v>11848.62</v>
      </c>
      <c r="I277" s="134">
        <v>0</v>
      </c>
      <c r="J277" s="77">
        <f>INT((I277*Valores!$C$2*100)+0.5)/100</f>
        <v>0</v>
      </c>
      <c r="K277" s="146">
        <v>0</v>
      </c>
      <c r="L277" s="77">
        <f>INT((K277*Valores!$C$2*100)+0.5)/100</f>
        <v>0</v>
      </c>
      <c r="M277" s="120">
        <v>0</v>
      </c>
      <c r="N277" s="77">
        <f>INT((M277*Valores!$C$2*100)+0.5)/100</f>
        <v>0</v>
      </c>
      <c r="O277" s="77">
        <f t="shared" si="51"/>
        <v>0</v>
      </c>
      <c r="P277" s="77">
        <f t="shared" si="52"/>
        <v>6378.185</v>
      </c>
      <c r="Q277" s="61">
        <f>Valores!$C$14*D277</f>
        <v>3438.5</v>
      </c>
      <c r="R277" s="61">
        <f>IF(D277&lt;15,(Valores!$E$4*D277),Valores!$D$4)</f>
        <v>2683.49</v>
      </c>
      <c r="S277" s="77">
        <v>0</v>
      </c>
      <c r="T277" s="79">
        <f>IF(Valores!$C$45*D277&gt;Valores!$C$43,Valores!$C$43,Valores!$C$45*D277)</f>
        <v>907.75</v>
      </c>
      <c r="U277" s="61">
        <f>Valores!$C$22*D277</f>
        <v>1332.5</v>
      </c>
      <c r="V277" s="77">
        <f t="shared" si="48"/>
        <v>1998.75</v>
      </c>
      <c r="W277" s="77">
        <v>0</v>
      </c>
      <c r="X277" s="77">
        <v>0</v>
      </c>
      <c r="Y277" s="37">
        <v>0</v>
      </c>
      <c r="Z277" s="77">
        <f>Y277*Valores!$C$2</f>
        <v>0</v>
      </c>
      <c r="AA277" s="77">
        <v>0</v>
      </c>
      <c r="AB277" s="89">
        <f>IF((Valores!$C$32)*D277&gt;Valores!$F$32,Valores!$F$32,(Valores!$C$32)*D277)</f>
        <v>151.5</v>
      </c>
      <c r="AC277" s="77">
        <f t="shared" si="53"/>
        <v>0</v>
      </c>
      <c r="AD277" s="77">
        <f>IF(Valores!$C$33*D277&gt;Valores!$F$33,Valores!$F$33,Valores!$C$33*D277)</f>
        <v>126</v>
      </c>
      <c r="AE277" s="116">
        <v>0</v>
      </c>
      <c r="AF277" s="77">
        <f>INT(((AE277*Valores!$C$2)*100)+0.5)/100</f>
        <v>0</v>
      </c>
      <c r="AG277" s="77">
        <f>IF(Valores!$D$58*'Escala Docente'!D277&gt;Valores!$F$58,Valores!$F$58,Valores!$D$58*'Escala Docente'!D277)</f>
        <v>512.5</v>
      </c>
      <c r="AH277" s="77">
        <f>IF(Valores!$D$60*D277&gt;Valores!$F$60,Valores!$F$60,Valores!$D$60*D277)</f>
        <v>146.5</v>
      </c>
      <c r="AI277" s="77">
        <f>SUM(H277,J277,L277,N277,O277,P277,Q277,R277,S277,T277,V277,W277,X277,Z277,AA277,AB277,AC277,AD277,AF277,AG277,AH277)*Valores!$C$63</f>
        <v>0</v>
      </c>
      <c r="AJ277" s="140">
        <f t="shared" si="54"/>
        <v>28191.795</v>
      </c>
      <c r="AK277" s="61">
        <f>IF(Valores!$C$36*D277&gt;Valores!$F$36,Valores!$F$36,Valores!$C$36*D277)</f>
        <v>692.75</v>
      </c>
      <c r="AL277" s="79">
        <f>IF(Valores!$C$11*D277&gt;Valores!$F$11,Valores!$F$11,Valores!$C$11*D277)</f>
        <v>244.25</v>
      </c>
      <c r="AM277" s="89">
        <f>IF(Valores!$C$57*D277&gt;Valores!$F$57,Valores!$F$57,Valores!$C$57*D277)</f>
        <v>214.75</v>
      </c>
      <c r="AN277" s="79">
        <f>IF($H$4="SI",SUM(AL277+AM277),AL277)*Valores!$C$63</f>
        <v>0</v>
      </c>
      <c r="AO277" s="12">
        <f t="shared" si="58"/>
        <v>1151.75</v>
      </c>
      <c r="AP277" s="13">
        <f>AJ277*-Valores!$C$65</f>
        <v>-3664.93335</v>
      </c>
      <c r="AQ277" s="13">
        <f>AJ277*-Valores!$C$66</f>
        <v>-140.95897499999998</v>
      </c>
      <c r="AR277" s="78">
        <f>AJ277*-Valores!$C$67</f>
        <v>-1268.6307749999999</v>
      </c>
      <c r="AS277" s="78">
        <f>AJ277*-Valores!$C$68</f>
        <v>-761.1784650000001</v>
      </c>
      <c r="AT277" s="78">
        <f>AJ277*-Valores!$C$69</f>
        <v>-84.575385</v>
      </c>
      <c r="AU277" s="15">
        <f t="shared" si="55"/>
        <v>24269.021899999996</v>
      </c>
      <c r="AV277" s="15">
        <f t="shared" si="56"/>
        <v>24691.898824999997</v>
      </c>
      <c r="AW277" s="78">
        <f>AJ277*Valores!$C$70</f>
        <v>4510.687199999999</v>
      </c>
      <c r="AX277" s="78">
        <f>AJ277*Valores!$C$71</f>
        <v>1268.6307749999999</v>
      </c>
      <c r="AY277" s="78">
        <f>AJ277*Valores!$C$73</f>
        <v>281.91794999999996</v>
      </c>
      <c r="AZ277" s="78">
        <f>AJ277*Valores!$C$74</f>
        <v>986.7128250000001</v>
      </c>
      <c r="BA277" s="78">
        <f>AJ277*Valores!$C$75</f>
        <v>169.15077</v>
      </c>
      <c r="BB277" s="78">
        <f t="shared" si="59"/>
        <v>1522.35693</v>
      </c>
      <c r="BC277" s="20"/>
      <c r="BD277" s="20">
        <f t="shared" si="49"/>
        <v>100</v>
      </c>
      <c r="BE277" s="9" t="s">
        <v>462</v>
      </c>
    </row>
    <row r="278" spans="1:57" s="9" customFormat="1" ht="11.25" customHeight="1">
      <c r="A278" s="20">
        <v>277</v>
      </c>
      <c r="B278" s="20"/>
      <c r="C278" s="9" t="s">
        <v>355</v>
      </c>
      <c r="D278" s="9">
        <v>25</v>
      </c>
      <c r="E278" s="9">
        <f t="shared" si="57"/>
        <v>42</v>
      </c>
      <c r="F278" s="10" t="str">
        <f>CONCATENATE("Hora Cátedra Enseñanza Media ",D278," hs Esc Esp")</f>
        <v>Hora Cátedra Enseñanza Media 25 hs Esc Esp</v>
      </c>
      <c r="G278" s="123">
        <f t="shared" si="50"/>
        <v>1975</v>
      </c>
      <c r="H278" s="7">
        <f>INT((G278*Valores!$C$2*100))/100</f>
        <v>11848.62</v>
      </c>
      <c r="I278" s="134">
        <v>0</v>
      </c>
      <c r="J278" s="77">
        <f>INT((I278*Valores!$C$2*100)+0.5)/100</f>
        <v>0</v>
      </c>
      <c r="K278" s="146">
        <v>0</v>
      </c>
      <c r="L278" s="77">
        <f>INT((K278*Valores!$C$2*100)+0.5)/100</f>
        <v>0</v>
      </c>
      <c r="M278" s="120">
        <v>0</v>
      </c>
      <c r="N278" s="77">
        <f>INT((M278*Valores!$C$2*100)+0.5)/100</f>
        <v>0</v>
      </c>
      <c r="O278" s="77">
        <f t="shared" si="51"/>
        <v>0</v>
      </c>
      <c r="P278" s="77">
        <f t="shared" si="52"/>
        <v>6378.185</v>
      </c>
      <c r="Q278" s="61">
        <f>Valores!$C$14*D278</f>
        <v>3438.5</v>
      </c>
      <c r="R278" s="61">
        <f>IF(D278&lt;15,(Valores!$E$4*D278),Valores!$D$4)</f>
        <v>2683.49</v>
      </c>
      <c r="S278" s="77">
        <v>0</v>
      </c>
      <c r="T278" s="79">
        <f>IF(Valores!$C$45*D278&gt;Valores!$C$43,Valores!$C$43,Valores!$C$45*D278)</f>
        <v>907.75</v>
      </c>
      <c r="U278" s="61">
        <f>Valores!$C$22*D278</f>
        <v>1332.5</v>
      </c>
      <c r="V278" s="77">
        <f t="shared" si="48"/>
        <v>1998.75</v>
      </c>
      <c r="W278" s="77">
        <v>0</v>
      </c>
      <c r="X278" s="77">
        <v>0</v>
      </c>
      <c r="Y278" s="37">
        <v>0</v>
      </c>
      <c r="Z278" s="77">
        <f>Y278*Valores!$C$2</f>
        <v>0</v>
      </c>
      <c r="AA278" s="77">
        <v>0</v>
      </c>
      <c r="AB278" s="89">
        <f>IF((Valores!$C$32)*D278&gt;Valores!$F$32,Valores!$F$32,(Valores!$C$32)*D278)</f>
        <v>151.5</v>
      </c>
      <c r="AC278" s="77">
        <f t="shared" si="53"/>
        <v>0</v>
      </c>
      <c r="AD278" s="77">
        <f>IF(Valores!$C$33*D278&gt;Valores!$F$33,Valores!$F$33,Valores!$C$33*D278)</f>
        <v>126</v>
      </c>
      <c r="AE278" s="116">
        <v>94</v>
      </c>
      <c r="AF278" s="77">
        <f>INT(((AE278*Valores!$C$2)*100)+0.5)/100</f>
        <v>563.93</v>
      </c>
      <c r="AG278" s="77">
        <f>IF(Valores!$D$58*'Escala Docente'!D278&gt;Valores!$F$58,Valores!$F$58,Valores!$D$58*'Escala Docente'!D278)</f>
        <v>512.5</v>
      </c>
      <c r="AH278" s="77">
        <f>IF(Valores!$D$60*D278&gt;Valores!$F$60,Valores!$F$60,Valores!$D$60*D278)</f>
        <v>146.5</v>
      </c>
      <c r="AI278" s="77">
        <f>SUM(H278,J278,L278,N278,O278,P278,Q278,R278,S278,T278,V278,W278,X278,Z278,AA278,AB278,AC278,AD278,AF278,AG278,AH278)*Valores!$C$63</f>
        <v>0</v>
      </c>
      <c r="AJ278" s="140">
        <f t="shared" si="54"/>
        <v>28755.725</v>
      </c>
      <c r="AK278" s="61">
        <f>IF(Valores!$C$36*D278&gt;Valores!$F$36,Valores!$F$36,Valores!$C$36*D278)</f>
        <v>692.75</v>
      </c>
      <c r="AL278" s="79">
        <f>IF(Valores!$C$11*D278&gt;Valores!$F$11,Valores!$F$11,Valores!$C$11*D278)</f>
        <v>244.25</v>
      </c>
      <c r="AM278" s="89">
        <f>IF(Valores!$C$57*D278&gt;Valores!$F$57,Valores!$F$57,Valores!$C$57*D278)</f>
        <v>214.75</v>
      </c>
      <c r="AN278" s="79">
        <f>IF($H$4="SI",SUM(AL278+AM278),AL278)*Valores!$C$63</f>
        <v>0</v>
      </c>
      <c r="AO278" s="12">
        <f t="shared" si="58"/>
        <v>1151.75</v>
      </c>
      <c r="AP278" s="13">
        <f>AJ278*-Valores!$C$65</f>
        <v>-3738.2442499999997</v>
      </c>
      <c r="AQ278" s="13">
        <f>AJ278*-Valores!$C$66</f>
        <v>-143.778625</v>
      </c>
      <c r="AR278" s="78">
        <f>AJ278*-Valores!$C$67</f>
        <v>-1294.007625</v>
      </c>
      <c r="AS278" s="78">
        <f>AJ278*-Valores!$C$68</f>
        <v>-776.404575</v>
      </c>
      <c r="AT278" s="78">
        <f>AJ278*-Valores!$C$69</f>
        <v>-86.267175</v>
      </c>
      <c r="AU278" s="15">
        <f t="shared" si="55"/>
        <v>24731.4445</v>
      </c>
      <c r="AV278" s="15">
        <f t="shared" si="56"/>
        <v>25162.780375</v>
      </c>
      <c r="AW278" s="78">
        <f>AJ278*Valores!$C$70</f>
        <v>4600.916</v>
      </c>
      <c r="AX278" s="78">
        <f>AJ278*Valores!$C$71</f>
        <v>1294.007625</v>
      </c>
      <c r="AY278" s="78">
        <f>AJ278*Valores!$C$73</f>
        <v>287.55725</v>
      </c>
      <c r="AZ278" s="78">
        <f>AJ278*Valores!$C$74</f>
        <v>1006.450375</v>
      </c>
      <c r="BA278" s="78">
        <f>AJ278*Valores!$C$75</f>
        <v>172.53435</v>
      </c>
      <c r="BB278" s="78">
        <f t="shared" si="59"/>
        <v>1552.80915</v>
      </c>
      <c r="BC278" s="20"/>
      <c r="BD278" s="20">
        <f t="shared" si="49"/>
        <v>100</v>
      </c>
      <c r="BE278" s="9" t="s">
        <v>462</v>
      </c>
    </row>
    <row r="279" spans="1:57" s="9" customFormat="1" ht="11.25" customHeight="1">
      <c r="A279" s="20">
        <v>278</v>
      </c>
      <c r="B279" s="20"/>
      <c r="C279" s="9" t="s">
        <v>355</v>
      </c>
      <c r="D279" s="9">
        <v>26</v>
      </c>
      <c r="E279" s="9">
        <f t="shared" si="57"/>
        <v>34</v>
      </c>
      <c r="F279" s="10" t="str">
        <f>CONCATENATE("Hora Cátedra Enseñanza Media ",D279," hs")</f>
        <v>Hora Cátedra Enseñanza Media 26 hs</v>
      </c>
      <c r="G279" s="123">
        <f t="shared" si="50"/>
        <v>2054</v>
      </c>
      <c r="H279" s="7">
        <f>INT((G279*Valores!$C$2*100))/100</f>
        <v>12322.57</v>
      </c>
      <c r="I279" s="134">
        <v>0</v>
      </c>
      <c r="J279" s="77">
        <f>INT((I279*Valores!$C$2*100)+0.5)/100</f>
        <v>0</v>
      </c>
      <c r="K279" s="146">
        <v>0</v>
      </c>
      <c r="L279" s="77">
        <f>INT((K279*Valores!$C$2*100)+0.5)/100</f>
        <v>0</v>
      </c>
      <c r="M279" s="120">
        <v>0</v>
      </c>
      <c r="N279" s="77">
        <f>INT((M279*Valores!$C$2*100)+0.5)/100</f>
        <v>0</v>
      </c>
      <c r="O279" s="77">
        <f t="shared" si="51"/>
        <v>0</v>
      </c>
      <c r="P279" s="77">
        <f t="shared" si="52"/>
        <v>6633.315</v>
      </c>
      <c r="Q279" s="61">
        <f>Valores!$C$14*D279</f>
        <v>3576.04</v>
      </c>
      <c r="R279" s="61">
        <f>IF(D279&lt;15,(Valores!$E$4*D279),Valores!$D$4)</f>
        <v>2683.49</v>
      </c>
      <c r="S279" s="77">
        <v>0</v>
      </c>
      <c r="T279" s="79">
        <f>IF(Valores!$C$45*D279&gt;Valores!$C$43,Valores!$C$43,Valores!$C$45*D279)</f>
        <v>944.0600000000001</v>
      </c>
      <c r="U279" s="61">
        <f>Valores!$C$22*D279</f>
        <v>1385.8</v>
      </c>
      <c r="V279" s="77">
        <f t="shared" si="48"/>
        <v>2078.7</v>
      </c>
      <c r="W279" s="77">
        <v>0</v>
      </c>
      <c r="X279" s="77">
        <v>0</v>
      </c>
      <c r="Y279" s="37">
        <v>0</v>
      </c>
      <c r="Z279" s="77">
        <f>Y279*Valores!$C$2</f>
        <v>0</v>
      </c>
      <c r="AA279" s="77">
        <v>0</v>
      </c>
      <c r="AB279" s="89">
        <f>IF((Valores!$C$32)*D279&gt;Valores!$F$32,Valores!$F$32,(Valores!$C$32)*D279)</f>
        <v>157.56</v>
      </c>
      <c r="AC279" s="77">
        <f t="shared" si="53"/>
        <v>0</v>
      </c>
      <c r="AD279" s="77">
        <f>IF(Valores!$C$33*D279&gt;Valores!$F$33,Valores!$F$33,Valores!$C$33*D279)</f>
        <v>131.04</v>
      </c>
      <c r="AE279" s="116">
        <v>0</v>
      </c>
      <c r="AF279" s="77">
        <f>INT(((AE279*Valores!$C$2)*100)+0.5)/100</f>
        <v>0</v>
      </c>
      <c r="AG279" s="77">
        <f>IF(Valores!$D$58*'Escala Docente'!D279&gt;Valores!$F$58,Valores!$F$58,Valores!$D$58*'Escala Docente'!D279)</f>
        <v>533</v>
      </c>
      <c r="AH279" s="77">
        <f>IF(Valores!$D$60*D279&gt;Valores!$F$60,Valores!$F$60,Valores!$D$60*D279)</f>
        <v>152.36</v>
      </c>
      <c r="AI279" s="77">
        <f>SUM(H279,J279,L279,N279,O279,P279,Q279,R279,S279,T279,V279,W279,X279,Z279,AA279,AB279,AC279,AD279,AF279,AG279,AH279)*Valores!$C$63</f>
        <v>0</v>
      </c>
      <c r="AJ279" s="140">
        <f t="shared" si="54"/>
        <v>29212.135000000006</v>
      </c>
      <c r="AK279" s="61">
        <f>IF(Valores!$C$36*D279&gt;Valores!$F$36,Valores!$F$36,Valores!$C$36*D279)</f>
        <v>720.46</v>
      </c>
      <c r="AL279" s="79">
        <f>IF(Valores!$C$11*D279&gt;Valores!$F$11,Valores!$F$11,Valores!$C$11*D279)</f>
        <v>254.01999999999998</v>
      </c>
      <c r="AM279" s="89">
        <f>IF(Valores!$C$57*D279&gt;Valores!$F$57,Valores!$F$57,Valores!$C$57*D279)</f>
        <v>223.34</v>
      </c>
      <c r="AN279" s="79">
        <f>IF($H$4="SI",SUM(AL279+AM279),AL279)*Valores!$C$63</f>
        <v>0</v>
      </c>
      <c r="AO279" s="12">
        <f t="shared" si="58"/>
        <v>1197.82</v>
      </c>
      <c r="AP279" s="13">
        <f>AJ279*-Valores!$C$65</f>
        <v>-3797.577550000001</v>
      </c>
      <c r="AQ279" s="13">
        <f>AJ279*-Valores!$C$66</f>
        <v>-146.06067500000003</v>
      </c>
      <c r="AR279" s="78">
        <f>AJ279*-Valores!$C$67</f>
        <v>-1314.5460750000002</v>
      </c>
      <c r="AS279" s="78">
        <f>AJ279*-Valores!$C$68</f>
        <v>-788.7276450000003</v>
      </c>
      <c r="AT279" s="78">
        <f>AJ279*-Valores!$C$69</f>
        <v>-87.63640500000002</v>
      </c>
      <c r="AU279" s="15">
        <f t="shared" si="55"/>
        <v>25151.7707</v>
      </c>
      <c r="AV279" s="15">
        <f t="shared" si="56"/>
        <v>25589.952725000003</v>
      </c>
      <c r="AW279" s="78">
        <f>AJ279*Valores!$C$70</f>
        <v>4673.941600000001</v>
      </c>
      <c r="AX279" s="78">
        <f>AJ279*Valores!$C$71</f>
        <v>1314.5460750000002</v>
      </c>
      <c r="AY279" s="78">
        <f>AJ279*Valores!$C$73</f>
        <v>292.12135000000006</v>
      </c>
      <c r="AZ279" s="78">
        <f>AJ279*Valores!$C$74</f>
        <v>1022.4247250000003</v>
      </c>
      <c r="BA279" s="78">
        <f>AJ279*Valores!$C$75</f>
        <v>175.27281000000005</v>
      </c>
      <c r="BB279" s="78">
        <f t="shared" si="59"/>
        <v>1577.4552900000003</v>
      </c>
      <c r="BC279" s="20"/>
      <c r="BD279" s="55">
        <f t="shared" si="49"/>
        <v>104</v>
      </c>
      <c r="BE279" s="9" t="s">
        <v>462</v>
      </c>
    </row>
    <row r="280" spans="1:57" s="9" customFormat="1" ht="11.25" customHeight="1">
      <c r="A280" s="20">
        <v>279</v>
      </c>
      <c r="B280" s="20"/>
      <c r="C280" s="9" t="s">
        <v>355</v>
      </c>
      <c r="D280" s="9">
        <v>26</v>
      </c>
      <c r="E280" s="9">
        <f t="shared" si="57"/>
        <v>42</v>
      </c>
      <c r="F280" s="10" t="str">
        <f>CONCATENATE("Hora Cátedra Enseñanza Media ",D280," hs Esc Esp")</f>
        <v>Hora Cátedra Enseñanza Media 26 hs Esc Esp</v>
      </c>
      <c r="G280" s="123">
        <f t="shared" si="50"/>
        <v>2054</v>
      </c>
      <c r="H280" s="7">
        <f>INT((G280*Valores!$C$2*100))/100</f>
        <v>12322.57</v>
      </c>
      <c r="I280" s="134">
        <v>0</v>
      </c>
      <c r="J280" s="77">
        <f>INT((I280*Valores!$C$2*100)+0.5)/100</f>
        <v>0</v>
      </c>
      <c r="K280" s="146">
        <v>0</v>
      </c>
      <c r="L280" s="77">
        <f>INT((K280*Valores!$C$2*100)+0.5)/100</f>
        <v>0</v>
      </c>
      <c r="M280" s="120">
        <v>0</v>
      </c>
      <c r="N280" s="77">
        <f>INT((M280*Valores!$C$2*100)+0.5)/100</f>
        <v>0</v>
      </c>
      <c r="O280" s="77">
        <f t="shared" si="51"/>
        <v>0</v>
      </c>
      <c r="P280" s="77">
        <f t="shared" si="52"/>
        <v>6633.315</v>
      </c>
      <c r="Q280" s="61">
        <f>Valores!$C$14*D280</f>
        <v>3576.04</v>
      </c>
      <c r="R280" s="61">
        <f>IF(D280&lt;15,(Valores!$E$4*D280),Valores!$D$4)</f>
        <v>2683.49</v>
      </c>
      <c r="S280" s="77">
        <v>0</v>
      </c>
      <c r="T280" s="79">
        <f>IF(Valores!$C$45*D280&gt;Valores!$C$43,Valores!$C$43,Valores!$C$45*D280)</f>
        <v>944.0600000000001</v>
      </c>
      <c r="U280" s="61">
        <f>Valores!$C$22*D280</f>
        <v>1385.8</v>
      </c>
      <c r="V280" s="77">
        <f t="shared" si="48"/>
        <v>2078.7</v>
      </c>
      <c r="W280" s="77">
        <v>0</v>
      </c>
      <c r="X280" s="77">
        <v>0</v>
      </c>
      <c r="Y280" s="37">
        <v>0</v>
      </c>
      <c r="Z280" s="77">
        <f>Y280*Valores!$C$2</f>
        <v>0</v>
      </c>
      <c r="AA280" s="77">
        <v>0</v>
      </c>
      <c r="AB280" s="89">
        <f>IF((Valores!$C$32)*D280&gt;Valores!$F$32,Valores!$F$32,(Valores!$C$32)*D280)</f>
        <v>157.56</v>
      </c>
      <c r="AC280" s="77">
        <f t="shared" si="53"/>
        <v>0</v>
      </c>
      <c r="AD280" s="77">
        <f>IF(Valores!$C$33*D280&gt;Valores!$F$33,Valores!$F$33,Valores!$C$33*D280)</f>
        <v>131.04</v>
      </c>
      <c r="AE280" s="116">
        <v>94</v>
      </c>
      <c r="AF280" s="77">
        <f>INT(((AE280*Valores!$C$2)*100)+0.5)/100</f>
        <v>563.93</v>
      </c>
      <c r="AG280" s="77">
        <f>IF(Valores!$D$58*'Escala Docente'!D280&gt;Valores!$F$58,Valores!$F$58,Valores!$D$58*'Escala Docente'!D280)</f>
        <v>533</v>
      </c>
      <c r="AH280" s="77">
        <f>IF(Valores!$D$60*D280&gt;Valores!$F$60,Valores!$F$60,Valores!$D$60*D280)</f>
        <v>152.36</v>
      </c>
      <c r="AI280" s="77">
        <f>SUM(H280,J280,L280,N280,O280,P280,Q280,R280,S280,T280,V280,W280,X280,Z280,AA280,AB280,AC280,AD280,AF280,AG280,AH280)*Valores!$C$63</f>
        <v>0</v>
      </c>
      <c r="AJ280" s="140">
        <f t="shared" si="54"/>
        <v>29776.065000000006</v>
      </c>
      <c r="AK280" s="61">
        <f>IF(Valores!$C$36*D280&gt;Valores!$F$36,Valores!$F$36,Valores!$C$36*D280)</f>
        <v>720.46</v>
      </c>
      <c r="AL280" s="79">
        <f>IF(Valores!$C$11*D280&gt;Valores!$F$11,Valores!$F$11,Valores!$C$11*D280)</f>
        <v>254.01999999999998</v>
      </c>
      <c r="AM280" s="89">
        <f>IF(Valores!$C$57*D280&gt;Valores!$F$57,Valores!$F$57,Valores!$C$57*D280)</f>
        <v>223.34</v>
      </c>
      <c r="AN280" s="79">
        <f>IF($H$4="SI",SUM(AL280+AM280),AL280)*Valores!$C$63</f>
        <v>0</v>
      </c>
      <c r="AO280" s="12">
        <f t="shared" si="58"/>
        <v>1197.82</v>
      </c>
      <c r="AP280" s="13">
        <f>AJ280*-Valores!$C$65</f>
        <v>-3870.888450000001</v>
      </c>
      <c r="AQ280" s="13">
        <f>AJ280*-Valores!$C$66</f>
        <v>-148.88032500000003</v>
      </c>
      <c r="AR280" s="78">
        <f>AJ280*-Valores!$C$67</f>
        <v>-1339.9229250000003</v>
      </c>
      <c r="AS280" s="78">
        <f>AJ280*-Valores!$C$68</f>
        <v>-803.9537550000002</v>
      </c>
      <c r="AT280" s="78">
        <f>AJ280*-Valores!$C$69</f>
        <v>-89.32819500000002</v>
      </c>
      <c r="AU280" s="15">
        <f t="shared" si="55"/>
        <v>25614.193300000006</v>
      </c>
      <c r="AV280" s="15">
        <f t="shared" si="56"/>
        <v>26060.83427500001</v>
      </c>
      <c r="AW280" s="78">
        <f>AJ280*Valores!$C$70</f>
        <v>4764.170400000001</v>
      </c>
      <c r="AX280" s="78">
        <f>AJ280*Valores!$C$71</f>
        <v>1339.9229250000003</v>
      </c>
      <c r="AY280" s="78">
        <f>AJ280*Valores!$C$73</f>
        <v>297.76065000000006</v>
      </c>
      <c r="AZ280" s="78">
        <f>AJ280*Valores!$C$74</f>
        <v>1042.1622750000004</v>
      </c>
      <c r="BA280" s="78">
        <f>AJ280*Valores!$C$75</f>
        <v>178.65639000000004</v>
      </c>
      <c r="BB280" s="78">
        <f t="shared" si="59"/>
        <v>1607.9075100000005</v>
      </c>
      <c r="BC280" s="20"/>
      <c r="BD280" s="20">
        <f t="shared" si="49"/>
        <v>104</v>
      </c>
      <c r="BE280" s="9" t="s">
        <v>462</v>
      </c>
    </row>
    <row r="281" spans="1:57" s="9" customFormat="1" ht="11.25" customHeight="1">
      <c r="A281" s="55">
        <v>280</v>
      </c>
      <c r="B281" s="55" t="s">
        <v>458</v>
      </c>
      <c r="C281" s="52" t="s">
        <v>355</v>
      </c>
      <c r="D281" s="52">
        <v>27</v>
      </c>
      <c r="E281" s="52">
        <f t="shared" si="57"/>
        <v>34</v>
      </c>
      <c r="F281" s="53" t="str">
        <f>CONCATENATE("Hora Cátedra Enseñanza Media ",D281," hs")</f>
        <v>Hora Cátedra Enseñanza Media 27 hs</v>
      </c>
      <c r="G281" s="124">
        <f t="shared" si="50"/>
        <v>2133</v>
      </c>
      <c r="H281" s="129">
        <f>INT((G281*Valores!$C$2*100))/100</f>
        <v>12796.51</v>
      </c>
      <c r="I281" s="133">
        <v>0</v>
      </c>
      <c r="J281" s="80">
        <f>INT((I281*Valores!$C$2*100)+0.5)/100</f>
        <v>0</v>
      </c>
      <c r="K281" s="147">
        <v>0</v>
      </c>
      <c r="L281" s="80">
        <f>INT((K281*Valores!$C$2*100)+0.5)/100</f>
        <v>0</v>
      </c>
      <c r="M281" s="121">
        <v>0</v>
      </c>
      <c r="N281" s="80">
        <f>INT((M281*Valores!$C$2*100)+0.5)/100</f>
        <v>0</v>
      </c>
      <c r="O281" s="80">
        <f t="shared" si="51"/>
        <v>0</v>
      </c>
      <c r="P281" s="80">
        <f t="shared" si="52"/>
        <v>6888.4400000000005</v>
      </c>
      <c r="Q281" s="85">
        <f>Valores!$C$14*D281</f>
        <v>3713.58</v>
      </c>
      <c r="R281" s="85">
        <f>IF(D281&lt;15,(Valores!$E$4*D281),Valores!$D$4)</f>
        <v>2683.49</v>
      </c>
      <c r="S281" s="80">
        <v>0</v>
      </c>
      <c r="T281" s="82">
        <f>IF(Valores!$C$45*D281&gt;Valores!$C$43,Valores!$C$43,Valores!$C$45*D281)</f>
        <v>980.3700000000001</v>
      </c>
      <c r="U281" s="85">
        <f>Valores!$C$22*D281</f>
        <v>1439.1</v>
      </c>
      <c r="V281" s="80">
        <f t="shared" si="48"/>
        <v>2158.6499999999996</v>
      </c>
      <c r="W281" s="80">
        <v>0</v>
      </c>
      <c r="X281" s="80">
        <v>0</v>
      </c>
      <c r="Y281" s="60">
        <v>0</v>
      </c>
      <c r="Z281" s="80">
        <f>Y281*Valores!$C$2</f>
        <v>0</v>
      </c>
      <c r="AA281" s="80">
        <v>0</v>
      </c>
      <c r="AB281" s="90">
        <f>IF((Valores!$C$32)*D281&gt;Valores!$F$32,Valores!$F$32,(Valores!$C$32)*D281)</f>
        <v>163.61999999999998</v>
      </c>
      <c r="AC281" s="80">
        <f t="shared" si="53"/>
        <v>0</v>
      </c>
      <c r="AD281" s="80">
        <f>IF(Valores!$C$33*D281&gt;Valores!$F$33,Valores!$F$33,Valores!$C$33*D281)</f>
        <v>136.08</v>
      </c>
      <c r="AE281" s="115">
        <v>0</v>
      </c>
      <c r="AF281" s="80">
        <f>INT(((AE281*Valores!$C$2)*100)+0.5)/100</f>
        <v>0</v>
      </c>
      <c r="AG281" s="80">
        <f>IF(Valores!$D$58*'Escala Docente'!D281&gt;Valores!$F$58,Valores!$F$58,Valores!$D$58*'Escala Docente'!D281)</f>
        <v>553.5</v>
      </c>
      <c r="AH281" s="80">
        <f>IF(Valores!$D$60*D281&gt;Valores!$F$60,Valores!$F$60,Valores!$D$60*D281)</f>
        <v>158.22</v>
      </c>
      <c r="AI281" s="80">
        <f>SUM(H281,J281,L281,N281,O281,P281,Q281,R281,S281,T281,V281,W281,X281,Z281,AA281,AB281,AC281,AD281,AF281,AG281,AH281)*Valores!$C$63</f>
        <v>0</v>
      </c>
      <c r="AJ281" s="141">
        <f t="shared" si="54"/>
        <v>30232.46</v>
      </c>
      <c r="AK281" s="85">
        <f>IF(Valores!$C$36*D281&gt;Valores!$F$36,Valores!$F$36,Valores!$C$36*D281)</f>
        <v>748.1700000000001</v>
      </c>
      <c r="AL281" s="82">
        <f>IF(Valores!$C$11*D281&gt;Valores!$F$11,Valores!$F$11,Valores!$C$11*D281)</f>
        <v>263.78999999999996</v>
      </c>
      <c r="AM281" s="90">
        <f>IF(Valores!$C$57*D281&gt;Valores!$F$57,Valores!$F$57,Valores!$C$57*D281)</f>
        <v>231.93</v>
      </c>
      <c r="AN281" s="82">
        <f>IF($H$4="SI",SUM(AL281+AM281),AL281)*Valores!$C$63</f>
        <v>0</v>
      </c>
      <c r="AO281" s="185">
        <f t="shared" si="58"/>
        <v>1243.89</v>
      </c>
      <c r="AP281" s="154">
        <f>AJ281*-Valores!$C$65</f>
        <v>-3930.2198</v>
      </c>
      <c r="AQ281" s="154">
        <f>AJ281*-Valores!$C$66</f>
        <v>-151.1623</v>
      </c>
      <c r="AR281" s="81">
        <f>AJ281*-Valores!$C$67</f>
        <v>-1360.4606999999999</v>
      </c>
      <c r="AS281" s="81">
        <f>AJ281*-Valores!$C$68</f>
        <v>-816.27642</v>
      </c>
      <c r="AT281" s="81">
        <f>AJ281*-Valores!$C$69</f>
        <v>-90.69738</v>
      </c>
      <c r="AU281" s="54">
        <f t="shared" si="55"/>
        <v>26034.5072</v>
      </c>
      <c r="AV281" s="54">
        <f t="shared" si="56"/>
        <v>26487.9941</v>
      </c>
      <c r="AW281" s="81">
        <f>AJ281*Valores!$C$70</f>
        <v>4837.1936</v>
      </c>
      <c r="AX281" s="81">
        <f>AJ281*Valores!$C$71</f>
        <v>1360.4606999999999</v>
      </c>
      <c r="AY281" s="81">
        <f>AJ281*Valores!$C$73</f>
        <v>302.3246</v>
      </c>
      <c r="AZ281" s="81">
        <f>AJ281*Valores!$C$74</f>
        <v>1058.1361000000002</v>
      </c>
      <c r="BA281" s="81">
        <f>AJ281*Valores!$C$75</f>
        <v>181.39476</v>
      </c>
      <c r="BB281" s="81">
        <f t="shared" si="59"/>
        <v>1632.55284</v>
      </c>
      <c r="BC281" s="55"/>
      <c r="BD281" s="55">
        <f t="shared" si="49"/>
        <v>108</v>
      </c>
      <c r="BE281" s="52" t="s">
        <v>462</v>
      </c>
    </row>
    <row r="282" spans="1:57" s="9" customFormat="1" ht="11.25" customHeight="1">
      <c r="A282" s="20">
        <v>281</v>
      </c>
      <c r="B282" s="20"/>
      <c r="C282" s="9" t="s">
        <v>355</v>
      </c>
      <c r="D282" s="9">
        <v>27</v>
      </c>
      <c r="E282" s="9">
        <f t="shared" si="57"/>
        <v>42</v>
      </c>
      <c r="F282" s="10" t="str">
        <f>CONCATENATE("Hora Cátedra Enseñanza Media ",D282," hs Esc Esp")</f>
        <v>Hora Cátedra Enseñanza Media 27 hs Esc Esp</v>
      </c>
      <c r="G282" s="123">
        <f t="shared" si="50"/>
        <v>2133</v>
      </c>
      <c r="H282" s="7">
        <f>INT((G282*Valores!$C$2*100))/100</f>
        <v>12796.51</v>
      </c>
      <c r="I282" s="134">
        <v>0</v>
      </c>
      <c r="J282" s="77">
        <f>INT((I282*Valores!$C$2*100)+0.5)/100</f>
        <v>0</v>
      </c>
      <c r="K282" s="146">
        <v>0</v>
      </c>
      <c r="L282" s="77">
        <f>INT((K282*Valores!$C$2*100)+0.5)/100</f>
        <v>0</v>
      </c>
      <c r="M282" s="120">
        <v>0</v>
      </c>
      <c r="N282" s="77">
        <f>INT((M282*Valores!$C$2*100)+0.5)/100</f>
        <v>0</v>
      </c>
      <c r="O282" s="77">
        <f t="shared" si="51"/>
        <v>0</v>
      </c>
      <c r="P282" s="77">
        <f t="shared" si="52"/>
        <v>6888.4400000000005</v>
      </c>
      <c r="Q282" s="61">
        <f>Valores!$C$14*D282</f>
        <v>3713.58</v>
      </c>
      <c r="R282" s="61">
        <f>IF(D282&lt;15,(Valores!$E$4*D282),Valores!$D$4)</f>
        <v>2683.49</v>
      </c>
      <c r="S282" s="77">
        <v>0</v>
      </c>
      <c r="T282" s="79">
        <f>IF(Valores!$C$45*D282&gt;Valores!$C$43,Valores!$C$43,Valores!$C$45*D282)</f>
        <v>980.3700000000001</v>
      </c>
      <c r="U282" s="61">
        <f>Valores!$C$22*D282</f>
        <v>1439.1</v>
      </c>
      <c r="V282" s="77">
        <f t="shared" si="48"/>
        <v>2158.6499999999996</v>
      </c>
      <c r="W282" s="77">
        <v>0</v>
      </c>
      <c r="X282" s="77">
        <v>0</v>
      </c>
      <c r="Y282" s="37">
        <v>0</v>
      </c>
      <c r="Z282" s="77">
        <f>Y282*Valores!$C$2</f>
        <v>0</v>
      </c>
      <c r="AA282" s="77">
        <v>0</v>
      </c>
      <c r="AB282" s="89">
        <f>IF((Valores!$C$32)*D282&gt;Valores!$F$32,Valores!$F$32,(Valores!$C$32)*D282)</f>
        <v>163.61999999999998</v>
      </c>
      <c r="AC282" s="77">
        <f t="shared" si="53"/>
        <v>0</v>
      </c>
      <c r="AD282" s="77">
        <f>IF(Valores!$C$33*D282&gt;Valores!$F$33,Valores!$F$33,Valores!$C$33*D282)</f>
        <v>136.08</v>
      </c>
      <c r="AE282" s="116">
        <v>94</v>
      </c>
      <c r="AF282" s="77">
        <f>INT(((AE282*Valores!$C$2)*100)+0.5)/100</f>
        <v>563.93</v>
      </c>
      <c r="AG282" s="77">
        <f>IF(Valores!$D$58*'Escala Docente'!D282&gt;Valores!$F$58,Valores!$F$58,Valores!$D$58*'Escala Docente'!D282)</f>
        <v>553.5</v>
      </c>
      <c r="AH282" s="77">
        <f>IF(Valores!$D$60*D282&gt;Valores!$F$60,Valores!$F$60,Valores!$D$60*D282)</f>
        <v>158.22</v>
      </c>
      <c r="AI282" s="77">
        <f>SUM(H282,J282,L282,N282,O282,P282,Q282,R282,S282,T282,V282,W282,X282,Z282,AA282,AB282,AC282,AD282,AF282,AG282,AH282)*Valores!$C$63</f>
        <v>0</v>
      </c>
      <c r="AJ282" s="140">
        <f t="shared" si="54"/>
        <v>30796.39</v>
      </c>
      <c r="AK282" s="61">
        <f>IF(Valores!$C$36*D282&gt;Valores!$F$36,Valores!$F$36,Valores!$C$36*D282)</f>
        <v>748.1700000000001</v>
      </c>
      <c r="AL282" s="79">
        <f>IF(Valores!$C$11*D282&gt;Valores!$F$11,Valores!$F$11,Valores!$C$11*D282)</f>
        <v>263.78999999999996</v>
      </c>
      <c r="AM282" s="89">
        <f>IF(Valores!$C$57*D282&gt;Valores!$F$57,Valores!$F$57,Valores!$C$57*D282)</f>
        <v>231.93</v>
      </c>
      <c r="AN282" s="79">
        <f>IF($H$4="SI",SUM(AL282+AM282),AL282)*Valores!$C$63</f>
        <v>0</v>
      </c>
      <c r="AO282" s="12">
        <f t="shared" si="58"/>
        <v>1243.89</v>
      </c>
      <c r="AP282" s="13">
        <f>AJ282*-Valores!$C$65</f>
        <v>-4003.5307000000003</v>
      </c>
      <c r="AQ282" s="13">
        <f>AJ282*-Valores!$C$66</f>
        <v>-153.98195</v>
      </c>
      <c r="AR282" s="78">
        <f>AJ282*-Valores!$C$67</f>
        <v>-1385.83755</v>
      </c>
      <c r="AS282" s="78">
        <f>AJ282*-Valores!$C$68</f>
        <v>-831.5025300000001</v>
      </c>
      <c r="AT282" s="78">
        <f>AJ282*-Valores!$C$69</f>
        <v>-92.38917000000001</v>
      </c>
      <c r="AU282" s="15">
        <f t="shared" si="55"/>
        <v>26496.929799999998</v>
      </c>
      <c r="AV282" s="15">
        <f t="shared" si="56"/>
        <v>26958.875649999998</v>
      </c>
      <c r="AW282" s="78">
        <f>AJ282*Valores!$C$70</f>
        <v>4927.4224</v>
      </c>
      <c r="AX282" s="78">
        <f>AJ282*Valores!$C$71</f>
        <v>1385.83755</v>
      </c>
      <c r="AY282" s="78">
        <f>AJ282*Valores!$C$73</f>
        <v>307.9639</v>
      </c>
      <c r="AZ282" s="78">
        <f>AJ282*Valores!$C$74</f>
        <v>1077.87365</v>
      </c>
      <c r="BA282" s="78">
        <f>AJ282*Valores!$C$75</f>
        <v>184.77834000000001</v>
      </c>
      <c r="BB282" s="78">
        <f t="shared" si="59"/>
        <v>1663.00506</v>
      </c>
      <c r="BC282" s="20"/>
      <c r="BD282" s="20">
        <f t="shared" si="49"/>
        <v>108</v>
      </c>
      <c r="BE282" s="9" t="s">
        <v>462</v>
      </c>
    </row>
    <row r="283" spans="1:57" s="9" customFormat="1" ht="11.25" customHeight="1">
      <c r="A283" s="20">
        <v>282</v>
      </c>
      <c r="B283" s="20"/>
      <c r="C283" s="9" t="s">
        <v>355</v>
      </c>
      <c r="D283" s="9">
        <v>28</v>
      </c>
      <c r="E283" s="9">
        <f t="shared" si="57"/>
        <v>34</v>
      </c>
      <c r="F283" s="10" t="str">
        <f>CONCATENATE("Hora Cátedra Enseñanza Media ",D283," hs")</f>
        <v>Hora Cátedra Enseñanza Media 28 hs</v>
      </c>
      <c r="G283" s="123">
        <f t="shared" si="50"/>
        <v>2212</v>
      </c>
      <c r="H283" s="7">
        <f>INT((G283*Valores!$C$2*100))/100</f>
        <v>13270.46</v>
      </c>
      <c r="I283" s="134">
        <v>0</v>
      </c>
      <c r="J283" s="77">
        <f>INT((I283*Valores!$C$2*100)+0.5)/100</f>
        <v>0</v>
      </c>
      <c r="K283" s="146">
        <v>0</v>
      </c>
      <c r="L283" s="77">
        <f>INT((K283*Valores!$C$2*100)+0.5)/100</f>
        <v>0</v>
      </c>
      <c r="M283" s="120">
        <v>0</v>
      </c>
      <c r="N283" s="77">
        <f>INT((M283*Valores!$C$2*100)+0.5)/100</f>
        <v>0</v>
      </c>
      <c r="O283" s="77">
        <f t="shared" si="51"/>
        <v>0</v>
      </c>
      <c r="P283" s="77">
        <f t="shared" si="52"/>
        <v>7143.57</v>
      </c>
      <c r="Q283" s="61">
        <f>Valores!$C$14*D283</f>
        <v>3851.12</v>
      </c>
      <c r="R283" s="61">
        <f>IF(D283&lt;15,(Valores!$E$4*D283),Valores!$D$4)</f>
        <v>2683.49</v>
      </c>
      <c r="S283" s="77">
        <v>0</v>
      </c>
      <c r="T283" s="79">
        <f>IF(Valores!$C$45*D283&gt;Valores!$C$43,Valores!$C$43,Valores!$C$45*D283)</f>
        <v>1016.6800000000001</v>
      </c>
      <c r="U283" s="61">
        <f>Valores!$C$22*D283</f>
        <v>1492.3999999999999</v>
      </c>
      <c r="V283" s="77">
        <f t="shared" si="48"/>
        <v>2238.6</v>
      </c>
      <c r="W283" s="77">
        <v>0</v>
      </c>
      <c r="X283" s="77">
        <v>0</v>
      </c>
      <c r="Y283" s="37">
        <v>0</v>
      </c>
      <c r="Z283" s="77">
        <f>Y283*Valores!$C$2</f>
        <v>0</v>
      </c>
      <c r="AA283" s="77">
        <v>0</v>
      </c>
      <c r="AB283" s="89">
        <f>IF((Valores!$C$32)*D283&gt;Valores!$F$32,Valores!$F$32,(Valores!$C$32)*D283)</f>
        <v>169.67999999999998</v>
      </c>
      <c r="AC283" s="77">
        <f t="shared" si="53"/>
        <v>0</v>
      </c>
      <c r="AD283" s="77">
        <f>IF(Valores!$C$33*D283&gt;Valores!$F$33,Valores!$F$33,Valores!$C$33*D283)</f>
        <v>141.12</v>
      </c>
      <c r="AE283" s="116">
        <v>0</v>
      </c>
      <c r="AF283" s="77">
        <f>INT(((AE283*Valores!$C$2)*100)+0.5)/100</f>
        <v>0</v>
      </c>
      <c r="AG283" s="77">
        <f>IF(Valores!$D$58*'Escala Docente'!D283&gt;Valores!$F$58,Valores!$F$58,Valores!$D$58*'Escala Docente'!D283)</f>
        <v>574</v>
      </c>
      <c r="AH283" s="77">
        <f>IF(Valores!$D$60*D283&gt;Valores!$F$60,Valores!$F$60,Valores!$D$60*D283)</f>
        <v>164.08</v>
      </c>
      <c r="AI283" s="77">
        <f>SUM(H283,J283,L283,N283,O283,P283,Q283,R283,S283,T283,V283,W283,X283,Z283,AA283,AB283,AC283,AD283,AF283,AG283,AH283)*Valores!$C$63</f>
        <v>0</v>
      </c>
      <c r="AJ283" s="140">
        <f t="shared" si="54"/>
        <v>31252.8</v>
      </c>
      <c r="AK283" s="61">
        <f>IF(Valores!$C$36*D283&gt;Valores!$F$36,Valores!$F$36,Valores!$C$36*D283)</f>
        <v>775.88</v>
      </c>
      <c r="AL283" s="79">
        <f>IF(Valores!$C$11*D283&gt;Valores!$F$11,Valores!$F$11,Valores!$C$11*D283)</f>
        <v>273.56</v>
      </c>
      <c r="AM283" s="89">
        <f>IF(Valores!$C$57*D283&gt;Valores!$F$57,Valores!$F$57,Valores!$C$57*D283)</f>
        <v>240.51999999999998</v>
      </c>
      <c r="AN283" s="79">
        <f>IF($H$4="SI",SUM(AL283+AM283),AL283)*Valores!$C$63</f>
        <v>0</v>
      </c>
      <c r="AO283" s="12">
        <f t="shared" si="58"/>
        <v>1289.96</v>
      </c>
      <c r="AP283" s="13">
        <f>AJ283*-Valores!$C$65</f>
        <v>-4062.864</v>
      </c>
      <c r="AQ283" s="13">
        <f>AJ283*-Valores!$C$66</f>
        <v>-156.264</v>
      </c>
      <c r="AR283" s="78">
        <f>AJ283*-Valores!$C$67</f>
        <v>-1406.376</v>
      </c>
      <c r="AS283" s="78">
        <f>AJ283*-Valores!$C$68</f>
        <v>-843.8256000000001</v>
      </c>
      <c r="AT283" s="78">
        <f>AJ283*-Valores!$C$69</f>
        <v>-93.7584</v>
      </c>
      <c r="AU283" s="15">
        <f t="shared" si="55"/>
        <v>26917.255999999998</v>
      </c>
      <c r="AV283" s="15">
        <f t="shared" si="56"/>
        <v>27386.048</v>
      </c>
      <c r="AW283" s="78">
        <f>AJ283*Valores!$C$70</f>
        <v>5000.448</v>
      </c>
      <c r="AX283" s="78">
        <f>AJ283*Valores!$C$71</f>
        <v>1406.376</v>
      </c>
      <c r="AY283" s="78">
        <f>AJ283*Valores!$C$73</f>
        <v>312.528</v>
      </c>
      <c r="AZ283" s="78">
        <f>AJ283*Valores!$C$74</f>
        <v>1093.8480000000002</v>
      </c>
      <c r="BA283" s="78">
        <f>AJ283*Valores!$C$75</f>
        <v>187.5168</v>
      </c>
      <c r="BB283" s="78">
        <f t="shared" si="59"/>
        <v>1687.6512</v>
      </c>
      <c r="BC283" s="20"/>
      <c r="BD283" s="20">
        <f t="shared" si="49"/>
        <v>112</v>
      </c>
      <c r="BE283" s="9" t="s">
        <v>462</v>
      </c>
    </row>
    <row r="284" spans="1:57" s="9" customFormat="1" ht="11.25" customHeight="1">
      <c r="A284" s="20">
        <v>283</v>
      </c>
      <c r="B284" s="20"/>
      <c r="C284" s="9" t="s">
        <v>355</v>
      </c>
      <c r="D284" s="9">
        <v>28</v>
      </c>
      <c r="E284" s="9">
        <f t="shared" si="57"/>
        <v>42</v>
      </c>
      <c r="F284" s="10" t="str">
        <f>CONCATENATE("Hora Cátedra Enseñanza Media ",D284," hs Esc Esp")</f>
        <v>Hora Cátedra Enseñanza Media 28 hs Esc Esp</v>
      </c>
      <c r="G284" s="123">
        <f t="shared" si="50"/>
        <v>2212</v>
      </c>
      <c r="H284" s="7">
        <f>INT((G284*Valores!$C$2*100))/100</f>
        <v>13270.46</v>
      </c>
      <c r="I284" s="134">
        <v>0</v>
      </c>
      <c r="J284" s="77">
        <f>INT((I284*Valores!$C$2*100)+0.5)/100</f>
        <v>0</v>
      </c>
      <c r="K284" s="146">
        <v>0</v>
      </c>
      <c r="L284" s="77">
        <f>INT((K284*Valores!$C$2*100)+0.5)/100</f>
        <v>0</v>
      </c>
      <c r="M284" s="120">
        <v>0</v>
      </c>
      <c r="N284" s="77">
        <f>INT((M284*Valores!$C$2*100)+0.5)/100</f>
        <v>0</v>
      </c>
      <c r="O284" s="77">
        <f t="shared" si="51"/>
        <v>0</v>
      </c>
      <c r="P284" s="77">
        <f t="shared" si="52"/>
        <v>7143.57</v>
      </c>
      <c r="Q284" s="61">
        <f>Valores!$C$14*D284</f>
        <v>3851.12</v>
      </c>
      <c r="R284" s="61">
        <f>IF(D284&lt;15,(Valores!$E$4*D284),Valores!$D$4)</f>
        <v>2683.49</v>
      </c>
      <c r="S284" s="77">
        <v>0</v>
      </c>
      <c r="T284" s="79">
        <f>IF(Valores!$C$45*D284&gt;Valores!$C$43,Valores!$C$43,Valores!$C$45*D284)</f>
        <v>1016.6800000000001</v>
      </c>
      <c r="U284" s="61">
        <f>Valores!$C$22*D284</f>
        <v>1492.3999999999999</v>
      </c>
      <c r="V284" s="77">
        <f t="shared" si="48"/>
        <v>2238.6</v>
      </c>
      <c r="W284" s="77">
        <v>0</v>
      </c>
      <c r="X284" s="77">
        <v>0</v>
      </c>
      <c r="Y284" s="37">
        <v>0</v>
      </c>
      <c r="Z284" s="77">
        <f>Y284*Valores!$C$2</f>
        <v>0</v>
      </c>
      <c r="AA284" s="77">
        <v>0</v>
      </c>
      <c r="AB284" s="89">
        <f>IF((Valores!$C$32)*D284&gt;Valores!$F$32,Valores!$F$32,(Valores!$C$32)*D284)</f>
        <v>169.67999999999998</v>
      </c>
      <c r="AC284" s="77">
        <f t="shared" si="53"/>
        <v>0</v>
      </c>
      <c r="AD284" s="77">
        <f>IF(Valores!$C$33*D284&gt;Valores!$F$33,Valores!$F$33,Valores!$C$33*D284)</f>
        <v>141.12</v>
      </c>
      <c r="AE284" s="116">
        <v>94</v>
      </c>
      <c r="AF284" s="77">
        <f>INT(((AE284*Valores!$C$2)*100)+0.5)/100</f>
        <v>563.93</v>
      </c>
      <c r="AG284" s="77">
        <f>IF(Valores!$D$58*'Escala Docente'!D284&gt;Valores!$F$58,Valores!$F$58,Valores!$D$58*'Escala Docente'!D284)</f>
        <v>574</v>
      </c>
      <c r="AH284" s="77">
        <f>IF(Valores!$D$60*D284&gt;Valores!$F$60,Valores!$F$60,Valores!$D$60*D284)</f>
        <v>164.08</v>
      </c>
      <c r="AI284" s="77">
        <f>SUM(H284,J284,L284,N284,O284,P284,Q284,R284,S284,T284,V284,W284,X284,Z284,AA284,AB284,AC284,AD284,AF284,AG284,AH284)*Valores!$C$63</f>
        <v>0</v>
      </c>
      <c r="AJ284" s="140">
        <f t="shared" si="54"/>
        <v>31816.73</v>
      </c>
      <c r="AK284" s="61">
        <f>IF(Valores!$C$36*D284&gt;Valores!$F$36,Valores!$F$36,Valores!$C$36*D284)</f>
        <v>775.88</v>
      </c>
      <c r="AL284" s="79">
        <f>IF(Valores!$C$11*D284&gt;Valores!$F$11,Valores!$F$11,Valores!$C$11*D284)</f>
        <v>273.56</v>
      </c>
      <c r="AM284" s="89">
        <f>IF(Valores!$C$57*D284&gt;Valores!$F$57,Valores!$F$57,Valores!$C$57*D284)</f>
        <v>240.51999999999998</v>
      </c>
      <c r="AN284" s="79">
        <f>IF($H$4="SI",SUM(AL284+AM284),AL284)*Valores!$C$63</f>
        <v>0</v>
      </c>
      <c r="AO284" s="12">
        <f t="shared" si="58"/>
        <v>1289.96</v>
      </c>
      <c r="AP284" s="13">
        <f>AJ284*-Valores!$C$65</f>
        <v>-4136.1749</v>
      </c>
      <c r="AQ284" s="13">
        <f>AJ284*-Valores!$C$66</f>
        <v>-159.08365</v>
      </c>
      <c r="AR284" s="78">
        <f>AJ284*-Valores!$C$67</f>
        <v>-1431.7528499999999</v>
      </c>
      <c r="AS284" s="78">
        <f>AJ284*-Valores!$C$68</f>
        <v>-859.0517100000001</v>
      </c>
      <c r="AT284" s="78">
        <f>AJ284*-Valores!$C$69</f>
        <v>-95.45019</v>
      </c>
      <c r="AU284" s="15">
        <f t="shared" si="55"/>
        <v>27379.6786</v>
      </c>
      <c r="AV284" s="15">
        <f t="shared" si="56"/>
        <v>27856.929550000004</v>
      </c>
      <c r="AW284" s="78">
        <f>AJ284*Valores!$C$70</f>
        <v>5090.6768</v>
      </c>
      <c r="AX284" s="78">
        <f>AJ284*Valores!$C$71</f>
        <v>1431.7528499999999</v>
      </c>
      <c r="AY284" s="78">
        <f>AJ284*Valores!$C$73</f>
        <v>318.1673</v>
      </c>
      <c r="AZ284" s="78">
        <f>AJ284*Valores!$C$74</f>
        <v>1113.58555</v>
      </c>
      <c r="BA284" s="78">
        <f>AJ284*Valores!$C$75</f>
        <v>190.90038</v>
      </c>
      <c r="BB284" s="78">
        <f t="shared" si="59"/>
        <v>1718.1034200000001</v>
      </c>
      <c r="BC284" s="20"/>
      <c r="BD284" s="55">
        <f t="shared" si="49"/>
        <v>112</v>
      </c>
      <c r="BE284" s="9" t="s">
        <v>462</v>
      </c>
    </row>
    <row r="285" spans="1:57" s="9" customFormat="1" ht="11.25" customHeight="1">
      <c r="A285" s="20">
        <v>284</v>
      </c>
      <c r="B285" s="20"/>
      <c r="C285" s="9" t="s">
        <v>355</v>
      </c>
      <c r="D285" s="9">
        <v>29</v>
      </c>
      <c r="E285" s="9">
        <f t="shared" si="57"/>
        <v>34</v>
      </c>
      <c r="F285" s="10" t="str">
        <f>CONCATENATE("Hora Cátedra Enseñanza Media ",D285," hs")</f>
        <v>Hora Cátedra Enseñanza Media 29 hs</v>
      </c>
      <c r="G285" s="123">
        <f t="shared" si="50"/>
        <v>2291</v>
      </c>
      <c r="H285" s="7">
        <f>INT((G285*Valores!$C$2*100))/100</f>
        <v>13744.4</v>
      </c>
      <c r="I285" s="134">
        <v>0</v>
      </c>
      <c r="J285" s="77">
        <f>INT((I285*Valores!$C$2*100)+0.5)/100</f>
        <v>0</v>
      </c>
      <c r="K285" s="146">
        <v>0</v>
      </c>
      <c r="L285" s="77">
        <f>INT((K285*Valores!$C$2*100)+0.5)/100</f>
        <v>0</v>
      </c>
      <c r="M285" s="120">
        <v>0</v>
      </c>
      <c r="N285" s="77">
        <f>INT((M285*Valores!$C$2*100)+0.5)/100</f>
        <v>0</v>
      </c>
      <c r="O285" s="77">
        <f t="shared" si="51"/>
        <v>0</v>
      </c>
      <c r="P285" s="77">
        <f t="shared" si="52"/>
        <v>7398.695</v>
      </c>
      <c r="Q285" s="61">
        <f>Valores!$C$14*D285</f>
        <v>3988.66</v>
      </c>
      <c r="R285" s="61">
        <f>IF(D285&lt;15,(Valores!$E$4*D285),Valores!$D$4)</f>
        <v>2683.49</v>
      </c>
      <c r="S285" s="77">
        <v>0</v>
      </c>
      <c r="T285" s="79">
        <f>IF(Valores!$C$45*D285&gt;Valores!$C$43,Valores!$C$43,Valores!$C$45*D285)</f>
        <v>1052.99</v>
      </c>
      <c r="U285" s="61">
        <f>Valores!$C$22*D285</f>
        <v>1545.6999999999998</v>
      </c>
      <c r="V285" s="77">
        <f t="shared" si="48"/>
        <v>2318.5499999999997</v>
      </c>
      <c r="W285" s="77">
        <v>0</v>
      </c>
      <c r="X285" s="77">
        <v>0</v>
      </c>
      <c r="Y285" s="37">
        <v>0</v>
      </c>
      <c r="Z285" s="77">
        <f>Y285*Valores!$C$2</f>
        <v>0</v>
      </c>
      <c r="AA285" s="77">
        <v>0</v>
      </c>
      <c r="AB285" s="89">
        <f>IF((Valores!$C$32)*D285&gt;Valores!$F$32,Valores!$F$32,(Valores!$C$32)*D285)</f>
        <v>175.73999999999998</v>
      </c>
      <c r="AC285" s="77">
        <f t="shared" si="53"/>
        <v>0</v>
      </c>
      <c r="AD285" s="77">
        <f>IF(Valores!$C$33*D285&gt;Valores!$F$33,Valores!$F$33,Valores!$C$33*D285)</f>
        <v>146.16</v>
      </c>
      <c r="AE285" s="116">
        <v>0</v>
      </c>
      <c r="AF285" s="77">
        <f>INT(((AE285*Valores!$C$2)*100)+0.5)/100</f>
        <v>0</v>
      </c>
      <c r="AG285" s="77">
        <f>IF(Valores!$D$58*'Escala Docente'!D285&gt;Valores!$F$58,Valores!$F$58,Valores!$D$58*'Escala Docente'!D285)</f>
        <v>594.5</v>
      </c>
      <c r="AH285" s="77">
        <f>IF(Valores!$D$60*D285&gt;Valores!$F$60,Valores!$F$60,Valores!$D$60*D285)</f>
        <v>169.94</v>
      </c>
      <c r="AI285" s="77">
        <f>SUM(H285,J285,L285,N285,O285,P285,Q285,R285,S285,T285,V285,W285,X285,Z285,AA285,AB285,AC285,AD285,AF285,AG285,AH285)*Valores!$C$63</f>
        <v>0</v>
      </c>
      <c r="AJ285" s="140">
        <f t="shared" si="54"/>
        <v>32273.125000000004</v>
      </c>
      <c r="AK285" s="61">
        <f>IF(Valores!$C$36*D285&gt;Valores!$F$36,Valores!$F$36,Valores!$C$36*D285)</f>
        <v>803.59</v>
      </c>
      <c r="AL285" s="79">
        <f>IF(Valores!$C$11*D285&gt;Valores!$F$11,Valores!$F$11,Valores!$C$11*D285)</f>
        <v>283.33</v>
      </c>
      <c r="AM285" s="89">
        <f>IF(Valores!$C$57*D285&gt;Valores!$F$57,Valores!$F$57,Valores!$C$57*D285)</f>
        <v>249.10999999999999</v>
      </c>
      <c r="AN285" s="79">
        <f>IF($H$4="SI",SUM(AL285+AM285),AL285)*Valores!$C$63</f>
        <v>0</v>
      </c>
      <c r="AO285" s="12">
        <f t="shared" si="58"/>
        <v>1336.03</v>
      </c>
      <c r="AP285" s="13">
        <f>AJ285*-Valores!$C$65</f>
        <v>-4195.50625</v>
      </c>
      <c r="AQ285" s="13">
        <f>AJ285*-Valores!$C$66</f>
        <v>-161.36562500000002</v>
      </c>
      <c r="AR285" s="78">
        <f>AJ285*-Valores!$C$67</f>
        <v>-1452.290625</v>
      </c>
      <c r="AS285" s="78">
        <f>AJ285*-Valores!$C$68</f>
        <v>-871.3743750000002</v>
      </c>
      <c r="AT285" s="78">
        <f>AJ285*-Valores!$C$69</f>
        <v>-96.81937500000001</v>
      </c>
      <c r="AU285" s="15">
        <f t="shared" si="55"/>
        <v>27799.992500000008</v>
      </c>
      <c r="AV285" s="15">
        <f t="shared" si="56"/>
        <v>28284.08937500001</v>
      </c>
      <c r="AW285" s="78">
        <f>AJ285*Valores!$C$70</f>
        <v>5163.700000000001</v>
      </c>
      <c r="AX285" s="78">
        <f>AJ285*Valores!$C$71</f>
        <v>1452.290625</v>
      </c>
      <c r="AY285" s="78">
        <f>AJ285*Valores!$C$73</f>
        <v>322.73125000000005</v>
      </c>
      <c r="AZ285" s="78">
        <f>AJ285*Valores!$C$74</f>
        <v>1129.5593750000003</v>
      </c>
      <c r="BA285" s="78">
        <f>AJ285*Valores!$C$75</f>
        <v>193.63875000000002</v>
      </c>
      <c r="BB285" s="78">
        <f t="shared" si="59"/>
        <v>1742.7487500000002</v>
      </c>
      <c r="BC285" s="20"/>
      <c r="BD285" s="20">
        <f t="shared" si="49"/>
        <v>116</v>
      </c>
      <c r="BE285" s="9" t="s">
        <v>461</v>
      </c>
    </row>
    <row r="286" spans="1:57" s="9" customFormat="1" ht="11.25" customHeight="1">
      <c r="A286" s="55">
        <v>285</v>
      </c>
      <c r="B286" s="55" t="s">
        <v>458</v>
      </c>
      <c r="C286" s="52" t="s">
        <v>355</v>
      </c>
      <c r="D286" s="52">
        <v>29</v>
      </c>
      <c r="E286" s="52">
        <f t="shared" si="57"/>
        <v>42</v>
      </c>
      <c r="F286" s="53" t="str">
        <f>CONCATENATE("Hora Cátedra Enseñanza Media ",D286," hs Esc Esp")</f>
        <v>Hora Cátedra Enseñanza Media 29 hs Esc Esp</v>
      </c>
      <c r="G286" s="124">
        <f t="shared" si="50"/>
        <v>2291</v>
      </c>
      <c r="H286" s="129">
        <f>INT((G286*Valores!$C$2*100))/100</f>
        <v>13744.4</v>
      </c>
      <c r="I286" s="133">
        <v>0</v>
      </c>
      <c r="J286" s="80">
        <f>INT((I286*Valores!$C$2*100)+0.5)/100</f>
        <v>0</v>
      </c>
      <c r="K286" s="147">
        <v>0</v>
      </c>
      <c r="L286" s="80">
        <f>INT((K286*Valores!$C$2*100)+0.5)/100</f>
        <v>0</v>
      </c>
      <c r="M286" s="121">
        <v>0</v>
      </c>
      <c r="N286" s="80">
        <f>INT((M286*Valores!$C$2*100)+0.5)/100</f>
        <v>0</v>
      </c>
      <c r="O286" s="80">
        <f t="shared" si="51"/>
        <v>0</v>
      </c>
      <c r="P286" s="80">
        <f t="shared" si="52"/>
        <v>7398.695</v>
      </c>
      <c r="Q286" s="85">
        <f>Valores!$C$14*D286</f>
        <v>3988.66</v>
      </c>
      <c r="R286" s="85">
        <f>IF(D286&lt;15,(Valores!$E$4*D286),Valores!$D$4)</f>
        <v>2683.49</v>
      </c>
      <c r="S286" s="80">
        <v>0</v>
      </c>
      <c r="T286" s="82">
        <f>IF(Valores!$C$45*D286&gt;Valores!$C$43,Valores!$C$43,Valores!$C$45*D286)</f>
        <v>1052.99</v>
      </c>
      <c r="U286" s="85">
        <f>Valores!$C$22*D286</f>
        <v>1545.6999999999998</v>
      </c>
      <c r="V286" s="80">
        <f t="shared" si="48"/>
        <v>2318.5499999999997</v>
      </c>
      <c r="W286" s="80">
        <v>0</v>
      </c>
      <c r="X286" s="80">
        <v>0</v>
      </c>
      <c r="Y286" s="60">
        <v>0</v>
      </c>
      <c r="Z286" s="80">
        <f>Y286*Valores!$C$2</f>
        <v>0</v>
      </c>
      <c r="AA286" s="80">
        <v>0</v>
      </c>
      <c r="AB286" s="90">
        <f>IF((Valores!$C$32)*D286&gt;Valores!$F$32,Valores!$F$32,(Valores!$C$32)*D286)</f>
        <v>175.73999999999998</v>
      </c>
      <c r="AC286" s="80">
        <f t="shared" si="53"/>
        <v>0</v>
      </c>
      <c r="AD286" s="80">
        <f>IF(Valores!$C$33*D286&gt;Valores!$F$33,Valores!$F$33,Valores!$C$33*D286)</f>
        <v>146.16</v>
      </c>
      <c r="AE286" s="115">
        <v>94</v>
      </c>
      <c r="AF286" s="80">
        <f>INT(((AE286*Valores!$C$2)*100)+0.5)/100</f>
        <v>563.93</v>
      </c>
      <c r="AG286" s="80">
        <f>IF(Valores!$D$58*'Escala Docente'!D286&gt;Valores!$F$58,Valores!$F$58,Valores!$D$58*'Escala Docente'!D286)</f>
        <v>594.5</v>
      </c>
      <c r="AH286" s="80">
        <f>IF(Valores!$D$60*D286&gt;Valores!$F$60,Valores!$F$60,Valores!$D$60*D286)</f>
        <v>169.94</v>
      </c>
      <c r="AI286" s="80">
        <f>SUM(H286,J286,L286,N286,O286,P286,Q286,R286,S286,T286,V286,W286,X286,Z286,AA286,AB286,AC286,AD286,AF286,AG286,AH286)*Valores!$C$63</f>
        <v>0</v>
      </c>
      <c r="AJ286" s="141">
        <f t="shared" si="54"/>
        <v>32837.05500000001</v>
      </c>
      <c r="AK286" s="85">
        <f>IF(Valores!$C$36*D286&gt;Valores!$F$36,Valores!$F$36,Valores!$C$36*D286)</f>
        <v>803.59</v>
      </c>
      <c r="AL286" s="82">
        <f>IF(Valores!$C$11*D286&gt;Valores!$F$11,Valores!$F$11,Valores!$C$11*D286)</f>
        <v>283.33</v>
      </c>
      <c r="AM286" s="90">
        <f>IF(Valores!$C$57*D286&gt;Valores!$F$57,Valores!$F$57,Valores!$C$57*D286)</f>
        <v>249.10999999999999</v>
      </c>
      <c r="AN286" s="82">
        <f>IF($H$4="SI",SUM(AL286+AM286),AL286)*Valores!$C$63</f>
        <v>0</v>
      </c>
      <c r="AO286" s="185">
        <f t="shared" si="58"/>
        <v>1336.03</v>
      </c>
      <c r="AP286" s="154">
        <f>AJ286*-Valores!$C$65</f>
        <v>-4268.817150000001</v>
      </c>
      <c r="AQ286" s="154">
        <f>AJ286*-Valores!$C$66</f>
        <v>-164.18527500000005</v>
      </c>
      <c r="AR286" s="81">
        <f>AJ286*-Valores!$C$67</f>
        <v>-1477.6674750000002</v>
      </c>
      <c r="AS286" s="81">
        <f>AJ286*-Valores!$C$68</f>
        <v>-886.6004850000003</v>
      </c>
      <c r="AT286" s="81">
        <f>AJ286*-Valores!$C$69</f>
        <v>-98.51116500000002</v>
      </c>
      <c r="AU286" s="54">
        <f t="shared" si="55"/>
        <v>28262.4151</v>
      </c>
      <c r="AV286" s="54">
        <f t="shared" si="56"/>
        <v>28754.970924999998</v>
      </c>
      <c r="AW286" s="81">
        <f>AJ286*Valores!$C$70</f>
        <v>5253.9288000000015</v>
      </c>
      <c r="AX286" s="81">
        <f>AJ286*Valores!$C$71</f>
        <v>1477.6674750000002</v>
      </c>
      <c r="AY286" s="81">
        <f>AJ286*Valores!$C$73</f>
        <v>328.3705500000001</v>
      </c>
      <c r="AZ286" s="81">
        <f>AJ286*Valores!$C$74</f>
        <v>1149.2969250000003</v>
      </c>
      <c r="BA286" s="81">
        <f>AJ286*Valores!$C$75</f>
        <v>197.02233000000004</v>
      </c>
      <c r="BB286" s="81">
        <f t="shared" si="59"/>
        <v>1773.2009700000008</v>
      </c>
      <c r="BC286" s="55"/>
      <c r="BD286" s="55">
        <f t="shared" si="49"/>
        <v>116</v>
      </c>
      <c r="BE286" s="52" t="s">
        <v>461</v>
      </c>
    </row>
    <row r="287" spans="1:57" s="9" customFormat="1" ht="11.25" customHeight="1">
      <c r="A287" s="20">
        <v>286</v>
      </c>
      <c r="B287" s="20"/>
      <c r="C287" s="9" t="s">
        <v>355</v>
      </c>
      <c r="D287" s="9">
        <v>30</v>
      </c>
      <c r="E287" s="9">
        <f t="shared" si="57"/>
        <v>34</v>
      </c>
      <c r="F287" s="10" t="str">
        <f>CONCATENATE("Hora Cátedra Enseñanza Media ",D287," hs")</f>
        <v>Hora Cátedra Enseñanza Media 30 hs</v>
      </c>
      <c r="G287" s="123">
        <f t="shared" si="50"/>
        <v>2370</v>
      </c>
      <c r="H287" s="7">
        <f>INT((G287*Valores!$C$2*100))/100</f>
        <v>14218.35</v>
      </c>
      <c r="I287" s="134">
        <v>0</v>
      </c>
      <c r="J287" s="77">
        <f>INT((I287*Valores!$C$2*100)+0.5)/100</f>
        <v>0</v>
      </c>
      <c r="K287" s="146">
        <v>0</v>
      </c>
      <c r="L287" s="77">
        <f>INT((K287*Valores!$C$2*100)+0.5)/100</f>
        <v>0</v>
      </c>
      <c r="M287" s="120">
        <v>0</v>
      </c>
      <c r="N287" s="77">
        <f>INT((M287*Valores!$C$2*100)+0.5)/100</f>
        <v>0</v>
      </c>
      <c r="O287" s="77">
        <f t="shared" si="51"/>
        <v>0</v>
      </c>
      <c r="P287" s="77">
        <f t="shared" si="52"/>
        <v>7653.825000000001</v>
      </c>
      <c r="Q287" s="61">
        <f>Valores!$C$14*D287</f>
        <v>4126.2</v>
      </c>
      <c r="R287" s="61">
        <f>IF(D287&lt;15,(Valores!$E$4*D287),Valores!$D$4)</f>
        <v>2683.49</v>
      </c>
      <c r="S287" s="77">
        <v>0</v>
      </c>
      <c r="T287" s="79">
        <f>IF(Valores!$C$45*D287&gt;Valores!$C$43,Valores!$C$43,Valores!$C$45*D287)</f>
        <v>1089.3000000000002</v>
      </c>
      <c r="U287" s="61">
        <f>Valores!$C$22*D287</f>
        <v>1599</v>
      </c>
      <c r="V287" s="77">
        <f t="shared" si="48"/>
        <v>2398.5</v>
      </c>
      <c r="W287" s="77">
        <v>0</v>
      </c>
      <c r="X287" s="77">
        <v>0</v>
      </c>
      <c r="Y287" s="37">
        <v>0</v>
      </c>
      <c r="Z287" s="77">
        <f>Y287*Valores!$C$2</f>
        <v>0</v>
      </c>
      <c r="AA287" s="77">
        <v>0</v>
      </c>
      <c r="AB287" s="89">
        <f>IF((Valores!$C$32)*D287&gt;Valores!$F$32,Valores!$F$32,(Valores!$C$32)*D287)</f>
        <v>181.79999999999998</v>
      </c>
      <c r="AC287" s="77">
        <f t="shared" si="53"/>
        <v>0</v>
      </c>
      <c r="AD287" s="77">
        <f>IF(Valores!$C$33*D287&gt;Valores!$F$33,Valores!$F$33,Valores!$C$33*D287)</f>
        <v>151.15</v>
      </c>
      <c r="AE287" s="116">
        <v>0</v>
      </c>
      <c r="AF287" s="77">
        <f>INT(((AE287*Valores!$C$2)*100)+0.5)/100</f>
        <v>0</v>
      </c>
      <c r="AG287" s="77">
        <f>IF(Valores!$D$58*'Escala Docente'!D287&gt;Valores!$F$58,Valores!$F$58,Valores!$D$58*'Escala Docente'!D287)</f>
        <v>614.92</v>
      </c>
      <c r="AH287" s="77">
        <f>IF(Valores!$D$60*D287&gt;Valores!$F$60,Valores!$F$60,Valores!$D$60*D287)</f>
        <v>175.7</v>
      </c>
      <c r="AI287" s="77">
        <f>SUM(H287,J287,L287,N287,O287,P287,Q287,R287,S287,T287,V287,W287,X287,Z287,AA287,AB287,AC287,AD287,AF287,AG287,AH287)*Valores!$C$63</f>
        <v>0</v>
      </c>
      <c r="AJ287" s="140">
        <f t="shared" si="54"/>
        <v>33293.235</v>
      </c>
      <c r="AK287" s="61">
        <f>IF(Valores!$C$36*D287&gt;Valores!$F$36,Valores!$F$36,Valores!$C$36*D287)</f>
        <v>831.18</v>
      </c>
      <c r="AL287" s="79">
        <f>IF(Valores!$C$11*D287&gt;Valores!$F$11,Valores!$F$11,Valores!$C$11*D287)</f>
        <v>293.09999999999997</v>
      </c>
      <c r="AM287" s="89">
        <f>IF(Valores!$C$57*D287&gt;Valores!$F$57,Valores!$F$57,Valores!$C$57*D287)</f>
        <v>257.67</v>
      </c>
      <c r="AN287" s="79">
        <f>IF($H$4="SI",SUM(AL287+AM287),AL287)*Valores!$C$63</f>
        <v>0</v>
      </c>
      <c r="AO287" s="12">
        <f t="shared" si="58"/>
        <v>1381.95</v>
      </c>
      <c r="AP287" s="13">
        <f>AJ287*-Valores!$C$65</f>
        <v>-4328.120550000001</v>
      </c>
      <c r="AQ287" s="13">
        <f>AJ287*-Valores!$C$66</f>
        <v>-166.466175</v>
      </c>
      <c r="AR287" s="78">
        <f>AJ287*-Valores!$C$67</f>
        <v>-1498.195575</v>
      </c>
      <c r="AS287" s="78">
        <f>AJ287*-Valores!$C$68</f>
        <v>-898.9173450000001</v>
      </c>
      <c r="AT287" s="78">
        <f>AJ287*-Valores!$C$69</f>
        <v>-99.879705</v>
      </c>
      <c r="AU287" s="15">
        <f t="shared" si="55"/>
        <v>28682.4027</v>
      </c>
      <c r="AV287" s="15">
        <f t="shared" si="56"/>
        <v>29181.801224999996</v>
      </c>
      <c r="AW287" s="78">
        <f>AJ287*Valores!$C$70</f>
        <v>5326.9176</v>
      </c>
      <c r="AX287" s="78">
        <f>AJ287*Valores!$C$71</f>
        <v>1498.195575</v>
      </c>
      <c r="AY287" s="78">
        <f>AJ287*Valores!$C$73</f>
        <v>332.93235</v>
      </c>
      <c r="AZ287" s="78">
        <f>AJ287*Valores!$C$74</f>
        <v>1165.2632250000001</v>
      </c>
      <c r="BA287" s="78">
        <f>AJ287*Valores!$C$75</f>
        <v>199.75941</v>
      </c>
      <c r="BB287" s="78">
        <f t="shared" si="59"/>
        <v>1797.8346900000001</v>
      </c>
      <c r="BC287" s="20"/>
      <c r="BD287" s="20">
        <f t="shared" si="49"/>
        <v>120</v>
      </c>
      <c r="BE287" s="9" t="s">
        <v>462</v>
      </c>
    </row>
    <row r="288" spans="1:57" s="9" customFormat="1" ht="11.25" customHeight="1">
      <c r="A288" s="20">
        <v>287</v>
      </c>
      <c r="B288" s="20"/>
      <c r="C288" s="9" t="s">
        <v>355</v>
      </c>
      <c r="D288" s="9">
        <v>30</v>
      </c>
      <c r="E288" s="9">
        <f t="shared" si="57"/>
        <v>42</v>
      </c>
      <c r="F288" s="10" t="str">
        <f>CONCATENATE("Hora Cátedra Enseñanza Media ",D288," hs Esc Esp")</f>
        <v>Hora Cátedra Enseñanza Media 30 hs Esc Esp</v>
      </c>
      <c r="G288" s="123">
        <f t="shared" si="50"/>
        <v>2370</v>
      </c>
      <c r="H288" s="7">
        <f>INT((G288*Valores!$C$2*100))/100</f>
        <v>14218.35</v>
      </c>
      <c r="I288" s="134">
        <v>0</v>
      </c>
      <c r="J288" s="77">
        <f>INT((I288*Valores!$C$2*100)+0.5)/100</f>
        <v>0</v>
      </c>
      <c r="K288" s="146">
        <v>0</v>
      </c>
      <c r="L288" s="77">
        <f>INT((K288*Valores!$C$2*100)+0.5)/100</f>
        <v>0</v>
      </c>
      <c r="M288" s="120">
        <v>0</v>
      </c>
      <c r="N288" s="77">
        <f>INT((M288*Valores!$C$2*100)+0.5)/100</f>
        <v>0</v>
      </c>
      <c r="O288" s="77">
        <f t="shared" si="51"/>
        <v>0</v>
      </c>
      <c r="P288" s="77">
        <f t="shared" si="52"/>
        <v>7653.825000000001</v>
      </c>
      <c r="Q288" s="61">
        <f>Valores!$C$14*D288</f>
        <v>4126.2</v>
      </c>
      <c r="R288" s="61">
        <f>IF(D288&lt;15,(Valores!$E$4*D288),Valores!$D$4)</f>
        <v>2683.49</v>
      </c>
      <c r="S288" s="77">
        <v>0</v>
      </c>
      <c r="T288" s="79">
        <f>IF(Valores!$C$45*D288&gt;Valores!$C$43,Valores!$C$43,Valores!$C$45*D288)</f>
        <v>1089.3000000000002</v>
      </c>
      <c r="U288" s="61">
        <f>Valores!$C$22*D288</f>
        <v>1599</v>
      </c>
      <c r="V288" s="77">
        <f t="shared" si="48"/>
        <v>2398.5</v>
      </c>
      <c r="W288" s="77">
        <v>0</v>
      </c>
      <c r="X288" s="77">
        <v>0</v>
      </c>
      <c r="Y288" s="37">
        <v>0</v>
      </c>
      <c r="Z288" s="77">
        <f>Y288*Valores!$C$2</f>
        <v>0</v>
      </c>
      <c r="AA288" s="77">
        <v>0</v>
      </c>
      <c r="AB288" s="89">
        <f>IF((Valores!$C$32)*D288&gt;Valores!$F$32,Valores!$F$32,(Valores!$C$32)*D288)</f>
        <v>181.79999999999998</v>
      </c>
      <c r="AC288" s="77">
        <f t="shared" si="53"/>
        <v>0</v>
      </c>
      <c r="AD288" s="77">
        <f>IF(Valores!$C$33*D288&gt;Valores!$F$33,Valores!$F$33,Valores!$C$33*D288)</f>
        <v>151.15</v>
      </c>
      <c r="AE288" s="116">
        <v>94</v>
      </c>
      <c r="AF288" s="77">
        <f>INT(((AE288*Valores!$C$2)*100)+0.5)/100</f>
        <v>563.93</v>
      </c>
      <c r="AG288" s="77">
        <f>IF(Valores!$D$58*'Escala Docente'!D288&gt;Valores!$F$58,Valores!$F$58,Valores!$D$58*'Escala Docente'!D288)</f>
        <v>614.92</v>
      </c>
      <c r="AH288" s="77">
        <f>IF(Valores!$D$60*D288&gt;Valores!$F$60,Valores!$F$60,Valores!$D$60*D288)</f>
        <v>175.7</v>
      </c>
      <c r="AI288" s="77">
        <f>SUM(H288,J288,L288,N288,O288,P288,Q288,R288,S288,T288,V288,W288,X288,Z288,AA288,AB288,AC288,AD288,AF288,AG288,AH288)*Valores!$C$63</f>
        <v>0</v>
      </c>
      <c r="AJ288" s="140">
        <f t="shared" si="54"/>
        <v>33857.165</v>
      </c>
      <c r="AK288" s="61">
        <f>IF(Valores!$C$36*D288&gt;Valores!$F$36,Valores!$F$36,Valores!$C$36*D288)</f>
        <v>831.18</v>
      </c>
      <c r="AL288" s="79">
        <f>IF(Valores!$C$11*D288&gt;Valores!$F$11,Valores!$F$11,Valores!$C$11*D288)</f>
        <v>293.09999999999997</v>
      </c>
      <c r="AM288" s="89">
        <f>IF(Valores!$C$57*D288&gt;Valores!$F$57,Valores!$F$57,Valores!$C$57*D288)</f>
        <v>257.67</v>
      </c>
      <c r="AN288" s="79">
        <f>IF($H$4="SI",SUM(AL288+AM288),AL288)*Valores!$C$63</f>
        <v>0</v>
      </c>
      <c r="AO288" s="12">
        <f t="shared" si="58"/>
        <v>1381.95</v>
      </c>
      <c r="AP288" s="13">
        <f>AJ288*-Valores!$C$65</f>
        <v>-4401.43145</v>
      </c>
      <c r="AQ288" s="13">
        <f>AJ288*-Valores!$C$66</f>
        <v>-169.28582500000002</v>
      </c>
      <c r="AR288" s="78">
        <f>AJ288*-Valores!$C$67</f>
        <v>-1523.572425</v>
      </c>
      <c r="AS288" s="78">
        <f>AJ288*-Valores!$C$68</f>
        <v>-914.1434550000001</v>
      </c>
      <c r="AT288" s="78">
        <f>AJ288*-Valores!$C$69</f>
        <v>-101.571495</v>
      </c>
      <c r="AU288" s="15">
        <f t="shared" si="55"/>
        <v>29144.8253</v>
      </c>
      <c r="AV288" s="15">
        <f t="shared" si="56"/>
        <v>29652.682775</v>
      </c>
      <c r="AW288" s="78">
        <f>AJ288*Valores!$C$70</f>
        <v>5417.1464000000005</v>
      </c>
      <c r="AX288" s="78">
        <f>AJ288*Valores!$C$71</f>
        <v>1523.572425</v>
      </c>
      <c r="AY288" s="78">
        <f>AJ288*Valores!$C$73</f>
        <v>338.57165000000003</v>
      </c>
      <c r="AZ288" s="78">
        <f>AJ288*Valores!$C$74</f>
        <v>1185.0007750000002</v>
      </c>
      <c r="BA288" s="78">
        <f>AJ288*Valores!$C$75</f>
        <v>203.14299</v>
      </c>
      <c r="BB288" s="78">
        <f t="shared" si="59"/>
        <v>1828.2869100000003</v>
      </c>
      <c r="BC288" s="20"/>
      <c r="BD288" s="20">
        <f t="shared" si="49"/>
        <v>120</v>
      </c>
      <c r="BE288" s="9" t="s">
        <v>462</v>
      </c>
    </row>
    <row r="289" spans="1:57" s="9" customFormat="1" ht="11.25" customHeight="1">
      <c r="A289" s="20">
        <v>288</v>
      </c>
      <c r="B289" s="20"/>
      <c r="C289" s="9" t="s">
        <v>355</v>
      </c>
      <c r="D289" s="9">
        <v>31</v>
      </c>
      <c r="E289" s="9">
        <f t="shared" si="57"/>
        <v>34</v>
      </c>
      <c r="F289" s="10" t="str">
        <f>CONCATENATE("Hora Cátedra Enseñanza Media ",D289," hs")</f>
        <v>Hora Cátedra Enseñanza Media 31 hs</v>
      </c>
      <c r="G289" s="123">
        <f t="shared" si="50"/>
        <v>2449</v>
      </c>
      <c r="H289" s="7">
        <f>INT((G289*Valores!$C$2*100))/100</f>
        <v>14692.29</v>
      </c>
      <c r="I289" s="134">
        <v>0</v>
      </c>
      <c r="J289" s="77">
        <f>INT((I289*Valores!$C$2*100)+0.5)/100</f>
        <v>0</v>
      </c>
      <c r="K289" s="146">
        <v>0</v>
      </c>
      <c r="L289" s="77">
        <f>INT((K289*Valores!$C$2*100)+0.5)/100</f>
        <v>0</v>
      </c>
      <c r="M289" s="120">
        <v>0</v>
      </c>
      <c r="N289" s="77">
        <f>INT((M289*Valores!$C$2*100)+0.5)/100</f>
        <v>0</v>
      </c>
      <c r="O289" s="77">
        <f t="shared" si="51"/>
        <v>0</v>
      </c>
      <c r="P289" s="77">
        <f t="shared" si="52"/>
        <v>7908.950000000001</v>
      </c>
      <c r="Q289" s="61">
        <f>Valores!$C$14*D289</f>
        <v>4263.74</v>
      </c>
      <c r="R289" s="61">
        <f>IF(D289&lt;15,(Valores!$E$4*D289),Valores!$D$4)</f>
        <v>2683.49</v>
      </c>
      <c r="S289" s="77">
        <v>0</v>
      </c>
      <c r="T289" s="79">
        <f>IF(Valores!$C$45*D289&gt;Valores!$C$43,Valores!$C$43,Valores!$C$45*D289)</f>
        <v>1125.6100000000001</v>
      </c>
      <c r="U289" s="61">
        <f>Valores!$C$22*D289</f>
        <v>1652.3</v>
      </c>
      <c r="V289" s="77">
        <f t="shared" si="48"/>
        <v>2478.45</v>
      </c>
      <c r="W289" s="77">
        <v>0</v>
      </c>
      <c r="X289" s="77">
        <v>0</v>
      </c>
      <c r="Y289" s="37">
        <v>0</v>
      </c>
      <c r="Z289" s="77">
        <f>Y289*Valores!$C$2</f>
        <v>0</v>
      </c>
      <c r="AA289" s="77">
        <v>0</v>
      </c>
      <c r="AB289" s="89">
        <f>IF((Valores!$C$32)*D289&gt;Valores!$F$32,Valores!$F$32,(Valores!$C$32)*D289)</f>
        <v>187.85999999999999</v>
      </c>
      <c r="AC289" s="77">
        <f t="shared" si="53"/>
        <v>0</v>
      </c>
      <c r="AD289" s="77">
        <f>IF(Valores!$C$33*D289&gt;Valores!$F$33,Valores!$F$33,Valores!$C$33*D289)</f>
        <v>151.15</v>
      </c>
      <c r="AE289" s="116">
        <v>0</v>
      </c>
      <c r="AF289" s="77">
        <f>INT(((AE289*Valores!$C$2)*100)+0.5)/100</f>
        <v>0</v>
      </c>
      <c r="AG289" s="77">
        <f>IF(Valores!$D$58*'Escala Docente'!D289&gt;Valores!$F$58,Valores!$F$58,Valores!$D$58*'Escala Docente'!D289)</f>
        <v>614.92</v>
      </c>
      <c r="AH289" s="77">
        <f>IF(Valores!$D$60*D289&gt;Valores!$F$60,Valores!$F$60,Valores!$D$60*D289)</f>
        <v>175.7</v>
      </c>
      <c r="AI289" s="77">
        <f>SUM(H289,J289,L289,N289,O289,P289,Q289,R289,S289,T289,V289,W289,X289,Z289,AA289,AB289,AC289,AD289,AF289,AG289,AH289)*Valores!$C$63</f>
        <v>0</v>
      </c>
      <c r="AJ289" s="140">
        <f t="shared" si="54"/>
        <v>34282.159999999996</v>
      </c>
      <c r="AK289" s="61">
        <f>IF(Valores!$C$36*D289&gt;Valores!$F$36,Valores!$F$36,Valores!$C$36*D289)</f>
        <v>831.18</v>
      </c>
      <c r="AL289" s="79">
        <f>IF(Valores!$C$11*D289&gt;Valores!$F$11,Valores!$F$11,Valores!$C$11*D289)</f>
        <v>302.87</v>
      </c>
      <c r="AM289" s="89">
        <f>IF(Valores!$C$57*D289&gt;Valores!$F$57,Valores!$F$57,Valores!$C$57*D289)</f>
        <v>257.67</v>
      </c>
      <c r="AN289" s="79">
        <f>IF($H$4="SI",SUM(AL289+AM289),AL289)*Valores!$C$63</f>
        <v>0</v>
      </c>
      <c r="AO289" s="12">
        <f t="shared" si="58"/>
        <v>1391.72</v>
      </c>
      <c r="AP289" s="13">
        <f>AJ289*-Valores!$C$65</f>
        <v>-4456.6808</v>
      </c>
      <c r="AQ289" s="13">
        <f>AJ289*-Valores!$C$66</f>
        <v>-171.4108</v>
      </c>
      <c r="AR289" s="78">
        <f>AJ289*-Valores!$C$67</f>
        <v>-1542.6971999999998</v>
      </c>
      <c r="AS289" s="78">
        <f>AJ289*-Valores!$C$68</f>
        <v>-925.61832</v>
      </c>
      <c r="AT289" s="78">
        <f>AJ289*-Valores!$C$69</f>
        <v>-102.84647999999999</v>
      </c>
      <c r="AU289" s="15">
        <f t="shared" si="55"/>
        <v>29503.091199999995</v>
      </c>
      <c r="AV289" s="15">
        <f t="shared" si="56"/>
        <v>30017.323599999996</v>
      </c>
      <c r="AW289" s="78">
        <f>AJ289*Valores!$C$70</f>
        <v>5485.1456</v>
      </c>
      <c r="AX289" s="78">
        <f>AJ289*Valores!$C$71</f>
        <v>1542.6971999999998</v>
      </c>
      <c r="AY289" s="78">
        <f>AJ289*Valores!$C$73</f>
        <v>342.8216</v>
      </c>
      <c r="AZ289" s="78">
        <f>AJ289*Valores!$C$74</f>
        <v>1199.8756</v>
      </c>
      <c r="BA289" s="78">
        <f>AJ289*Valores!$C$75</f>
        <v>205.69295999999997</v>
      </c>
      <c r="BB289" s="78">
        <f t="shared" si="59"/>
        <v>1851.2366399999999</v>
      </c>
      <c r="BC289" s="20"/>
      <c r="BD289" s="55">
        <f aca="true" t="shared" si="60" ref="BD289:BD301">4*D289</f>
        <v>124</v>
      </c>
      <c r="BE289" s="9" t="s">
        <v>461</v>
      </c>
    </row>
    <row r="290" spans="1:57" s="9" customFormat="1" ht="11.25" customHeight="1">
      <c r="A290" s="20">
        <v>289</v>
      </c>
      <c r="B290" s="20"/>
      <c r="C290" s="9" t="s">
        <v>355</v>
      </c>
      <c r="D290" s="9">
        <v>31</v>
      </c>
      <c r="E290" s="9">
        <f t="shared" si="57"/>
        <v>42</v>
      </c>
      <c r="F290" s="10" t="str">
        <f>CONCATENATE("Hora Cátedra Enseñanza Media ",D290," hs Esc Esp")</f>
        <v>Hora Cátedra Enseñanza Media 31 hs Esc Esp</v>
      </c>
      <c r="G290" s="123">
        <f t="shared" si="50"/>
        <v>2449</v>
      </c>
      <c r="H290" s="7">
        <f>INT((G290*Valores!$C$2*100))/100</f>
        <v>14692.29</v>
      </c>
      <c r="I290" s="134">
        <v>0</v>
      </c>
      <c r="J290" s="77">
        <f>INT((I290*Valores!$C$2*100)+0.5)/100</f>
        <v>0</v>
      </c>
      <c r="K290" s="146">
        <v>0</v>
      </c>
      <c r="L290" s="77">
        <f>INT((K290*Valores!$C$2*100)+0.5)/100</f>
        <v>0</v>
      </c>
      <c r="M290" s="120">
        <v>0</v>
      </c>
      <c r="N290" s="77">
        <f>INT((M290*Valores!$C$2*100)+0.5)/100</f>
        <v>0</v>
      </c>
      <c r="O290" s="77">
        <f t="shared" si="51"/>
        <v>0</v>
      </c>
      <c r="P290" s="77">
        <f t="shared" si="52"/>
        <v>7908.950000000001</v>
      </c>
      <c r="Q290" s="61">
        <f>Valores!$C$14*D290</f>
        <v>4263.74</v>
      </c>
      <c r="R290" s="61">
        <f>IF(D290&lt;15,(Valores!$E$4*D290),Valores!$D$4)</f>
        <v>2683.49</v>
      </c>
      <c r="S290" s="77">
        <v>0</v>
      </c>
      <c r="T290" s="79">
        <f>IF(Valores!$C$45*D290&gt;Valores!$C$43,Valores!$C$43,Valores!$C$45*D290)</f>
        <v>1125.6100000000001</v>
      </c>
      <c r="U290" s="61">
        <f>Valores!$C$22*D290</f>
        <v>1652.3</v>
      </c>
      <c r="V290" s="77">
        <f t="shared" si="48"/>
        <v>2478.45</v>
      </c>
      <c r="W290" s="77">
        <v>0</v>
      </c>
      <c r="X290" s="77">
        <v>0</v>
      </c>
      <c r="Y290" s="37">
        <v>0</v>
      </c>
      <c r="Z290" s="77">
        <f>Y290*Valores!$C$2</f>
        <v>0</v>
      </c>
      <c r="AA290" s="77">
        <v>0</v>
      </c>
      <c r="AB290" s="89">
        <f>IF((Valores!$C$32)*D290&gt;Valores!$F$32,Valores!$F$32,(Valores!$C$32)*D290)</f>
        <v>187.85999999999999</v>
      </c>
      <c r="AC290" s="77">
        <f t="shared" si="53"/>
        <v>0</v>
      </c>
      <c r="AD290" s="77">
        <f>IF(Valores!$C$33*D290&gt;Valores!$F$33,Valores!$F$33,Valores!$C$33*D290)</f>
        <v>151.15</v>
      </c>
      <c r="AE290" s="116">
        <v>94</v>
      </c>
      <c r="AF290" s="77">
        <f>INT(((AE290*Valores!$C$2)*100)+0.5)/100</f>
        <v>563.93</v>
      </c>
      <c r="AG290" s="77">
        <f>IF(Valores!$D$58*'Escala Docente'!D290&gt;Valores!$F$58,Valores!$F$58,Valores!$D$58*'Escala Docente'!D290)</f>
        <v>614.92</v>
      </c>
      <c r="AH290" s="77">
        <f>IF(Valores!$D$60*D290&gt;Valores!$F$60,Valores!$F$60,Valores!$D$60*D290)</f>
        <v>175.7</v>
      </c>
      <c r="AI290" s="77">
        <f>SUM(H290,J290,L290,N290,O290,P290,Q290,R290,S290,T290,V290,W290,X290,Z290,AA290,AB290,AC290,AD290,AF290,AG290,AH290)*Valores!$C$63</f>
        <v>0</v>
      </c>
      <c r="AJ290" s="140">
        <f t="shared" si="54"/>
        <v>34846.09</v>
      </c>
      <c r="AK290" s="61">
        <f>IF(Valores!$C$36*D290&gt;Valores!$F$36,Valores!$F$36,Valores!$C$36*D290)</f>
        <v>831.18</v>
      </c>
      <c r="AL290" s="79">
        <f>IF(Valores!$C$11*D290&gt;Valores!$F$11,Valores!$F$11,Valores!$C$11*D290)</f>
        <v>302.87</v>
      </c>
      <c r="AM290" s="89">
        <f>IF(Valores!$C$57*D290&gt;Valores!$F$57,Valores!$F$57,Valores!$C$57*D290)</f>
        <v>257.67</v>
      </c>
      <c r="AN290" s="79">
        <f>IF($H$4="SI",SUM(AL290+AM290),AL290)*Valores!$C$63</f>
        <v>0</v>
      </c>
      <c r="AO290" s="12">
        <f t="shared" si="58"/>
        <v>1391.72</v>
      </c>
      <c r="AP290" s="13">
        <f>AJ290*-Valores!$C$65</f>
        <v>-4529.9917</v>
      </c>
      <c r="AQ290" s="13">
        <f>AJ290*-Valores!$C$66</f>
        <v>-174.23045</v>
      </c>
      <c r="AR290" s="78">
        <f>AJ290*-Valores!$C$67</f>
        <v>-1568.0740499999997</v>
      </c>
      <c r="AS290" s="78">
        <f>AJ290*-Valores!$C$68</f>
        <v>-940.84443</v>
      </c>
      <c r="AT290" s="78">
        <f>AJ290*-Valores!$C$69</f>
        <v>-104.53827</v>
      </c>
      <c r="AU290" s="15">
        <f t="shared" si="55"/>
        <v>29965.513799999993</v>
      </c>
      <c r="AV290" s="15">
        <f t="shared" si="56"/>
        <v>30488.205149999998</v>
      </c>
      <c r="AW290" s="78">
        <f>AJ290*Valores!$C$70</f>
        <v>5575.3744</v>
      </c>
      <c r="AX290" s="78">
        <f>AJ290*Valores!$C$71</f>
        <v>1568.0740499999997</v>
      </c>
      <c r="AY290" s="78">
        <f>AJ290*Valores!$C$73</f>
        <v>348.4609</v>
      </c>
      <c r="AZ290" s="78">
        <f>AJ290*Valores!$C$74</f>
        <v>1219.61315</v>
      </c>
      <c r="BA290" s="78">
        <f>AJ290*Valores!$C$75</f>
        <v>209.07654</v>
      </c>
      <c r="BB290" s="78">
        <f t="shared" si="59"/>
        <v>1881.68886</v>
      </c>
      <c r="BC290" s="20"/>
      <c r="BD290" s="20">
        <f t="shared" si="60"/>
        <v>124</v>
      </c>
      <c r="BE290" s="9" t="s">
        <v>461</v>
      </c>
    </row>
    <row r="291" spans="1:57" s="9" customFormat="1" ht="11.25" customHeight="1">
      <c r="A291" s="55">
        <v>290</v>
      </c>
      <c r="B291" s="55" t="s">
        <v>458</v>
      </c>
      <c r="C291" s="52" t="s">
        <v>355</v>
      </c>
      <c r="D291" s="52">
        <v>32</v>
      </c>
      <c r="E291" s="52">
        <f t="shared" si="57"/>
        <v>34</v>
      </c>
      <c r="F291" s="53" t="str">
        <f>CONCATENATE("Hora Cátedra Enseñanza Media ",D291," hs")</f>
        <v>Hora Cátedra Enseñanza Media 32 hs</v>
      </c>
      <c r="G291" s="124">
        <f t="shared" si="50"/>
        <v>2528</v>
      </c>
      <c r="H291" s="129">
        <f>INT((G291*Valores!$C$2*100))/100</f>
        <v>15166.24</v>
      </c>
      <c r="I291" s="133">
        <v>0</v>
      </c>
      <c r="J291" s="80">
        <f>INT((I291*Valores!$C$2*100)+0.5)/100</f>
        <v>0</v>
      </c>
      <c r="K291" s="147">
        <v>0</v>
      </c>
      <c r="L291" s="80">
        <f>INT((K291*Valores!$C$2*100)+0.5)/100</f>
        <v>0</v>
      </c>
      <c r="M291" s="121">
        <v>0</v>
      </c>
      <c r="N291" s="80">
        <f>INT((M291*Valores!$C$2*100)+0.5)/100</f>
        <v>0</v>
      </c>
      <c r="O291" s="80">
        <f t="shared" si="51"/>
        <v>0</v>
      </c>
      <c r="P291" s="80">
        <f t="shared" si="52"/>
        <v>8164.08</v>
      </c>
      <c r="Q291" s="85">
        <f>Valores!$C$14*D291</f>
        <v>4401.28</v>
      </c>
      <c r="R291" s="85">
        <f>IF(D291&lt;15,(Valores!$E$4*D291),Valores!$D$4)</f>
        <v>2683.49</v>
      </c>
      <c r="S291" s="80">
        <v>0</v>
      </c>
      <c r="T291" s="82">
        <f>IF(Valores!$C$45*D291&gt;Valores!$C$43,Valores!$C$43,Valores!$C$45*D291)</f>
        <v>1161.92</v>
      </c>
      <c r="U291" s="85">
        <f>Valores!$C$22*D291</f>
        <v>1705.6</v>
      </c>
      <c r="V291" s="80">
        <f t="shared" si="48"/>
        <v>2558.3999999999996</v>
      </c>
      <c r="W291" s="80">
        <v>0</v>
      </c>
      <c r="X291" s="80">
        <v>0</v>
      </c>
      <c r="Y291" s="60">
        <v>0</v>
      </c>
      <c r="Z291" s="80">
        <f>Y291*Valores!$C$2</f>
        <v>0</v>
      </c>
      <c r="AA291" s="80">
        <v>0</v>
      </c>
      <c r="AB291" s="90">
        <f>IF((Valores!$C$32)*D291&gt;Valores!$F$32,Valores!$F$32,(Valores!$C$32)*D291)</f>
        <v>193.92</v>
      </c>
      <c r="AC291" s="80">
        <f t="shared" si="53"/>
        <v>0</v>
      </c>
      <c r="AD291" s="80">
        <f>IF(Valores!$C$33*D291&gt;Valores!$F$33,Valores!$F$33,Valores!$C$33*D291)</f>
        <v>151.15</v>
      </c>
      <c r="AE291" s="115">
        <v>0</v>
      </c>
      <c r="AF291" s="80">
        <f>INT(((AE291*Valores!$C$2)*100)+0.5)/100</f>
        <v>0</v>
      </c>
      <c r="AG291" s="80">
        <f>IF(Valores!$D$58*'Escala Docente'!D291&gt;Valores!$F$58,Valores!$F$58,Valores!$D$58*'Escala Docente'!D291)</f>
        <v>614.92</v>
      </c>
      <c r="AH291" s="80">
        <f>IF(Valores!$D$60*D291&gt;Valores!$F$60,Valores!$F$60,Valores!$D$60*D291)</f>
        <v>175.7</v>
      </c>
      <c r="AI291" s="80">
        <f>SUM(H291,J291,L291,N291,O291,P291,Q291,R291,S291,T291,V291,W291,X291,Z291,AA291,AB291,AC291,AD291,AF291,AG291,AH291)*Valores!$C$63</f>
        <v>0</v>
      </c>
      <c r="AJ291" s="141">
        <f t="shared" si="54"/>
        <v>35271.09999999999</v>
      </c>
      <c r="AK291" s="85">
        <f>IF(Valores!$C$36*D291&gt;Valores!$F$36,Valores!$F$36,Valores!$C$36*D291)</f>
        <v>831.18</v>
      </c>
      <c r="AL291" s="82">
        <f>IF(Valores!$C$11*D291&gt;Valores!$F$11,Valores!$F$11,Valores!$C$11*D291)</f>
        <v>312.64</v>
      </c>
      <c r="AM291" s="90">
        <f>IF(Valores!$C$57*D291&gt;Valores!$F$57,Valores!$F$57,Valores!$C$57*D291)</f>
        <v>257.67</v>
      </c>
      <c r="AN291" s="82">
        <f>IF($H$4="SI",SUM(AL291+AM291),AL291)*Valores!$C$63</f>
        <v>0</v>
      </c>
      <c r="AO291" s="185">
        <f t="shared" si="58"/>
        <v>1401.49</v>
      </c>
      <c r="AP291" s="154">
        <f>AJ291*-Valores!$C$65</f>
        <v>-4585.242999999999</v>
      </c>
      <c r="AQ291" s="154">
        <f>AJ291*-Valores!$C$66</f>
        <v>-176.35549999999995</v>
      </c>
      <c r="AR291" s="81">
        <f>AJ291*-Valores!$C$67</f>
        <v>-1587.1994999999995</v>
      </c>
      <c r="AS291" s="81">
        <f>AJ291*-Valores!$C$68</f>
        <v>-952.3196999999999</v>
      </c>
      <c r="AT291" s="81">
        <f>AJ291*-Valores!$C$69</f>
        <v>-105.81329999999997</v>
      </c>
      <c r="AU291" s="54">
        <f t="shared" si="55"/>
        <v>30323.79199999999</v>
      </c>
      <c r="AV291" s="54">
        <f t="shared" si="56"/>
        <v>30852.85849999999</v>
      </c>
      <c r="AW291" s="81">
        <f>AJ291*Valores!$C$70</f>
        <v>5643.375999999998</v>
      </c>
      <c r="AX291" s="81">
        <f>AJ291*Valores!$C$71</f>
        <v>1587.1994999999995</v>
      </c>
      <c r="AY291" s="81">
        <f>AJ291*Valores!$C$73</f>
        <v>352.7109999999999</v>
      </c>
      <c r="AZ291" s="81">
        <f>AJ291*Valores!$C$74</f>
        <v>1234.4884999999997</v>
      </c>
      <c r="BA291" s="81">
        <f>AJ291*Valores!$C$75</f>
        <v>211.62659999999994</v>
      </c>
      <c r="BB291" s="81">
        <f t="shared" si="59"/>
        <v>1904.6393999999998</v>
      </c>
      <c r="BC291" s="55"/>
      <c r="BD291" s="55">
        <f t="shared" si="60"/>
        <v>128</v>
      </c>
      <c r="BE291" s="52" t="s">
        <v>461</v>
      </c>
    </row>
    <row r="292" spans="1:57" s="9" customFormat="1" ht="11.25" customHeight="1">
      <c r="A292" s="20">
        <v>291</v>
      </c>
      <c r="B292" s="20"/>
      <c r="C292" s="9" t="s">
        <v>355</v>
      </c>
      <c r="D292" s="9">
        <v>32</v>
      </c>
      <c r="E292" s="9">
        <f t="shared" si="57"/>
        <v>42</v>
      </c>
      <c r="F292" s="10" t="str">
        <f>CONCATENATE("Hora Cátedra Enseñanza Media ",D292," hs Esc Esp")</f>
        <v>Hora Cátedra Enseñanza Media 32 hs Esc Esp</v>
      </c>
      <c r="G292" s="123">
        <f t="shared" si="50"/>
        <v>2528</v>
      </c>
      <c r="H292" s="7">
        <f>INT((G292*Valores!$C$2*100))/100</f>
        <v>15166.24</v>
      </c>
      <c r="I292" s="134">
        <v>0</v>
      </c>
      <c r="J292" s="77">
        <f>INT((I292*Valores!$C$2*100)+0.5)/100</f>
        <v>0</v>
      </c>
      <c r="K292" s="146">
        <v>0</v>
      </c>
      <c r="L292" s="77">
        <f>INT((K292*Valores!$C$2*100)+0.5)/100</f>
        <v>0</v>
      </c>
      <c r="M292" s="120">
        <v>0</v>
      </c>
      <c r="N292" s="77">
        <f>INT((M292*Valores!$C$2*100)+0.5)/100</f>
        <v>0</v>
      </c>
      <c r="O292" s="77">
        <f t="shared" si="51"/>
        <v>0</v>
      </c>
      <c r="P292" s="77">
        <f t="shared" si="52"/>
        <v>8164.08</v>
      </c>
      <c r="Q292" s="61">
        <f>Valores!$C$14*D292</f>
        <v>4401.28</v>
      </c>
      <c r="R292" s="61">
        <f>IF(D292&lt;15,(Valores!$E$4*D292),Valores!$D$4)</f>
        <v>2683.49</v>
      </c>
      <c r="S292" s="77">
        <v>0</v>
      </c>
      <c r="T292" s="79">
        <f>IF(Valores!$C$45*D292&gt;Valores!$C$43,Valores!$C$43,Valores!$C$45*D292)</f>
        <v>1161.92</v>
      </c>
      <c r="U292" s="61">
        <f>Valores!$C$22*D292</f>
        <v>1705.6</v>
      </c>
      <c r="V292" s="77">
        <f t="shared" si="48"/>
        <v>2558.3999999999996</v>
      </c>
      <c r="W292" s="77">
        <v>0</v>
      </c>
      <c r="X292" s="77">
        <v>0</v>
      </c>
      <c r="Y292" s="37">
        <v>0</v>
      </c>
      <c r="Z292" s="77">
        <f>Y292*Valores!$C$2</f>
        <v>0</v>
      </c>
      <c r="AA292" s="77">
        <v>0</v>
      </c>
      <c r="AB292" s="89">
        <f>IF((Valores!$C$32)*D292&gt;Valores!$F$32,Valores!$F$32,(Valores!$C$32)*D292)</f>
        <v>193.92</v>
      </c>
      <c r="AC292" s="77">
        <f t="shared" si="53"/>
        <v>0</v>
      </c>
      <c r="AD292" s="77">
        <f>IF(Valores!$C$33*D292&gt;Valores!$F$33,Valores!$F$33,Valores!$C$33*D292)</f>
        <v>151.15</v>
      </c>
      <c r="AE292" s="116">
        <v>94</v>
      </c>
      <c r="AF292" s="77">
        <f>INT(((AE292*Valores!$C$2)*100)+0.5)/100</f>
        <v>563.93</v>
      </c>
      <c r="AG292" s="77">
        <f>IF(Valores!$D$58*'Escala Docente'!D292&gt;Valores!$F$58,Valores!$F$58,Valores!$D$58*'Escala Docente'!D292)</f>
        <v>614.92</v>
      </c>
      <c r="AH292" s="77">
        <f>IF(Valores!$D$60*D292&gt;Valores!$F$60,Valores!$F$60,Valores!$D$60*D292)</f>
        <v>175.7</v>
      </c>
      <c r="AI292" s="77">
        <f>SUM(H292,J292,L292,N292,O292,P292,Q292,R292,S292,T292,V292,W292,X292,Z292,AA292,AB292,AC292,AD292,AF292,AG292,AH292)*Valores!$C$63</f>
        <v>0</v>
      </c>
      <c r="AJ292" s="140">
        <f t="shared" si="54"/>
        <v>35835.02999999999</v>
      </c>
      <c r="AK292" s="61">
        <f>IF(Valores!$C$36*D292&gt;Valores!$F$36,Valores!$F$36,Valores!$C$36*D292)</f>
        <v>831.18</v>
      </c>
      <c r="AL292" s="79">
        <f>IF(Valores!$C$11*D292&gt;Valores!$F$11,Valores!$F$11,Valores!$C$11*D292)</f>
        <v>312.64</v>
      </c>
      <c r="AM292" s="89">
        <f>IF(Valores!$C$57*D292&gt;Valores!$F$57,Valores!$F$57,Valores!$C$57*D292)</f>
        <v>257.67</v>
      </c>
      <c r="AN292" s="79">
        <f>IF($H$4="SI",SUM(AL292+AM292),AL292)*Valores!$C$63</f>
        <v>0</v>
      </c>
      <c r="AO292" s="12">
        <f t="shared" si="58"/>
        <v>1401.49</v>
      </c>
      <c r="AP292" s="13">
        <f>AJ292*-Valores!$C$65</f>
        <v>-4658.553899999999</v>
      </c>
      <c r="AQ292" s="13">
        <f>AJ292*-Valores!$C$66</f>
        <v>-179.17514999999997</v>
      </c>
      <c r="AR292" s="78">
        <f>AJ292*-Valores!$C$67</f>
        <v>-1612.5763499999996</v>
      </c>
      <c r="AS292" s="78">
        <f>AJ292*-Valores!$C$68</f>
        <v>-967.5458099999998</v>
      </c>
      <c r="AT292" s="78">
        <f>AJ292*-Valores!$C$69</f>
        <v>-107.50508999999998</v>
      </c>
      <c r="AU292" s="15">
        <f t="shared" si="55"/>
        <v>30786.214599999985</v>
      </c>
      <c r="AV292" s="15">
        <f t="shared" si="56"/>
        <v>31323.740049999986</v>
      </c>
      <c r="AW292" s="78">
        <f>AJ292*Valores!$C$70</f>
        <v>5733.604799999999</v>
      </c>
      <c r="AX292" s="78">
        <f>AJ292*Valores!$C$71</f>
        <v>1612.5763499999996</v>
      </c>
      <c r="AY292" s="78">
        <f>AJ292*Valores!$C$73</f>
        <v>358.35029999999995</v>
      </c>
      <c r="AZ292" s="78">
        <f>AJ292*Valores!$C$74</f>
        <v>1254.2260499999998</v>
      </c>
      <c r="BA292" s="78">
        <f>AJ292*Valores!$C$75</f>
        <v>215.01017999999996</v>
      </c>
      <c r="BB292" s="78">
        <f t="shared" si="59"/>
        <v>1935.0916199999995</v>
      </c>
      <c r="BC292" s="20"/>
      <c r="BD292" s="20">
        <f t="shared" si="60"/>
        <v>128</v>
      </c>
      <c r="BE292" s="9" t="s">
        <v>461</v>
      </c>
    </row>
    <row r="293" spans="1:57" s="9" customFormat="1" ht="11.25" customHeight="1">
      <c r="A293" s="20">
        <v>292</v>
      </c>
      <c r="B293" s="20"/>
      <c r="C293" s="9" t="s">
        <v>355</v>
      </c>
      <c r="D293" s="9">
        <v>33</v>
      </c>
      <c r="E293" s="9">
        <f t="shared" si="57"/>
        <v>34</v>
      </c>
      <c r="F293" s="10" t="str">
        <f>CONCATENATE("Hora Cátedra Enseñanza Media ",D293," hs")</f>
        <v>Hora Cátedra Enseñanza Media 33 hs</v>
      </c>
      <c r="G293" s="123">
        <f aca="true" t="shared" si="61" ref="G293:G300">79*D293</f>
        <v>2607</v>
      </c>
      <c r="H293" s="7">
        <f>INT((G293*Valores!$C$2*100))/100</f>
        <v>15640.18</v>
      </c>
      <c r="I293" s="134">
        <v>0</v>
      </c>
      <c r="J293" s="77">
        <f>INT((I293*Valores!$C$2*100)+0.5)/100</f>
        <v>0</v>
      </c>
      <c r="K293" s="146">
        <v>0</v>
      </c>
      <c r="L293" s="77">
        <f>INT((K293*Valores!$C$2*100)+0.5)/100</f>
        <v>0</v>
      </c>
      <c r="M293" s="120">
        <v>0</v>
      </c>
      <c r="N293" s="77">
        <f>INT((M293*Valores!$C$2*100)+0.5)/100</f>
        <v>0</v>
      </c>
      <c r="O293" s="77">
        <f t="shared" si="51"/>
        <v>0</v>
      </c>
      <c r="P293" s="77">
        <f t="shared" si="52"/>
        <v>8419.205</v>
      </c>
      <c r="Q293" s="61">
        <f>Valores!$C$14*D293</f>
        <v>4538.82</v>
      </c>
      <c r="R293" s="61">
        <f>IF(D293&lt;15,(Valores!$E$4*D293),Valores!$D$4)</f>
        <v>2683.49</v>
      </c>
      <c r="S293" s="77">
        <v>0</v>
      </c>
      <c r="T293" s="79">
        <f>IF(Valores!$C$45*D293&gt;Valores!$C$43,Valores!$C$43,Valores!$C$45*D293)</f>
        <v>1198.23</v>
      </c>
      <c r="U293" s="61">
        <f>Valores!$C$22*D293</f>
        <v>1758.8999999999999</v>
      </c>
      <c r="V293" s="77">
        <f t="shared" si="48"/>
        <v>2638.35</v>
      </c>
      <c r="W293" s="77">
        <v>0</v>
      </c>
      <c r="X293" s="77">
        <v>0</v>
      </c>
      <c r="Y293" s="37">
        <v>0</v>
      </c>
      <c r="Z293" s="77">
        <f>Y293*Valores!$C$2</f>
        <v>0</v>
      </c>
      <c r="AA293" s="77">
        <v>0</v>
      </c>
      <c r="AB293" s="89">
        <f>IF((Valores!$C$32)*D293&gt;Valores!$F$32,Valores!$F$32,(Valores!$C$32)*D293)</f>
        <v>199.98</v>
      </c>
      <c r="AC293" s="77">
        <f t="shared" si="53"/>
        <v>0</v>
      </c>
      <c r="AD293" s="77">
        <f>IF(Valores!$C$33*D293&gt;Valores!$F$33,Valores!$F$33,Valores!$C$33*D293)</f>
        <v>151.15</v>
      </c>
      <c r="AE293" s="116">
        <v>0</v>
      </c>
      <c r="AF293" s="77">
        <f>INT(((AE293*Valores!$C$2)*100)+0.5)/100</f>
        <v>0</v>
      </c>
      <c r="AG293" s="77">
        <f>IF(Valores!$D$58*'Escala Docente'!D293&gt;Valores!$F$58,Valores!$F$58,Valores!$D$58*'Escala Docente'!D293)</f>
        <v>614.92</v>
      </c>
      <c r="AH293" s="77">
        <f>IF(Valores!$D$60*D293&gt;Valores!$F$60,Valores!$F$60,Valores!$D$60*D293)</f>
        <v>175.7</v>
      </c>
      <c r="AI293" s="77">
        <f>SUM(H293,J293,L293,N293,O293,P293,Q293,R293,S293,T293,V293,W293,X293,Z293,AA293,AB293,AC293,AD293,AF293,AG293,AH293)*Valores!$C$63</f>
        <v>0</v>
      </c>
      <c r="AJ293" s="140">
        <f t="shared" si="54"/>
        <v>36260.025</v>
      </c>
      <c r="AK293" s="61">
        <f>IF(Valores!$C$36*D293&gt;Valores!$F$36,Valores!$F$36,Valores!$C$36*D293)</f>
        <v>831.18</v>
      </c>
      <c r="AL293" s="79">
        <f>IF(Valores!$C$11*D293&gt;Valores!$F$11,Valores!$F$11,Valores!$C$11*D293)</f>
        <v>322.40999999999997</v>
      </c>
      <c r="AM293" s="89">
        <f>IF(Valores!$C$57*D293&gt;Valores!$F$57,Valores!$F$57,Valores!$C$57*D293)</f>
        <v>257.67</v>
      </c>
      <c r="AN293" s="79">
        <f>IF($H$4="SI",SUM(AL293+AM293),AL293)*Valores!$C$63</f>
        <v>0</v>
      </c>
      <c r="AO293" s="12">
        <f t="shared" si="58"/>
        <v>1411.26</v>
      </c>
      <c r="AP293" s="13">
        <f>AJ293*-Valores!$C$65</f>
        <v>-4713.80325</v>
      </c>
      <c r="AQ293" s="13">
        <f>AJ293*-Valores!$C$66</f>
        <v>-181.300125</v>
      </c>
      <c r="AR293" s="78">
        <f>AJ293*-Valores!$C$67</f>
        <v>-1631.701125</v>
      </c>
      <c r="AS293" s="78">
        <f>AJ293*-Valores!$C$68</f>
        <v>-979.0206750000002</v>
      </c>
      <c r="AT293" s="78">
        <f>AJ293*-Valores!$C$69</f>
        <v>-108.78007500000001</v>
      </c>
      <c r="AU293" s="15">
        <f t="shared" si="55"/>
        <v>31144.4805</v>
      </c>
      <c r="AV293" s="15">
        <f t="shared" si="56"/>
        <v>31688.380875000003</v>
      </c>
      <c r="AW293" s="78">
        <f>AJ293*Valores!$C$70</f>
        <v>5801.604</v>
      </c>
      <c r="AX293" s="78">
        <f>AJ293*Valores!$C$71</f>
        <v>1631.701125</v>
      </c>
      <c r="AY293" s="78">
        <f>AJ293*Valores!$C$73</f>
        <v>362.60025</v>
      </c>
      <c r="AZ293" s="78">
        <f>AJ293*Valores!$C$74</f>
        <v>1269.100875</v>
      </c>
      <c r="BA293" s="78">
        <f>AJ293*Valores!$C$75</f>
        <v>217.56015000000002</v>
      </c>
      <c r="BB293" s="78">
        <f t="shared" si="59"/>
        <v>1958.0413500000002</v>
      </c>
      <c r="BC293" s="20"/>
      <c r="BD293" s="20">
        <f t="shared" si="60"/>
        <v>132</v>
      </c>
      <c r="BE293" s="9" t="s">
        <v>461</v>
      </c>
    </row>
    <row r="294" spans="1:57" s="9" customFormat="1" ht="11.25" customHeight="1">
      <c r="A294" s="20">
        <v>293</v>
      </c>
      <c r="B294" s="20"/>
      <c r="C294" s="9" t="s">
        <v>355</v>
      </c>
      <c r="D294" s="9">
        <v>33</v>
      </c>
      <c r="E294" s="9">
        <f t="shared" si="57"/>
        <v>42</v>
      </c>
      <c r="F294" s="9" t="str">
        <f>CONCATENATE("Hora Cátedra Enseñanza Media ",D294," hs Esc Esp")</f>
        <v>Hora Cátedra Enseñanza Media 33 hs Esc Esp</v>
      </c>
      <c r="G294" s="127">
        <f t="shared" si="61"/>
        <v>2607</v>
      </c>
      <c r="H294" s="13">
        <f>INT((G294*Valores!$C$2*100))/100</f>
        <v>15640.18</v>
      </c>
      <c r="I294" s="135">
        <v>0</v>
      </c>
      <c r="J294" s="61">
        <f>INT((I294*Valores!$C$2*100)+0.5)/100</f>
        <v>0</v>
      </c>
      <c r="K294" s="148">
        <v>0</v>
      </c>
      <c r="L294" s="61">
        <f>INT((K294*Valores!$C$2*100)+0.5)/100</f>
        <v>0</v>
      </c>
      <c r="M294" s="122">
        <v>0</v>
      </c>
      <c r="N294" s="61">
        <f>INT((M294*Valores!$C$2*100)+0.5)/100</f>
        <v>0</v>
      </c>
      <c r="O294" s="61">
        <f t="shared" si="51"/>
        <v>0</v>
      </c>
      <c r="P294" s="61">
        <f t="shared" si="52"/>
        <v>8419.205</v>
      </c>
      <c r="Q294" s="61">
        <f>Valores!$C$14*D294</f>
        <v>4538.82</v>
      </c>
      <c r="R294" s="61">
        <f>IF(D294&lt;15,(Valores!$E$4*D294),Valores!$D$4)</f>
        <v>2683.49</v>
      </c>
      <c r="S294" s="61">
        <v>0</v>
      </c>
      <c r="T294" s="61">
        <f>IF(Valores!$C$45*D294&gt;Valores!$C$43,Valores!$C$43,Valores!$C$45*D294)</f>
        <v>1198.23</v>
      </c>
      <c r="U294" s="61">
        <f>Valores!$C$22*D294</f>
        <v>1758.8999999999999</v>
      </c>
      <c r="V294" s="61">
        <f t="shared" si="48"/>
        <v>2638.35</v>
      </c>
      <c r="W294" s="61">
        <v>0</v>
      </c>
      <c r="X294" s="61">
        <v>0</v>
      </c>
      <c r="Y294" s="61">
        <v>0</v>
      </c>
      <c r="Z294" s="61">
        <f>Y294*Valores!$C$2</f>
        <v>0</v>
      </c>
      <c r="AA294" s="61">
        <v>0</v>
      </c>
      <c r="AB294" s="61">
        <f>IF((Valores!$C$32)*D294&gt;Valores!$F$32,Valores!$F$32,(Valores!$C$32)*D294)</f>
        <v>199.98</v>
      </c>
      <c r="AC294" s="61">
        <f t="shared" si="53"/>
        <v>0</v>
      </c>
      <c r="AD294" s="61">
        <f>IF(Valores!$C$33*D294&gt;Valores!$F$33,Valores!$F$33,Valores!$C$33*D294)</f>
        <v>151.15</v>
      </c>
      <c r="AE294" s="117">
        <v>94</v>
      </c>
      <c r="AF294" s="61">
        <f>INT(((AE294*Valores!$C$2)*100)+0.5)/100</f>
        <v>563.93</v>
      </c>
      <c r="AG294" s="61">
        <f>IF(Valores!$D$58*'Escala Docente'!D294&gt;Valores!$F$58,Valores!$F$58,Valores!$D$58*'Escala Docente'!D294)</f>
        <v>614.92</v>
      </c>
      <c r="AH294" s="61">
        <f>IF(Valores!$D$60*D294&gt;Valores!$F$60,Valores!$F$60,Valores!$D$60*D294)</f>
        <v>175.7</v>
      </c>
      <c r="AI294" s="61">
        <f>SUM(H294,J294,L294,N294,O294,P294,Q294,R294,S294,T294,V294,W294,X294,Z294,AA294,AB294,AC294,AD294,AF294,AG294,AH294)*Valores!$C$63</f>
        <v>0</v>
      </c>
      <c r="AJ294" s="13">
        <f t="shared" si="54"/>
        <v>36823.955</v>
      </c>
      <c r="AK294" s="13">
        <f>IF(Valores!$C$36*D294&gt;Valores!$F$36,Valores!$F$36,Valores!$C$36*D294)</f>
        <v>831.18</v>
      </c>
      <c r="AL294" s="79">
        <f>IF(Valores!$C$11*D294&gt;Valores!$F$11,Valores!$F$11,Valores!$C$11*D294)</f>
        <v>322.40999999999997</v>
      </c>
      <c r="AM294" s="89">
        <f>IF(Valores!$C$57*D294&gt;Valores!$F$57,Valores!$F$57,Valores!$C$57*D294)</f>
        <v>257.67</v>
      </c>
      <c r="AN294" s="79">
        <f>IF($H$4="SI",SUM(AL294+AM294),AL294)*Valores!$C$63</f>
        <v>0</v>
      </c>
      <c r="AO294" s="12">
        <f t="shared" si="58"/>
        <v>1411.26</v>
      </c>
      <c r="AP294" s="13">
        <f>AJ294*-Valores!$C$65</f>
        <v>-4787.11415</v>
      </c>
      <c r="AQ294" s="13">
        <f>AJ294*-Valores!$C$66</f>
        <v>-184.119775</v>
      </c>
      <c r="AR294" s="61">
        <f>AJ294*-Valores!$C$67</f>
        <v>-1657.077975</v>
      </c>
      <c r="AS294" s="61">
        <f>AJ294*-Valores!$C$68</f>
        <v>-994.2467850000002</v>
      </c>
      <c r="AT294" s="61">
        <f>AJ294*-Valores!$C$69</f>
        <v>-110.47186500000001</v>
      </c>
      <c r="AU294" s="140">
        <f t="shared" si="55"/>
        <v>31606.903100000003</v>
      </c>
      <c r="AV294" s="140">
        <f t="shared" si="56"/>
        <v>32159.262425</v>
      </c>
      <c r="AW294" s="78">
        <f>AJ294*Valores!$C$70</f>
        <v>5891.8328</v>
      </c>
      <c r="AX294" s="78">
        <f>AJ294*Valores!$C$71</f>
        <v>1657.077975</v>
      </c>
      <c r="AY294" s="78">
        <f>AJ294*Valores!$C$73</f>
        <v>368.23955</v>
      </c>
      <c r="AZ294" s="78">
        <f>AJ294*Valores!$C$74</f>
        <v>1288.8384250000001</v>
      </c>
      <c r="BA294" s="78">
        <f>AJ294*Valores!$C$75</f>
        <v>220.94373000000002</v>
      </c>
      <c r="BB294" s="78">
        <f t="shared" si="59"/>
        <v>1988.49357</v>
      </c>
      <c r="BD294" s="52">
        <f t="shared" si="60"/>
        <v>132</v>
      </c>
      <c r="BE294" s="9" t="s">
        <v>461</v>
      </c>
    </row>
    <row r="295" spans="1:57" s="9" customFormat="1" ht="11.25" customHeight="1">
      <c r="A295" s="20">
        <v>294</v>
      </c>
      <c r="B295" s="20"/>
      <c r="C295" s="9" t="s">
        <v>355</v>
      </c>
      <c r="D295" s="9">
        <v>34</v>
      </c>
      <c r="E295" s="9">
        <f t="shared" si="57"/>
        <v>34</v>
      </c>
      <c r="F295" s="10" t="str">
        <f>CONCATENATE("Hora Cátedra Enseñanza Media ",D295," hs")</f>
        <v>Hora Cátedra Enseñanza Media 34 hs</v>
      </c>
      <c r="G295" s="123">
        <f t="shared" si="61"/>
        <v>2686</v>
      </c>
      <c r="H295" s="7">
        <f>INT((G295*Valores!$C$2*100))/100</f>
        <v>16114.13</v>
      </c>
      <c r="I295" s="134">
        <v>0</v>
      </c>
      <c r="J295" s="77">
        <f>INT((I295*Valores!$C$2*100)+0.5)/100</f>
        <v>0</v>
      </c>
      <c r="K295" s="146">
        <v>0</v>
      </c>
      <c r="L295" s="77">
        <f>INT((K295*Valores!$C$2*100)+0.5)/100</f>
        <v>0</v>
      </c>
      <c r="M295" s="120">
        <v>0</v>
      </c>
      <c r="N295" s="77">
        <f>INT((M295*Valores!$C$2*100)+0.5)/100</f>
        <v>0</v>
      </c>
      <c r="O295" s="77">
        <f t="shared" si="51"/>
        <v>0</v>
      </c>
      <c r="P295" s="77">
        <f t="shared" si="52"/>
        <v>8674.335</v>
      </c>
      <c r="Q295" s="61">
        <f>Valores!$C$14*D295</f>
        <v>4676.36</v>
      </c>
      <c r="R295" s="61">
        <f>IF(D295&lt;15,(Valores!$E$4*D295),Valores!$D$4)</f>
        <v>2683.49</v>
      </c>
      <c r="S295" s="77">
        <v>0</v>
      </c>
      <c r="T295" s="79">
        <f>IF(Valores!$C$45*D295&gt;Valores!$C$43,Valores!$C$43,Valores!$C$45*D295)</f>
        <v>1234.54</v>
      </c>
      <c r="U295" s="61">
        <f>Valores!$C$22*D295</f>
        <v>1812.1999999999998</v>
      </c>
      <c r="V295" s="77">
        <f t="shared" si="48"/>
        <v>2718.2999999999997</v>
      </c>
      <c r="W295" s="77">
        <v>0</v>
      </c>
      <c r="X295" s="77">
        <v>0</v>
      </c>
      <c r="Y295" s="37">
        <v>0</v>
      </c>
      <c r="Z295" s="77">
        <f>Y295*Valores!$C$2</f>
        <v>0</v>
      </c>
      <c r="AA295" s="77">
        <v>0</v>
      </c>
      <c r="AB295" s="89">
        <f>IF((Valores!$C$32)*D295&gt;Valores!$F$32,Valores!$F$32,(Valores!$C$32)*D295)</f>
        <v>206.04</v>
      </c>
      <c r="AC295" s="77">
        <f t="shared" si="53"/>
        <v>0</v>
      </c>
      <c r="AD295" s="77">
        <f>IF(Valores!$C$33*D295&gt;Valores!$F$33,Valores!$F$33,Valores!$C$33*D295)</f>
        <v>151.15</v>
      </c>
      <c r="AE295" s="116">
        <v>0</v>
      </c>
      <c r="AF295" s="77">
        <f>INT(((AE295*Valores!$C$2)*100)+0.5)/100</f>
        <v>0</v>
      </c>
      <c r="AG295" s="77">
        <f>IF(Valores!$D$58*'Escala Docente'!D295&gt;Valores!$F$58,Valores!$F$58,Valores!$D$58*'Escala Docente'!D295)</f>
        <v>614.92</v>
      </c>
      <c r="AH295" s="77">
        <f>IF(Valores!$D$60*D295&gt;Valores!$F$60,Valores!$F$60,Valores!$D$60*D295)</f>
        <v>175.7</v>
      </c>
      <c r="AI295" s="77">
        <f>SUM(H295,J295,L295,N295,O295,P295,Q295,R295,S295,T295,V295,W295,X295,Z295,AA295,AB295,AC295,AD295,AF295,AG295,AH295)*Valores!$C$63</f>
        <v>0</v>
      </c>
      <c r="AJ295" s="140">
        <f t="shared" si="54"/>
        <v>37248.965</v>
      </c>
      <c r="AK295" s="61">
        <f>IF(Valores!$C$36*D295&gt;Valores!$F$36,Valores!$F$36,Valores!$C$36*D295)</f>
        <v>831.18</v>
      </c>
      <c r="AL295" s="79">
        <f>IF(Valores!$C$11*D295&gt;Valores!$F$11,Valores!$F$11,Valores!$C$11*D295)</f>
        <v>332.18</v>
      </c>
      <c r="AM295" s="89">
        <f>IF(Valores!$C$57*D295&gt;Valores!$F$57,Valores!$F$57,Valores!$C$57*D295)</f>
        <v>257.67</v>
      </c>
      <c r="AN295" s="79">
        <f>IF($H$4="SI",SUM(AL295+AM295),AL295)*Valores!$C$63</f>
        <v>0</v>
      </c>
      <c r="AO295" s="12">
        <f t="shared" si="58"/>
        <v>1421.03</v>
      </c>
      <c r="AP295" s="13">
        <f>AJ295*-Valores!$C$65</f>
        <v>-4842.365449999999</v>
      </c>
      <c r="AQ295" s="13">
        <f>AJ295*-Valores!$C$66</f>
        <v>-186.244825</v>
      </c>
      <c r="AR295" s="78">
        <f>AJ295*-Valores!$C$67</f>
        <v>-1676.2034249999997</v>
      </c>
      <c r="AS295" s="78">
        <f>AJ295*-Valores!$C$68</f>
        <v>-1005.7220550000001</v>
      </c>
      <c r="AT295" s="78">
        <f>AJ295*-Valores!$C$69</f>
        <v>-111.746895</v>
      </c>
      <c r="AU295" s="15">
        <f t="shared" si="55"/>
        <v>31965.181299999997</v>
      </c>
      <c r="AV295" s="15">
        <f t="shared" si="56"/>
        <v>32523.915774999998</v>
      </c>
      <c r="AW295" s="78">
        <f>AJ295*Valores!$C$70</f>
        <v>5959.8344</v>
      </c>
      <c r="AX295" s="78">
        <f>AJ295*Valores!$C$71</f>
        <v>1676.2034249999997</v>
      </c>
      <c r="AY295" s="78">
        <f>AJ295*Valores!$C$73</f>
        <v>372.48965</v>
      </c>
      <c r="AZ295" s="78">
        <f>AJ295*Valores!$C$74</f>
        <v>1303.713775</v>
      </c>
      <c r="BA295" s="78">
        <f>AJ295*Valores!$C$75</f>
        <v>223.49379</v>
      </c>
      <c r="BB295" s="78">
        <f t="shared" si="59"/>
        <v>2011.44411</v>
      </c>
      <c r="BC295" s="20"/>
      <c r="BD295" s="20">
        <f t="shared" si="60"/>
        <v>136</v>
      </c>
      <c r="BE295" s="9" t="s">
        <v>461</v>
      </c>
    </row>
    <row r="296" spans="1:57" s="9" customFormat="1" ht="11.25" customHeight="1">
      <c r="A296" s="55">
        <v>295</v>
      </c>
      <c r="B296" s="55" t="s">
        <v>458</v>
      </c>
      <c r="C296" s="52" t="s">
        <v>355</v>
      </c>
      <c r="D296" s="52">
        <v>34</v>
      </c>
      <c r="E296" s="52">
        <f t="shared" si="57"/>
        <v>42</v>
      </c>
      <c r="F296" s="53" t="str">
        <f>CONCATENATE("Hora Cátedra Enseñanza Media ",D296," hs Esc Esp")</f>
        <v>Hora Cátedra Enseñanza Media 34 hs Esc Esp</v>
      </c>
      <c r="G296" s="124">
        <f t="shared" si="61"/>
        <v>2686</v>
      </c>
      <c r="H296" s="129">
        <f>INT((G296*Valores!$C$2*100))/100</f>
        <v>16114.13</v>
      </c>
      <c r="I296" s="133">
        <v>0</v>
      </c>
      <c r="J296" s="80">
        <f>INT((I296*Valores!$C$2*100)+0.5)/100</f>
        <v>0</v>
      </c>
      <c r="K296" s="147">
        <v>0</v>
      </c>
      <c r="L296" s="80">
        <f>INT((K296*Valores!$C$2*100)+0.5)/100</f>
        <v>0</v>
      </c>
      <c r="M296" s="121">
        <v>0</v>
      </c>
      <c r="N296" s="80">
        <f>INT((M296*Valores!$C$2*100)+0.5)/100</f>
        <v>0</v>
      </c>
      <c r="O296" s="80">
        <f t="shared" si="51"/>
        <v>0</v>
      </c>
      <c r="P296" s="80">
        <f t="shared" si="52"/>
        <v>8674.335</v>
      </c>
      <c r="Q296" s="85">
        <f>Valores!$C$14*D296</f>
        <v>4676.36</v>
      </c>
      <c r="R296" s="85">
        <f>IF(D296&lt;15,(Valores!$E$4*D296),Valores!$D$4)</f>
        <v>2683.49</v>
      </c>
      <c r="S296" s="80">
        <v>0</v>
      </c>
      <c r="T296" s="82">
        <f>IF(Valores!$C$45*D296&gt;Valores!$C$43,Valores!$C$43,Valores!$C$45*D296)</f>
        <v>1234.54</v>
      </c>
      <c r="U296" s="85">
        <f>Valores!$C$22*D296</f>
        <v>1812.1999999999998</v>
      </c>
      <c r="V296" s="80">
        <f t="shared" si="48"/>
        <v>2718.2999999999997</v>
      </c>
      <c r="W296" s="80">
        <v>0</v>
      </c>
      <c r="X296" s="80">
        <v>0</v>
      </c>
      <c r="Y296" s="60">
        <v>0</v>
      </c>
      <c r="Z296" s="80">
        <f>Y296*Valores!$C$2</f>
        <v>0</v>
      </c>
      <c r="AA296" s="80">
        <v>0</v>
      </c>
      <c r="AB296" s="90">
        <f>IF((Valores!$C$32)*D296&gt;Valores!$F$32,Valores!$F$32,(Valores!$C$32)*D296)</f>
        <v>206.04</v>
      </c>
      <c r="AC296" s="80">
        <f t="shared" si="53"/>
        <v>0</v>
      </c>
      <c r="AD296" s="80">
        <f>IF(Valores!$C$33*D296&gt;Valores!$F$33,Valores!$F$33,Valores!$C$33*D296)</f>
        <v>151.15</v>
      </c>
      <c r="AE296" s="115">
        <v>94</v>
      </c>
      <c r="AF296" s="80">
        <f>INT(((AE296*Valores!$C$2)*100)+0.5)/100</f>
        <v>563.93</v>
      </c>
      <c r="AG296" s="80">
        <f>IF(Valores!$D$58*'Escala Docente'!D296&gt;Valores!$F$58,Valores!$F$58,Valores!$D$58*'Escala Docente'!D296)</f>
        <v>614.92</v>
      </c>
      <c r="AH296" s="80">
        <f>IF(Valores!$D$60*D296&gt;Valores!$F$60,Valores!$F$60,Valores!$D$60*D296)</f>
        <v>175.7</v>
      </c>
      <c r="AI296" s="80">
        <f>SUM(H296,J296,L296,N296,O296,P296,Q296,R296,S296,T296,V296,W296,X296,Z296,AA296,AB296,AC296,AD296,AF296,AG296,AH296)*Valores!$C$63</f>
        <v>0</v>
      </c>
      <c r="AJ296" s="141">
        <f t="shared" si="54"/>
        <v>37812.895</v>
      </c>
      <c r="AK296" s="85">
        <f>IF(Valores!$C$36*D296&gt;Valores!$F$36,Valores!$F$36,Valores!$C$36*D296)</f>
        <v>831.18</v>
      </c>
      <c r="AL296" s="82">
        <f>IF(Valores!$C$11*D296&gt;Valores!$F$11,Valores!$F$11,Valores!$C$11*D296)</f>
        <v>332.18</v>
      </c>
      <c r="AM296" s="90">
        <f>IF(Valores!$C$57*D296&gt;Valores!$F$57,Valores!$F$57,Valores!$C$57*D296)</f>
        <v>257.67</v>
      </c>
      <c r="AN296" s="82">
        <f>IF($H$4="SI",SUM(AL296+AM296),AL296)*Valores!$C$63</f>
        <v>0</v>
      </c>
      <c r="AO296" s="185">
        <f t="shared" si="58"/>
        <v>1421.03</v>
      </c>
      <c r="AP296" s="154">
        <f>AJ296*-Valores!$C$65</f>
        <v>-4915.67635</v>
      </c>
      <c r="AQ296" s="154">
        <f>AJ296*-Valores!$C$66</f>
        <v>-189.064475</v>
      </c>
      <c r="AR296" s="81">
        <f>AJ296*-Valores!$C$67</f>
        <v>-1701.5802749999998</v>
      </c>
      <c r="AS296" s="81">
        <f>AJ296*-Valores!$C$68</f>
        <v>-1020.948165</v>
      </c>
      <c r="AT296" s="81">
        <f>AJ296*-Valores!$C$69</f>
        <v>-113.43868499999999</v>
      </c>
      <c r="AU296" s="54">
        <f t="shared" si="55"/>
        <v>32427.603899999995</v>
      </c>
      <c r="AV296" s="54">
        <f t="shared" si="56"/>
        <v>32994.79732499999</v>
      </c>
      <c r="AW296" s="81">
        <f>AJ296*Valores!$C$70</f>
        <v>6050.0632</v>
      </c>
      <c r="AX296" s="81">
        <f>AJ296*Valores!$C$71</f>
        <v>1701.5802749999998</v>
      </c>
      <c r="AY296" s="81">
        <f>AJ296*Valores!$C$73</f>
        <v>378.12895</v>
      </c>
      <c r="AZ296" s="81">
        <f>AJ296*Valores!$C$74</f>
        <v>1323.451325</v>
      </c>
      <c r="BA296" s="81">
        <f>AJ296*Valores!$C$75</f>
        <v>226.87736999999998</v>
      </c>
      <c r="BB296" s="81">
        <f t="shared" si="59"/>
        <v>2041.89633</v>
      </c>
      <c r="BC296" s="55"/>
      <c r="BD296" s="55">
        <f t="shared" si="60"/>
        <v>136</v>
      </c>
      <c r="BE296" s="52" t="s">
        <v>461</v>
      </c>
    </row>
    <row r="297" spans="1:57" s="9" customFormat="1" ht="11.25" customHeight="1">
      <c r="A297" s="20">
        <v>296</v>
      </c>
      <c r="B297" s="20"/>
      <c r="C297" s="9" t="s">
        <v>355</v>
      </c>
      <c r="D297" s="9">
        <v>35</v>
      </c>
      <c r="E297" s="9">
        <f t="shared" si="57"/>
        <v>34</v>
      </c>
      <c r="F297" s="10" t="str">
        <f>CONCATENATE("Hora Cátedra Enseñanza Media ",D297," hs")</f>
        <v>Hora Cátedra Enseñanza Media 35 hs</v>
      </c>
      <c r="G297" s="123">
        <f t="shared" si="61"/>
        <v>2765</v>
      </c>
      <c r="H297" s="7">
        <f>INT((G297*Valores!$C$2*100))/100</f>
        <v>16588.07</v>
      </c>
      <c r="I297" s="134">
        <v>0</v>
      </c>
      <c r="J297" s="77">
        <f>INT((I297*Valores!$C$2*100)+0.5)/100</f>
        <v>0</v>
      </c>
      <c r="K297" s="146">
        <v>0</v>
      </c>
      <c r="L297" s="77">
        <f>INT((K297*Valores!$C$2*100)+0.5)/100</f>
        <v>0</v>
      </c>
      <c r="M297" s="120">
        <v>0</v>
      </c>
      <c r="N297" s="77">
        <f>INT((M297*Valores!$C$2*100)+0.5)/100</f>
        <v>0</v>
      </c>
      <c r="O297" s="77">
        <f t="shared" si="51"/>
        <v>0</v>
      </c>
      <c r="P297" s="77">
        <f t="shared" si="52"/>
        <v>8929.46</v>
      </c>
      <c r="Q297" s="61">
        <f>Valores!$C$14*D297</f>
        <v>4813.9</v>
      </c>
      <c r="R297" s="61">
        <f>IF(D297&lt;15,(Valores!$E$4*D297),Valores!$D$4)</f>
        <v>2683.49</v>
      </c>
      <c r="S297" s="77">
        <v>0</v>
      </c>
      <c r="T297" s="79">
        <f>IF(Valores!$C$45*D297&gt;Valores!$C$43,Valores!$C$43,Valores!$C$45*D297)</f>
        <v>1270.8500000000001</v>
      </c>
      <c r="U297" s="61">
        <f>Valores!$C$22*D297</f>
        <v>1865.5</v>
      </c>
      <c r="V297" s="77">
        <f t="shared" si="48"/>
        <v>2798.25</v>
      </c>
      <c r="W297" s="77">
        <v>0</v>
      </c>
      <c r="X297" s="77">
        <v>0</v>
      </c>
      <c r="Y297" s="37">
        <v>0</v>
      </c>
      <c r="Z297" s="77">
        <f>Y297*Valores!$C$2</f>
        <v>0</v>
      </c>
      <c r="AA297" s="77">
        <v>0</v>
      </c>
      <c r="AB297" s="89">
        <f>IF((Valores!$C$32)*D297&gt;Valores!$F$32,Valores!$F$32,(Valores!$C$32)*D297)</f>
        <v>212.1</v>
      </c>
      <c r="AC297" s="77">
        <f t="shared" si="53"/>
        <v>0</v>
      </c>
      <c r="AD297" s="77">
        <f>IF(Valores!$C$33*D297&gt;Valores!$F$33,Valores!$F$33,Valores!$C$33*D297)</f>
        <v>151.15</v>
      </c>
      <c r="AE297" s="116">
        <v>0</v>
      </c>
      <c r="AF297" s="77">
        <f>INT(((AE297*Valores!$C$2)*100)+0.5)/100</f>
        <v>0</v>
      </c>
      <c r="AG297" s="77">
        <f>IF(Valores!$D$58*'Escala Docente'!D297&gt;Valores!$F$58,Valores!$F$58,Valores!$D$58*'Escala Docente'!D297)</f>
        <v>614.92</v>
      </c>
      <c r="AH297" s="77">
        <f>IF(Valores!$D$60*D297&gt;Valores!$F$60,Valores!$F$60,Valores!$D$60*D297)</f>
        <v>175.7</v>
      </c>
      <c r="AI297" s="77">
        <f>SUM(H297,J297,L297,N297,O297,P297,Q297,R297,S297,T297,V297,W297,X297,Z297,AA297,AB297,AC297,AD297,AF297,AG297,AH297)*Valores!$C$63</f>
        <v>0</v>
      </c>
      <c r="AJ297" s="140">
        <f t="shared" si="54"/>
        <v>38237.88999999999</v>
      </c>
      <c r="AK297" s="61">
        <f>IF(Valores!$C$36*D297&gt;Valores!$F$36,Valores!$F$36,Valores!$C$36*D297)</f>
        <v>831.18</v>
      </c>
      <c r="AL297" s="79">
        <f>IF(Valores!$C$11*D297&gt;Valores!$F$11,Valores!$F$11,Valores!$C$11*D297)</f>
        <v>341.95</v>
      </c>
      <c r="AM297" s="89">
        <f>IF(Valores!$C$57*D297&gt;Valores!$F$57,Valores!$F$57,Valores!$C$57*D297)</f>
        <v>257.67</v>
      </c>
      <c r="AN297" s="79">
        <f>IF($H$4="SI",SUM(AL297+AM297),AL297)*Valores!$C$63</f>
        <v>0</v>
      </c>
      <c r="AO297" s="12">
        <f t="shared" si="58"/>
        <v>1430.8</v>
      </c>
      <c r="AP297" s="13">
        <f>AJ297*-Valores!$C$65</f>
        <v>-4970.925699999999</v>
      </c>
      <c r="AQ297" s="13">
        <f>AJ297*-Valores!$C$66</f>
        <v>-191.18944999999997</v>
      </c>
      <c r="AR297" s="78">
        <f>AJ297*-Valores!$C$67</f>
        <v>-1720.7050499999996</v>
      </c>
      <c r="AS297" s="78">
        <f>AJ297*-Valores!$C$68</f>
        <v>-1032.42303</v>
      </c>
      <c r="AT297" s="78">
        <f>AJ297*-Valores!$C$69</f>
        <v>-114.71366999999998</v>
      </c>
      <c r="AU297" s="15">
        <f t="shared" si="55"/>
        <v>32785.8698</v>
      </c>
      <c r="AV297" s="15">
        <f t="shared" si="56"/>
        <v>33359.43815</v>
      </c>
      <c r="AW297" s="78">
        <f>AJ297*Valores!$C$70</f>
        <v>6118.062399999999</v>
      </c>
      <c r="AX297" s="78">
        <f>AJ297*Valores!$C$71</f>
        <v>1720.7050499999996</v>
      </c>
      <c r="AY297" s="78">
        <f>AJ297*Valores!$C$73</f>
        <v>382.37889999999993</v>
      </c>
      <c r="AZ297" s="78">
        <f>AJ297*Valores!$C$74</f>
        <v>1338.3261499999999</v>
      </c>
      <c r="BA297" s="78">
        <f>AJ297*Valores!$C$75</f>
        <v>229.42733999999996</v>
      </c>
      <c r="BB297" s="78">
        <f t="shared" si="59"/>
        <v>2064.84606</v>
      </c>
      <c r="BC297" s="20"/>
      <c r="BD297" s="20">
        <f t="shared" si="60"/>
        <v>140</v>
      </c>
      <c r="BE297" s="9" t="s">
        <v>461</v>
      </c>
    </row>
    <row r="298" spans="1:57" s="9" customFormat="1" ht="11.25" customHeight="1">
      <c r="A298" s="20">
        <v>297</v>
      </c>
      <c r="B298" s="20"/>
      <c r="C298" s="9" t="s">
        <v>355</v>
      </c>
      <c r="D298" s="9">
        <v>35</v>
      </c>
      <c r="E298" s="9">
        <f t="shared" si="57"/>
        <v>42</v>
      </c>
      <c r="F298" s="10" t="str">
        <f>CONCATENATE("Hora Cátedra Enseñanza Media ",D298," hs Esc Esp")</f>
        <v>Hora Cátedra Enseñanza Media 35 hs Esc Esp</v>
      </c>
      <c r="G298" s="123">
        <f t="shared" si="61"/>
        <v>2765</v>
      </c>
      <c r="H298" s="7">
        <f>INT((G298*Valores!$C$2*100))/100</f>
        <v>16588.07</v>
      </c>
      <c r="I298" s="134">
        <v>0</v>
      </c>
      <c r="J298" s="77">
        <f>INT((I298*Valores!$C$2*100)+0.5)/100</f>
        <v>0</v>
      </c>
      <c r="K298" s="146">
        <v>0</v>
      </c>
      <c r="L298" s="77">
        <f>INT((K298*Valores!$C$2*100)+0.5)/100</f>
        <v>0</v>
      </c>
      <c r="M298" s="120">
        <v>0</v>
      </c>
      <c r="N298" s="77">
        <f>INT((M298*Valores!$C$2*100)+0.5)/100</f>
        <v>0</v>
      </c>
      <c r="O298" s="77">
        <f t="shared" si="51"/>
        <v>0</v>
      </c>
      <c r="P298" s="77">
        <f t="shared" si="52"/>
        <v>8929.46</v>
      </c>
      <c r="Q298" s="61">
        <f>Valores!$C$14*D298</f>
        <v>4813.9</v>
      </c>
      <c r="R298" s="61">
        <f>IF(D298&lt;15,(Valores!$E$4*D298),Valores!$D$4)</f>
        <v>2683.49</v>
      </c>
      <c r="S298" s="77">
        <v>0</v>
      </c>
      <c r="T298" s="79">
        <f>IF(Valores!$C$45*D298&gt;Valores!$C$43,Valores!$C$43,Valores!$C$45*D298)</f>
        <v>1270.8500000000001</v>
      </c>
      <c r="U298" s="61">
        <f>Valores!$C$22*D298</f>
        <v>1865.5</v>
      </c>
      <c r="V298" s="77">
        <f t="shared" si="48"/>
        <v>2798.25</v>
      </c>
      <c r="W298" s="77">
        <v>0</v>
      </c>
      <c r="X298" s="77">
        <v>0</v>
      </c>
      <c r="Y298" s="37">
        <v>0</v>
      </c>
      <c r="Z298" s="77">
        <f>Y298*Valores!$C$2</f>
        <v>0</v>
      </c>
      <c r="AA298" s="77">
        <v>0</v>
      </c>
      <c r="AB298" s="89">
        <f>IF((Valores!$C$32)*D298&gt;Valores!$F$32,Valores!$F$32,(Valores!$C$32)*D298)</f>
        <v>212.1</v>
      </c>
      <c r="AC298" s="77">
        <f t="shared" si="53"/>
        <v>0</v>
      </c>
      <c r="AD298" s="77">
        <f>IF(Valores!$C$33*D298&gt;Valores!$F$33,Valores!$F$33,Valores!$C$33*D298)</f>
        <v>151.15</v>
      </c>
      <c r="AE298" s="116">
        <v>94</v>
      </c>
      <c r="AF298" s="77">
        <f>INT(((AE298*Valores!$C$2)*100)+0.5)/100</f>
        <v>563.93</v>
      </c>
      <c r="AG298" s="77">
        <f>IF(Valores!$D$58*'Escala Docente'!D298&gt;Valores!$F$58,Valores!$F$58,Valores!$D$58*'Escala Docente'!D298)</f>
        <v>614.92</v>
      </c>
      <c r="AH298" s="77">
        <f>IF(Valores!$D$60*D298&gt;Valores!$F$60,Valores!$F$60,Valores!$D$60*D298)</f>
        <v>175.7</v>
      </c>
      <c r="AI298" s="77">
        <f>SUM(H298,J298,L298,N298,O298,P298,Q298,R298,S298,T298,V298,W298,X298,Z298,AA298,AB298,AC298,AD298,AF298,AG298,AH298)*Valores!$C$63</f>
        <v>0</v>
      </c>
      <c r="AJ298" s="140">
        <f t="shared" si="54"/>
        <v>38801.81999999999</v>
      </c>
      <c r="AK298" s="61">
        <f>IF(Valores!$C$36*D298&gt;Valores!$F$36,Valores!$F$36,Valores!$C$36*D298)</f>
        <v>831.18</v>
      </c>
      <c r="AL298" s="79">
        <f>IF(Valores!$C$11*D298&gt;Valores!$F$11,Valores!$F$11,Valores!$C$11*D298)</f>
        <v>341.95</v>
      </c>
      <c r="AM298" s="89">
        <f>IF(Valores!$C$57*D298&gt;Valores!$F$57,Valores!$F$57,Valores!$C$57*D298)</f>
        <v>257.67</v>
      </c>
      <c r="AN298" s="79">
        <f>IF($H$4="SI",SUM(AL298+AM298),AL298)*Valores!$C$63</f>
        <v>0</v>
      </c>
      <c r="AO298" s="12">
        <f t="shared" si="58"/>
        <v>1430.8</v>
      </c>
      <c r="AP298" s="13">
        <f>AJ298*-Valores!$C$65</f>
        <v>-5044.236599999999</v>
      </c>
      <c r="AQ298" s="13">
        <f>AJ298*-Valores!$C$66</f>
        <v>-194.00909999999996</v>
      </c>
      <c r="AR298" s="78">
        <f>AJ298*-Valores!$C$67</f>
        <v>-1746.0818999999997</v>
      </c>
      <c r="AS298" s="78">
        <f>AJ298*-Valores!$C$68</f>
        <v>-1047.64914</v>
      </c>
      <c r="AT298" s="78">
        <f>AJ298*-Valores!$C$69</f>
        <v>-116.40545999999998</v>
      </c>
      <c r="AU298" s="15">
        <f t="shared" si="55"/>
        <v>33248.2924</v>
      </c>
      <c r="AV298" s="15">
        <f t="shared" si="56"/>
        <v>33830.31969999999</v>
      </c>
      <c r="AW298" s="78">
        <f>AJ298*Valores!$C$70</f>
        <v>6208.291199999999</v>
      </c>
      <c r="AX298" s="78">
        <f>AJ298*Valores!$C$71</f>
        <v>1746.0818999999997</v>
      </c>
      <c r="AY298" s="78">
        <f>AJ298*Valores!$C$73</f>
        <v>388.0181999999999</v>
      </c>
      <c r="AZ298" s="78">
        <f>AJ298*Valores!$C$74</f>
        <v>1358.0637</v>
      </c>
      <c r="BA298" s="78">
        <f>AJ298*Valores!$C$75</f>
        <v>232.81091999999995</v>
      </c>
      <c r="BB298" s="78">
        <f t="shared" si="59"/>
        <v>2095.29828</v>
      </c>
      <c r="BC298" s="20"/>
      <c r="BD298" s="20">
        <f t="shared" si="60"/>
        <v>140</v>
      </c>
      <c r="BE298" s="9" t="s">
        <v>461</v>
      </c>
    </row>
    <row r="299" spans="1:57" s="9" customFormat="1" ht="11.25" customHeight="1">
      <c r="A299" s="20">
        <v>298</v>
      </c>
      <c r="B299" s="20"/>
      <c r="C299" s="9" t="s">
        <v>355</v>
      </c>
      <c r="D299" s="9">
        <v>36</v>
      </c>
      <c r="E299" s="9">
        <f t="shared" si="57"/>
        <v>34</v>
      </c>
      <c r="F299" s="10" t="str">
        <f>CONCATENATE("Hora Cátedra Enseñanza Media ",D299," hs")</f>
        <v>Hora Cátedra Enseñanza Media 36 hs</v>
      </c>
      <c r="G299" s="123">
        <f t="shared" si="61"/>
        <v>2844</v>
      </c>
      <c r="H299" s="7">
        <f>INT((G299*Valores!$C$2*100))/100</f>
        <v>17062.02</v>
      </c>
      <c r="I299" s="134">
        <v>0</v>
      </c>
      <c r="J299" s="77">
        <f>INT((I299*Valores!$C$2*100)+0.5)/100</f>
        <v>0</v>
      </c>
      <c r="K299" s="146">
        <v>0</v>
      </c>
      <c r="L299" s="77">
        <f>INT((K299*Valores!$C$2*100)+0.5)/100</f>
        <v>0</v>
      </c>
      <c r="M299" s="120">
        <v>0</v>
      </c>
      <c r="N299" s="77">
        <f>INT((M299*Valores!$C$2*100)+0.5)/100</f>
        <v>0</v>
      </c>
      <c r="O299" s="77">
        <f t="shared" si="51"/>
        <v>0</v>
      </c>
      <c r="P299" s="77">
        <f t="shared" si="52"/>
        <v>9184.5</v>
      </c>
      <c r="Q299" s="61">
        <f>Valores!$C$14*D299</f>
        <v>4951.44</v>
      </c>
      <c r="R299" s="61">
        <f>IF(D299&lt;15,(Valores!$E$4*D299),Valores!$D$4)</f>
        <v>2683.49</v>
      </c>
      <c r="S299" s="77">
        <v>0</v>
      </c>
      <c r="T299" s="79">
        <f>IF(Valores!$C$45*D299&gt;Valores!$C$43,Valores!$C$43,Valores!$C$45*D299)</f>
        <v>1306.98</v>
      </c>
      <c r="U299" s="61">
        <f>Valores!$C$22*D299</f>
        <v>1918.8</v>
      </c>
      <c r="V299" s="77">
        <f t="shared" si="48"/>
        <v>2878.2</v>
      </c>
      <c r="W299" s="77">
        <v>0</v>
      </c>
      <c r="X299" s="77">
        <v>0</v>
      </c>
      <c r="Y299" s="37">
        <v>0</v>
      </c>
      <c r="Z299" s="77">
        <f>Y299*Valores!$C$2</f>
        <v>0</v>
      </c>
      <c r="AA299" s="77">
        <v>0</v>
      </c>
      <c r="AB299" s="89">
        <f>IF((Valores!$C$32)*D299&gt;Valores!$F$32,Valores!$F$32,(Valores!$C$32)*D299)</f>
        <v>218.16</v>
      </c>
      <c r="AC299" s="77">
        <f t="shared" si="53"/>
        <v>0</v>
      </c>
      <c r="AD299" s="77">
        <f>IF(Valores!$C$33*D299&gt;Valores!$F$33,Valores!$F$33,Valores!$C$33*D299)</f>
        <v>151.15</v>
      </c>
      <c r="AE299" s="116">
        <v>0</v>
      </c>
      <c r="AF299" s="77">
        <f>INT(((AE299*Valores!$C$2)*100)+0.5)/100</f>
        <v>0</v>
      </c>
      <c r="AG299" s="77">
        <f>IF(Valores!$D$58*'Escala Docente'!D299&gt;Valores!$F$58,Valores!$F$58,Valores!$D$58*'Escala Docente'!D299)</f>
        <v>614.92</v>
      </c>
      <c r="AH299" s="77">
        <f>IF(Valores!$D$60*D299&gt;Valores!$F$60,Valores!$F$60,Valores!$D$60*D299)</f>
        <v>175.7</v>
      </c>
      <c r="AI299" s="77">
        <f>SUM(H299,J299,L299,N299,O299,P299,Q299,R299,S299,T299,V299,W299,X299,Z299,AA299,AB299,AC299,AD299,AF299,AG299,AH299)*Valores!$C$63</f>
        <v>0</v>
      </c>
      <c r="AJ299" s="140">
        <f t="shared" si="54"/>
        <v>39226.56</v>
      </c>
      <c r="AK299" s="61">
        <f>IF(Valores!$C$36*D299&gt;Valores!$F$36,Valores!$F$36,Valores!$C$36*D299)</f>
        <v>831.18</v>
      </c>
      <c r="AL299" s="79">
        <f>IF(Valores!$C$11*D299&gt;Valores!$F$11,Valores!$F$11,Valores!$C$11*D299)</f>
        <v>351.39</v>
      </c>
      <c r="AM299" s="89">
        <f>IF(Valores!$C$57*D299&gt;Valores!$F$57,Valores!$F$57,Valores!$C$57*D299)</f>
        <v>257.67</v>
      </c>
      <c r="AN299" s="79">
        <f>IF($H$4="SI",SUM(AL299+AM299),AL299)*Valores!$C$63</f>
        <v>0</v>
      </c>
      <c r="AO299" s="12">
        <f t="shared" si="58"/>
        <v>1440.24</v>
      </c>
      <c r="AP299" s="13">
        <f>AJ299*-Valores!$C$65</f>
        <v>-5099.4528</v>
      </c>
      <c r="AQ299" s="13">
        <f>AJ299*-Valores!$C$66</f>
        <v>-196.1328</v>
      </c>
      <c r="AR299" s="78">
        <f>AJ299*-Valores!$C$67</f>
        <v>-1765.1951999999999</v>
      </c>
      <c r="AS299" s="78">
        <f>AJ299*-Valores!$C$68</f>
        <v>-1059.11712</v>
      </c>
      <c r="AT299" s="78">
        <f>AJ299*-Valores!$C$69</f>
        <v>-117.67967999999999</v>
      </c>
      <c r="AU299" s="15">
        <f t="shared" si="55"/>
        <v>33606.019199999995</v>
      </c>
      <c r="AV299" s="15">
        <f t="shared" si="56"/>
        <v>34194.41759999999</v>
      </c>
      <c r="AW299" s="78">
        <f>AJ299*Valores!$C$70</f>
        <v>6276.2496</v>
      </c>
      <c r="AX299" s="78">
        <f>AJ299*Valores!$C$71</f>
        <v>1765.1951999999999</v>
      </c>
      <c r="AY299" s="78">
        <f>AJ299*Valores!$C$73</f>
        <v>392.2656</v>
      </c>
      <c r="AZ299" s="78">
        <f>AJ299*Valores!$C$74</f>
        <v>1372.9296</v>
      </c>
      <c r="BA299" s="78">
        <f>AJ299*Valores!$C$75</f>
        <v>235.35935999999998</v>
      </c>
      <c r="BB299" s="78">
        <f t="shared" si="59"/>
        <v>2118.2342399999998</v>
      </c>
      <c r="BC299" s="20"/>
      <c r="BD299" s="55">
        <f t="shared" si="60"/>
        <v>144</v>
      </c>
      <c r="BE299" s="9" t="s">
        <v>461</v>
      </c>
    </row>
    <row r="300" spans="1:57" s="9" customFormat="1" ht="11.25" customHeight="1">
      <c r="A300" s="20">
        <v>299</v>
      </c>
      <c r="B300" s="20"/>
      <c r="C300" s="9" t="s">
        <v>355</v>
      </c>
      <c r="D300" s="9">
        <v>36</v>
      </c>
      <c r="E300" s="9">
        <f t="shared" si="57"/>
        <v>42</v>
      </c>
      <c r="F300" s="10" t="str">
        <f>CONCATENATE("Hora Cátedra Enseñanza Media ",D300," hs Esc Esp")</f>
        <v>Hora Cátedra Enseñanza Media 36 hs Esc Esp</v>
      </c>
      <c r="G300" s="123">
        <f t="shared" si="61"/>
        <v>2844</v>
      </c>
      <c r="H300" s="7">
        <f>INT((G300*Valores!$C$2*100))/100</f>
        <v>17062.02</v>
      </c>
      <c r="I300" s="134">
        <v>0</v>
      </c>
      <c r="J300" s="77">
        <f>INT((I300*Valores!$C$2*100)+0.5)/100</f>
        <v>0</v>
      </c>
      <c r="K300" s="146">
        <v>0</v>
      </c>
      <c r="L300" s="77">
        <f>INT((K300*Valores!$C$2*100)+0.5)/100</f>
        <v>0</v>
      </c>
      <c r="M300" s="120">
        <v>0</v>
      </c>
      <c r="N300" s="77">
        <f>INT((M300*Valores!$C$2*100)+0.5)/100</f>
        <v>0</v>
      </c>
      <c r="O300" s="77">
        <f t="shared" si="51"/>
        <v>0</v>
      </c>
      <c r="P300" s="77">
        <f t="shared" si="52"/>
        <v>9184.5</v>
      </c>
      <c r="Q300" s="61">
        <f>Valores!$C$14*D300</f>
        <v>4951.44</v>
      </c>
      <c r="R300" s="61">
        <f>IF(D300&lt;15,(Valores!$E$4*D300),Valores!$D$4)</f>
        <v>2683.49</v>
      </c>
      <c r="S300" s="77">
        <v>0</v>
      </c>
      <c r="T300" s="79">
        <f>IF(Valores!$C$45*D300&gt;Valores!$C$43,Valores!$C$43,Valores!$C$45*D300)</f>
        <v>1306.98</v>
      </c>
      <c r="U300" s="61">
        <f>Valores!$C$22*D300</f>
        <v>1918.8</v>
      </c>
      <c r="V300" s="77">
        <f t="shared" si="48"/>
        <v>2878.2</v>
      </c>
      <c r="W300" s="77">
        <v>0</v>
      </c>
      <c r="X300" s="77">
        <v>0</v>
      </c>
      <c r="Y300" s="37">
        <v>0</v>
      </c>
      <c r="Z300" s="77">
        <f>Y300*Valores!$C$2</f>
        <v>0</v>
      </c>
      <c r="AA300" s="77">
        <v>0</v>
      </c>
      <c r="AB300" s="89">
        <f>IF((Valores!$C$32)*D300&gt;Valores!$F$32,Valores!$F$32,(Valores!$C$32)*D300)</f>
        <v>218.16</v>
      </c>
      <c r="AC300" s="77">
        <f t="shared" si="53"/>
        <v>0</v>
      </c>
      <c r="AD300" s="77">
        <f>IF(Valores!$C$33*D300&gt;Valores!$F$33,Valores!$F$33,Valores!$C$33*D300)</f>
        <v>151.15</v>
      </c>
      <c r="AE300" s="116">
        <v>94</v>
      </c>
      <c r="AF300" s="77">
        <f>INT(((AE300*Valores!$C$2)*100)+0.5)/100</f>
        <v>563.93</v>
      </c>
      <c r="AG300" s="77">
        <f>IF(Valores!$D$58*'Escala Docente'!D300&gt;Valores!$F$58,Valores!$F$58,Valores!$D$58*'Escala Docente'!D300)</f>
        <v>614.92</v>
      </c>
      <c r="AH300" s="77">
        <f>IF(Valores!$D$60*D300&gt;Valores!$F$60,Valores!$F$60,Valores!$D$60*D300)</f>
        <v>175.7</v>
      </c>
      <c r="AI300" s="77">
        <f>SUM(H300,J300,L300,N300,O300,P300,Q300,R300,S300,T300,V300,W300,X300,Z300,AA300,AB300,AC300,AD300,AF300,AG300,AH300)*Valores!$C$63</f>
        <v>0</v>
      </c>
      <c r="AJ300" s="140">
        <f t="shared" si="54"/>
        <v>39790.49</v>
      </c>
      <c r="AK300" s="61">
        <f>IF(Valores!$C$36*D300&gt;Valores!$F$36,Valores!$F$36,Valores!$C$36*D300)</f>
        <v>831.18</v>
      </c>
      <c r="AL300" s="79">
        <f>IF(Valores!$C$11*D300&gt;Valores!$F$11,Valores!$F$11,Valores!$C$11*D300)</f>
        <v>351.39</v>
      </c>
      <c r="AM300" s="89">
        <f>IF(Valores!$C$57*D300&gt;Valores!$F$57,Valores!$F$57,Valores!$C$57*D300)</f>
        <v>257.67</v>
      </c>
      <c r="AN300" s="79">
        <f>IF($H$4="SI",SUM(AL300+AM300),AL300)*Valores!$C$63</f>
        <v>0</v>
      </c>
      <c r="AO300" s="12">
        <f t="shared" si="58"/>
        <v>1440.24</v>
      </c>
      <c r="AP300" s="13">
        <f>AJ300*-Valores!$C$65</f>
        <v>-5172.7636999999995</v>
      </c>
      <c r="AQ300" s="13">
        <f>AJ300*-Valores!$C$66</f>
        <v>-198.95245</v>
      </c>
      <c r="AR300" s="78">
        <f>AJ300*-Valores!$C$67</f>
        <v>-1790.5720499999998</v>
      </c>
      <c r="AS300" s="78">
        <f>AJ300*-Valores!$C$68</f>
        <v>-1074.3432300000002</v>
      </c>
      <c r="AT300" s="78">
        <f>AJ300*-Valores!$C$69</f>
        <v>-119.37147</v>
      </c>
      <c r="AU300" s="15">
        <f t="shared" si="55"/>
        <v>34068.4418</v>
      </c>
      <c r="AV300" s="15">
        <f t="shared" si="56"/>
        <v>34665.299150000006</v>
      </c>
      <c r="AW300" s="78">
        <f>AJ300*Valores!$C$70</f>
        <v>6366.4784</v>
      </c>
      <c r="AX300" s="78">
        <f>AJ300*Valores!$C$71</f>
        <v>1790.5720499999998</v>
      </c>
      <c r="AY300" s="78">
        <f>AJ300*Valores!$C$73</f>
        <v>397.9049</v>
      </c>
      <c r="AZ300" s="78">
        <f>AJ300*Valores!$C$74</f>
        <v>1392.66715</v>
      </c>
      <c r="BA300" s="78">
        <f>AJ300*Valores!$C$75</f>
        <v>238.74294</v>
      </c>
      <c r="BB300" s="78">
        <f t="shared" si="59"/>
        <v>2148.68646</v>
      </c>
      <c r="BC300" s="20"/>
      <c r="BD300" s="20">
        <f t="shared" si="60"/>
        <v>144</v>
      </c>
      <c r="BE300" s="9" t="s">
        <v>461</v>
      </c>
    </row>
    <row r="301" spans="1:57" s="9" customFormat="1" ht="11.25" customHeight="1">
      <c r="A301" s="55">
        <v>300</v>
      </c>
      <c r="B301" s="55" t="s">
        <v>458</v>
      </c>
      <c r="C301" s="52" t="s">
        <v>356</v>
      </c>
      <c r="D301" s="52">
        <v>1</v>
      </c>
      <c r="E301" s="52">
        <f t="shared" si="57"/>
        <v>26</v>
      </c>
      <c r="F301" s="53" t="s">
        <v>357</v>
      </c>
      <c r="G301" s="124">
        <v>79</v>
      </c>
      <c r="H301" s="129">
        <f>INT((G301*Valores!$C$2*100))/100</f>
        <v>473.94</v>
      </c>
      <c r="I301" s="133">
        <v>0</v>
      </c>
      <c r="J301" s="80">
        <f>INT((I301*Valores!$C$2*100)+0.5)/100</f>
        <v>0</v>
      </c>
      <c r="K301" s="147">
        <v>0</v>
      </c>
      <c r="L301" s="80">
        <f>INT((K301*Valores!$C$2*100)+0.5)/100</f>
        <v>0</v>
      </c>
      <c r="M301" s="121">
        <v>0</v>
      </c>
      <c r="N301" s="80">
        <f>INT((M301*Valores!$C$2*100)+0.5)/100</f>
        <v>0</v>
      </c>
      <c r="O301" s="80">
        <f t="shared" si="51"/>
        <v>0</v>
      </c>
      <c r="P301" s="80">
        <f t="shared" si="52"/>
        <v>255.125</v>
      </c>
      <c r="Q301" s="85">
        <f>Valores!$C$14*D301</f>
        <v>137.54</v>
      </c>
      <c r="R301" s="85">
        <f>IF(D301&lt;15,(Valores!$E$4*D301),Valores!$D$4)</f>
        <v>178.89999999999998</v>
      </c>
      <c r="S301" s="80">
        <v>0</v>
      </c>
      <c r="T301" s="82">
        <f>IF(Valores!$C$45*D301&gt;Valores!$C$43,Valores!$C$43,Valores!$C$45*D301)</f>
        <v>36.31</v>
      </c>
      <c r="U301" s="85">
        <f>Valores!$C$22*D301</f>
        <v>53.3</v>
      </c>
      <c r="V301" s="80">
        <f t="shared" si="48"/>
        <v>79.94999999999999</v>
      </c>
      <c r="W301" s="80">
        <v>0</v>
      </c>
      <c r="X301" s="80">
        <v>0</v>
      </c>
      <c r="Y301" s="60">
        <v>0</v>
      </c>
      <c r="Z301" s="80">
        <f>Y301*Valores!$C$2</f>
        <v>0</v>
      </c>
      <c r="AA301" s="80">
        <v>0</v>
      </c>
      <c r="AB301" s="90">
        <f>IF((Valores!$C$32)*D301&gt;Valores!$F$32,Valores!$F$32,(Valores!$C$32)*D301)</f>
        <v>6.06</v>
      </c>
      <c r="AC301" s="80">
        <f t="shared" si="53"/>
        <v>0</v>
      </c>
      <c r="AD301" s="80">
        <f>IF(Valores!$C$33*D301&gt;Valores!$F$33,Valores!$F$33,Valores!$C$33*D301)</f>
        <v>5.04</v>
      </c>
      <c r="AE301" s="115">
        <v>0</v>
      </c>
      <c r="AF301" s="80">
        <f>INT(((AE301*Valores!$C$2)*100)+0.5)/100</f>
        <v>0</v>
      </c>
      <c r="AG301" s="80">
        <f>IF(Valores!$D$58*'Escala Docente'!D301&gt;Valores!$F$58,Valores!$F$58,Valores!$D$58*'Escala Docente'!D301)</f>
        <v>20.5</v>
      </c>
      <c r="AH301" s="80">
        <f>IF(Valores!$D$60*D301&gt;Valores!$F$60,Valores!$F$60,Valores!$D$60*D301)</f>
        <v>5.86</v>
      </c>
      <c r="AI301" s="80">
        <f>SUM(H301,J301,L301,N301,O301,P301,Q301,R301,S301,T301,V301,W301,X301,Z301,AA301,AB301,AC301,AD301,AF301,AG301,AH301)*Valores!$C$63</f>
        <v>0</v>
      </c>
      <c r="AJ301" s="141">
        <f t="shared" si="54"/>
        <v>1199.225</v>
      </c>
      <c r="AK301" s="85">
        <f>IF(Valores!$C$36*D301&gt;Valores!$F$36,Valores!$F$36,Valores!$C$36*D301)</f>
        <v>27.71</v>
      </c>
      <c r="AL301" s="82">
        <f>IF(Valores!$C$11*D301&gt;Valores!$F$11,Valores!$F$11,Valores!$C$11*D301)</f>
        <v>9.77</v>
      </c>
      <c r="AM301" s="90">
        <f>IF(Valores!$C$57*D301&gt;Valores!$F$57,Valores!$F$57,Valores!$C$57*D301)</f>
        <v>8.59</v>
      </c>
      <c r="AN301" s="82">
        <f>IF($H$4="SI",SUM(AL301+AM301),AL301)*Valores!$C$63</f>
        <v>0</v>
      </c>
      <c r="AO301" s="185">
        <f t="shared" si="58"/>
        <v>46.07000000000001</v>
      </c>
      <c r="AP301" s="154">
        <f>AJ301*-Valores!$C$65</f>
        <v>-155.89925</v>
      </c>
      <c r="AQ301" s="154">
        <f>AJ301*-Valores!$C$66</f>
        <v>-5.996124999999999</v>
      </c>
      <c r="AR301" s="81">
        <f>AJ301*-Valores!$C$67</f>
        <v>-53.96512499999999</v>
      </c>
      <c r="AS301" s="81">
        <f>AJ301*-Valores!$C$68</f>
        <v>-32.379075</v>
      </c>
      <c r="AT301" s="81">
        <f>AJ301*-Valores!$C$69</f>
        <v>-3.5976749999999997</v>
      </c>
      <c r="AU301" s="54">
        <f t="shared" si="55"/>
        <v>1029.4345</v>
      </c>
      <c r="AV301" s="54">
        <f t="shared" si="56"/>
        <v>1047.422875</v>
      </c>
      <c r="AW301" s="81">
        <f>AJ301*Valores!$C$70</f>
        <v>191.87599999999998</v>
      </c>
      <c r="AX301" s="81">
        <f>AJ301*Valores!$C$71</f>
        <v>53.96512499999999</v>
      </c>
      <c r="AY301" s="81">
        <f>AJ301*Valores!$C$73</f>
        <v>11.992249999999999</v>
      </c>
      <c r="AZ301" s="81">
        <f>AJ301*Valores!$C$74</f>
        <v>41.972875</v>
      </c>
      <c r="BA301" s="81">
        <f>AJ301*Valores!$C$75</f>
        <v>7.1953499999999995</v>
      </c>
      <c r="BB301" s="81">
        <f t="shared" si="59"/>
        <v>64.75815</v>
      </c>
      <c r="BC301" s="55"/>
      <c r="BD301" s="55">
        <f t="shared" si="60"/>
        <v>4</v>
      </c>
      <c r="BE301" s="52" t="s">
        <v>462</v>
      </c>
    </row>
    <row r="302" spans="1:57" s="9" customFormat="1" ht="11.25" customHeight="1">
      <c r="A302" s="20">
        <v>301</v>
      </c>
      <c r="B302" s="20"/>
      <c r="C302" s="9" t="s">
        <v>443</v>
      </c>
      <c r="E302" s="9">
        <f t="shared" si="57"/>
        <v>32</v>
      </c>
      <c r="F302" s="10" t="s">
        <v>447</v>
      </c>
      <c r="G302" s="36">
        <v>192</v>
      </c>
      <c r="H302" s="7">
        <f>INT((G302*Valores!$C$2*100)+0.5)/100</f>
        <v>1151.87</v>
      </c>
      <c r="I302" s="134">
        <v>0</v>
      </c>
      <c r="J302" s="77">
        <f>INT((I302*Valores!$C$2*100)+0.5)/100</f>
        <v>0</v>
      </c>
      <c r="K302" s="146">
        <v>0</v>
      </c>
      <c r="L302" s="77">
        <f>INT((K302*Valores!$C$2*100)+0.5)/100</f>
        <v>0</v>
      </c>
      <c r="M302" s="120">
        <v>0</v>
      </c>
      <c r="N302" s="77">
        <f>INT((M302*Valores!$C$2*100)+0.5)/100</f>
        <v>0</v>
      </c>
      <c r="O302" s="77">
        <f t="shared" si="51"/>
        <v>0</v>
      </c>
      <c r="P302" s="77">
        <f t="shared" si="52"/>
        <v>619.4849999999999</v>
      </c>
      <c r="Q302" s="61">
        <v>0</v>
      </c>
      <c r="R302" s="61">
        <v>0</v>
      </c>
      <c r="S302" s="77">
        <v>0</v>
      </c>
      <c r="T302" s="79">
        <f>Valores!C46</f>
        <v>87.1</v>
      </c>
      <c r="U302" s="61">
        <v>0</v>
      </c>
      <c r="V302" s="77">
        <f t="shared" si="48"/>
        <v>0</v>
      </c>
      <c r="W302" s="77">
        <v>0</v>
      </c>
      <c r="X302" s="77">
        <v>0</v>
      </c>
      <c r="Y302" s="37">
        <v>0</v>
      </c>
      <c r="Z302" s="77">
        <v>0</v>
      </c>
      <c r="AA302" s="77">
        <v>0</v>
      </c>
      <c r="AB302" s="89">
        <v>0</v>
      </c>
      <c r="AC302" s="77">
        <f t="shared" si="53"/>
        <v>0</v>
      </c>
      <c r="AD302" s="77">
        <v>0</v>
      </c>
      <c r="AE302" s="116">
        <v>0</v>
      </c>
      <c r="AF302" s="77">
        <f>INT(((AE302*Valores!$C$2)*100)+0.5)/100</f>
        <v>0</v>
      </c>
      <c r="AG302" s="77">
        <f>Valores!C59</f>
        <v>40.99</v>
      </c>
      <c r="AH302" s="77">
        <f>Valores!C61</f>
        <v>11.71</v>
      </c>
      <c r="AI302" s="77">
        <f>SUM(H302,J302,L302,N302,O302,P302,Q302,R302,S302,T302,V302,W302,X302,Z302,AA302,AB302,AC302,AD302,AF302,AG302,AH302)*Valores!$C$63</f>
        <v>0</v>
      </c>
      <c r="AJ302" s="140">
        <f t="shared" si="54"/>
        <v>1911.1549999999997</v>
      </c>
      <c r="AK302" s="140"/>
      <c r="AL302" s="79">
        <f>Valores!C12</f>
        <v>23.44</v>
      </c>
      <c r="AM302" s="89">
        <v>0</v>
      </c>
      <c r="AN302" s="79">
        <f>IF($H$4="SI",SUM(AL302+AM302),AL302)*Valores!$C$63</f>
        <v>0</v>
      </c>
      <c r="AO302" s="12">
        <f t="shared" si="58"/>
        <v>23.44</v>
      </c>
      <c r="AP302" s="13">
        <f>AJ302*-Valores!$C$65</f>
        <v>-248.45014999999998</v>
      </c>
      <c r="AQ302" s="13">
        <f>AJ302*-Valores!$C$66</f>
        <v>-9.555774999999999</v>
      </c>
      <c r="AR302" s="78">
        <f>AJ302*-Valores!$C$67</f>
        <v>-86.00197499999999</v>
      </c>
      <c r="AS302" s="78">
        <f>AJ302*-Valores!$C$68</f>
        <v>-51.601185</v>
      </c>
      <c r="AT302" s="78">
        <f>AJ302*-Valores!$C$69</f>
        <v>-5.733464999999999</v>
      </c>
      <c r="AU302" s="15">
        <f t="shared" si="55"/>
        <v>1590.5871</v>
      </c>
      <c r="AV302" s="15">
        <f t="shared" si="56"/>
        <v>1619.2544249999999</v>
      </c>
      <c r="AW302" s="78">
        <f>AJ302*Valores!$C$70</f>
        <v>305.78479999999996</v>
      </c>
      <c r="AX302" s="78">
        <f>AJ302*Valores!$C$71</f>
        <v>86.00197499999999</v>
      </c>
      <c r="AY302" s="78">
        <f>AJ302*Valores!$C$73</f>
        <v>19.111549999999998</v>
      </c>
      <c r="AZ302" s="78">
        <f>AJ302*Valores!$C$74</f>
        <v>66.890425</v>
      </c>
      <c r="BA302" s="78">
        <f>AJ302*Valores!$C$75</f>
        <v>11.466929999999998</v>
      </c>
      <c r="BB302" s="78">
        <f t="shared" si="59"/>
        <v>103.20236999999999</v>
      </c>
      <c r="BC302" s="20"/>
      <c r="BD302" s="20"/>
      <c r="BE302" s="9" t="s">
        <v>462</v>
      </c>
    </row>
    <row r="303" spans="1:57" ht="11.25" customHeight="1">
      <c r="A303" s="20">
        <v>302</v>
      </c>
      <c r="B303" s="20"/>
      <c r="C303" s="23"/>
      <c r="D303" s="24">
        <v>1</v>
      </c>
      <c r="E303" s="24">
        <f t="shared" si="57"/>
        <v>28</v>
      </c>
      <c r="F303" s="8" t="s">
        <v>415</v>
      </c>
      <c r="G303" s="36">
        <v>700</v>
      </c>
      <c r="H303" s="7">
        <f>INT((G303*Valores!$C$2*100)+0.5)/100</f>
        <v>4199.51</v>
      </c>
      <c r="I303" s="134">
        <v>0</v>
      </c>
      <c r="J303" s="77">
        <f>INT((I303*Valores!$C$2*100)+0.5)/100</f>
        <v>0</v>
      </c>
      <c r="K303" s="146">
        <v>0</v>
      </c>
      <c r="L303" s="77">
        <f>INT((K303*Valores!$C$2*100)+0.5)/100</f>
        <v>0</v>
      </c>
      <c r="M303" s="120">
        <v>0</v>
      </c>
      <c r="N303" s="77">
        <f>INT((M303*Valores!$C$2*100)+0.5)/100</f>
        <v>0</v>
      </c>
      <c r="O303" s="77">
        <f t="shared" si="51"/>
        <v>0</v>
      </c>
      <c r="P303" s="77">
        <f t="shared" si="52"/>
        <v>2372.08</v>
      </c>
      <c r="Q303" s="61">
        <v>0</v>
      </c>
      <c r="R303" s="61">
        <v>0</v>
      </c>
      <c r="S303" s="77">
        <v>0</v>
      </c>
      <c r="T303" s="79">
        <f>Valores!$C$45*15</f>
        <v>544.6500000000001</v>
      </c>
      <c r="U303" s="61">
        <v>0</v>
      </c>
      <c r="V303" s="77">
        <f aca="true" t="shared" si="62" ref="V303:V327">U303*(1+$J$2)</f>
        <v>0</v>
      </c>
      <c r="W303" s="77">
        <v>0</v>
      </c>
      <c r="X303" s="77">
        <v>0</v>
      </c>
      <c r="Y303" s="37">
        <v>0</v>
      </c>
      <c r="Z303" s="77">
        <v>0</v>
      </c>
      <c r="AA303" s="77">
        <v>0</v>
      </c>
      <c r="AB303" s="89">
        <v>0</v>
      </c>
      <c r="AC303" s="77">
        <f t="shared" si="53"/>
        <v>0</v>
      </c>
      <c r="AD303" s="77">
        <v>0</v>
      </c>
      <c r="AE303" s="116">
        <v>0</v>
      </c>
      <c r="AF303" s="77">
        <f>INT(((AE303*Valores!$C$2)*100)+0.5)/100</f>
        <v>0</v>
      </c>
      <c r="AG303" s="77"/>
      <c r="AH303" s="77"/>
      <c r="AI303" s="77">
        <f>SUM(H303,J303,L303,N303,O303,P303,Q303,R303,S303,T303,V303,W303,X303,Z303,AA303,AB303,AC303,AD303,AF303,AG303,AH303)*Valores!$C$63</f>
        <v>0</v>
      </c>
      <c r="AJ303" s="140">
        <f t="shared" si="54"/>
        <v>7116.24</v>
      </c>
      <c r="AK303" s="140"/>
      <c r="AL303" s="79">
        <f>Valores!$C$11*15</f>
        <v>146.54999999999998</v>
      </c>
      <c r="AM303" s="89">
        <v>0</v>
      </c>
      <c r="AN303" s="79">
        <f>IF($H$4="SI",SUM(AL303+AM303),AL303)*Valores!$C$63</f>
        <v>0</v>
      </c>
      <c r="AO303" s="12">
        <f t="shared" si="58"/>
        <v>146.54999999999998</v>
      </c>
      <c r="AP303" s="13">
        <f>AJ303*-Valores!$C$65</f>
        <v>-925.1112</v>
      </c>
      <c r="AQ303" s="13">
        <f>AJ303*-Valores!$C$66</f>
        <v>-35.5812</v>
      </c>
      <c r="AR303" s="78">
        <f>AJ303*-Valores!$C$67</f>
        <v>-320.2308</v>
      </c>
      <c r="AS303" s="78">
        <f>AJ303*-Valores!$C$68</f>
        <v>-192.13848000000002</v>
      </c>
      <c r="AT303" s="78">
        <f>AJ303*-Valores!$C$69</f>
        <v>-21.34872</v>
      </c>
      <c r="AU303" s="15">
        <f t="shared" si="55"/>
        <v>5981.8668</v>
      </c>
      <c r="AV303" s="15">
        <f t="shared" si="56"/>
        <v>6088.6104000000005</v>
      </c>
      <c r="AW303" s="78">
        <f>AJ303*Valores!$C$70</f>
        <v>1138.5984</v>
      </c>
      <c r="AX303" s="78">
        <f>AJ303*Valores!$C$71</f>
        <v>320.2308</v>
      </c>
      <c r="AY303" s="78">
        <f>AJ303*Valores!$C$73</f>
        <v>71.1624</v>
      </c>
      <c r="AZ303" s="78">
        <f>AJ303*Valores!$C$74</f>
        <v>249.06840000000003</v>
      </c>
      <c r="BA303" s="78">
        <f>AJ303*Valores!$C$75</f>
        <v>42.69744</v>
      </c>
      <c r="BB303" s="78">
        <f t="shared" si="59"/>
        <v>384.27696000000003</v>
      </c>
      <c r="BE303" s="9" t="s">
        <v>462</v>
      </c>
    </row>
    <row r="304" spans="1:57" ht="11.25" customHeight="1">
      <c r="A304" s="20">
        <v>303</v>
      </c>
      <c r="B304" s="20"/>
      <c r="C304" s="11"/>
      <c r="D304" s="24">
        <v>1</v>
      </c>
      <c r="E304" s="24">
        <f t="shared" si="57"/>
        <v>28</v>
      </c>
      <c r="F304" s="8" t="s">
        <v>416</v>
      </c>
      <c r="G304" s="36">
        <v>500</v>
      </c>
      <c r="H304" s="7">
        <f>INT((G304*Valores!$C$2*100)+0.5)/100</f>
        <v>2999.65</v>
      </c>
      <c r="I304" s="134">
        <v>0</v>
      </c>
      <c r="J304" s="77">
        <f>INT((I304*Valores!$C$2*100)+0.5)/100</f>
        <v>0</v>
      </c>
      <c r="K304" s="146">
        <v>0</v>
      </c>
      <c r="L304" s="77">
        <f>INT((K304*Valores!$C$2*100)+0.5)/100</f>
        <v>0</v>
      </c>
      <c r="M304" s="120">
        <v>0</v>
      </c>
      <c r="N304" s="77">
        <f>INT((M304*Valores!$C$2*100)+0.5)/100</f>
        <v>0</v>
      </c>
      <c r="O304" s="77">
        <f t="shared" si="51"/>
        <v>0</v>
      </c>
      <c r="P304" s="77">
        <f t="shared" si="52"/>
        <v>1681.375</v>
      </c>
      <c r="Q304" s="61">
        <v>0</v>
      </c>
      <c r="R304" s="61">
        <v>0</v>
      </c>
      <c r="S304" s="77">
        <v>0</v>
      </c>
      <c r="T304" s="79">
        <f>Valores!$C$45*10</f>
        <v>363.1</v>
      </c>
      <c r="U304" s="79">
        <v>0</v>
      </c>
      <c r="V304" s="77">
        <f t="shared" si="62"/>
        <v>0</v>
      </c>
      <c r="W304" s="77">
        <v>0</v>
      </c>
      <c r="X304" s="77">
        <v>0</v>
      </c>
      <c r="Y304" s="37">
        <v>0</v>
      </c>
      <c r="Z304" s="77">
        <v>0</v>
      </c>
      <c r="AA304" s="77">
        <v>0</v>
      </c>
      <c r="AB304" s="89">
        <v>0</v>
      </c>
      <c r="AC304" s="77">
        <f t="shared" si="53"/>
        <v>0</v>
      </c>
      <c r="AD304" s="77">
        <v>0</v>
      </c>
      <c r="AE304" s="116">
        <v>0</v>
      </c>
      <c r="AF304" s="77">
        <f>INT(((AE304*Valores!$C$2)*100)+0.5)/100</f>
        <v>0</v>
      </c>
      <c r="AG304" s="77"/>
      <c r="AH304" s="77"/>
      <c r="AI304" s="77">
        <f>SUM(H304,J304,L304,N304,O304,P304,Q304,R304,S304,T304,V304,W304,X304,Z304,AA304,AB304,AC304,AD304,AF304,AG304,AH304)*Valores!$C$63</f>
        <v>0</v>
      </c>
      <c r="AJ304" s="140">
        <f t="shared" si="54"/>
        <v>5044.125</v>
      </c>
      <c r="AK304" s="140"/>
      <c r="AL304" s="79">
        <f>Valores!$C$11*10</f>
        <v>97.69999999999999</v>
      </c>
      <c r="AM304" s="89">
        <v>0</v>
      </c>
      <c r="AN304" s="79">
        <f>IF($H$4="SI",SUM(AL304+AM304),AL304)*Valores!$C$63</f>
        <v>0</v>
      </c>
      <c r="AO304" s="12">
        <f t="shared" si="58"/>
        <v>97.69999999999999</v>
      </c>
      <c r="AP304" s="13">
        <f>AJ304*-Valores!$C$65</f>
        <v>-655.73625</v>
      </c>
      <c r="AQ304" s="13">
        <f>AJ304*-Valores!$C$66</f>
        <v>-25.220625000000002</v>
      </c>
      <c r="AR304" s="78">
        <f>AJ304*-Valores!$C$67</f>
        <v>-226.985625</v>
      </c>
      <c r="AS304" s="78">
        <f>AJ304*-Valores!$C$68</f>
        <v>-136.19137500000002</v>
      </c>
      <c r="AT304" s="78">
        <f>AJ304*-Valores!$C$69</f>
        <v>-15.132375</v>
      </c>
      <c r="AU304" s="15">
        <f t="shared" si="55"/>
        <v>4233.8825</v>
      </c>
      <c r="AV304" s="15">
        <f t="shared" si="56"/>
        <v>4309.5443749999995</v>
      </c>
      <c r="AW304" s="78">
        <f>AJ304*Valores!$C$70</f>
        <v>807.0600000000001</v>
      </c>
      <c r="AX304" s="78">
        <f>AJ304*Valores!$C$71</f>
        <v>226.985625</v>
      </c>
      <c r="AY304" s="78">
        <f>AJ304*Valores!$C$73</f>
        <v>50.441250000000004</v>
      </c>
      <c r="AZ304" s="78">
        <f>AJ304*Valores!$C$74</f>
        <v>176.54437500000003</v>
      </c>
      <c r="BA304" s="78">
        <f>AJ304*Valores!$C$75</f>
        <v>30.26475</v>
      </c>
      <c r="BB304" s="78">
        <f t="shared" si="59"/>
        <v>272.38275</v>
      </c>
      <c r="BD304" s="56"/>
      <c r="BE304" s="9" t="s">
        <v>462</v>
      </c>
    </row>
    <row r="305" spans="1:57" ht="11.25" customHeight="1">
      <c r="A305" s="20">
        <v>304</v>
      </c>
      <c r="B305" s="20"/>
      <c r="D305" s="24">
        <v>1</v>
      </c>
      <c r="E305" s="24">
        <f t="shared" si="57"/>
        <v>28</v>
      </c>
      <c r="F305" s="8" t="s">
        <v>417</v>
      </c>
      <c r="G305" s="36">
        <v>300</v>
      </c>
      <c r="H305" s="7">
        <f>INT((G305*Valores!$C$2*100)+0.5)/100</f>
        <v>1799.79</v>
      </c>
      <c r="I305" s="134">
        <v>0</v>
      </c>
      <c r="J305" s="77">
        <f>INT((I305*Valores!$C$2*100)+0.5)/100</f>
        <v>0</v>
      </c>
      <c r="K305" s="146">
        <v>0</v>
      </c>
      <c r="L305" s="77">
        <f>INT((K305*Valores!$C$2*100)+0.5)/100</f>
        <v>0</v>
      </c>
      <c r="M305" s="120">
        <v>0</v>
      </c>
      <c r="N305" s="77">
        <f>INT((M305*Valores!$C$2*100)+0.5)/100</f>
        <v>0</v>
      </c>
      <c r="O305" s="77">
        <f t="shared" si="51"/>
        <v>0</v>
      </c>
      <c r="P305" s="77">
        <f t="shared" si="52"/>
        <v>990.67</v>
      </c>
      <c r="Q305" s="61">
        <v>0</v>
      </c>
      <c r="R305" s="61">
        <v>0</v>
      </c>
      <c r="S305" s="77">
        <v>0</v>
      </c>
      <c r="T305" s="79">
        <f>Valores!$C$45*5</f>
        <v>181.55</v>
      </c>
      <c r="U305" s="61">
        <v>0</v>
      </c>
      <c r="V305" s="77">
        <f t="shared" si="62"/>
        <v>0</v>
      </c>
      <c r="W305" s="77">
        <v>0</v>
      </c>
      <c r="X305" s="77">
        <v>0</v>
      </c>
      <c r="Y305" s="37">
        <v>0</v>
      </c>
      <c r="Z305" s="77">
        <v>0</v>
      </c>
      <c r="AA305" s="77">
        <v>0</v>
      </c>
      <c r="AB305" s="89">
        <v>0</v>
      </c>
      <c r="AC305" s="77">
        <f t="shared" si="53"/>
        <v>0</v>
      </c>
      <c r="AD305" s="77">
        <v>0</v>
      </c>
      <c r="AE305" s="116">
        <v>0</v>
      </c>
      <c r="AF305" s="77">
        <f>INT(((AE305*Valores!$C$2)*100)+0.5)/100</f>
        <v>0</v>
      </c>
      <c r="AG305" s="77"/>
      <c r="AH305" s="77"/>
      <c r="AI305" s="77">
        <f>SUM(H305,J305,L305,N305,O305,P305,Q305,R305,S305,T305,V305,W305,X305,Z305,AA305,AB305,AC305,AD305,AF305,AG305,AH305)*Valores!$C$63</f>
        <v>0</v>
      </c>
      <c r="AJ305" s="140">
        <f t="shared" si="54"/>
        <v>2972.01</v>
      </c>
      <c r="AK305" s="140"/>
      <c r="AL305" s="79">
        <f>Valores!$C$11*5</f>
        <v>48.849999999999994</v>
      </c>
      <c r="AM305" s="89">
        <v>0</v>
      </c>
      <c r="AN305" s="79">
        <f>IF($H$4="SI",SUM(AL305+AM305),AL305)*Valores!$C$63</f>
        <v>0</v>
      </c>
      <c r="AO305" s="12">
        <f t="shared" si="58"/>
        <v>48.849999999999994</v>
      </c>
      <c r="AP305" s="13">
        <f>AJ305*-Valores!$C$65</f>
        <v>-386.3613</v>
      </c>
      <c r="AQ305" s="13">
        <f>AJ305*-Valores!$C$66</f>
        <v>-14.860050000000001</v>
      </c>
      <c r="AR305" s="78">
        <f>AJ305*-Valores!$C$67</f>
        <v>-133.74045</v>
      </c>
      <c r="AS305" s="78">
        <f>AJ305*-Valores!$C$68</f>
        <v>-80.24427000000001</v>
      </c>
      <c r="AT305" s="78">
        <f>AJ305*-Valores!$C$69</f>
        <v>-8.916030000000001</v>
      </c>
      <c r="AU305" s="15">
        <f t="shared" si="55"/>
        <v>2485.8982</v>
      </c>
      <c r="AV305" s="15">
        <f t="shared" si="56"/>
        <v>2530.4783500000003</v>
      </c>
      <c r="AW305" s="78">
        <f>AJ305*Valores!$C$70</f>
        <v>475.52160000000003</v>
      </c>
      <c r="AX305" s="78">
        <f>AJ305*Valores!$C$71</f>
        <v>133.74045</v>
      </c>
      <c r="AY305" s="78">
        <f>AJ305*Valores!$C$73</f>
        <v>29.720100000000002</v>
      </c>
      <c r="AZ305" s="78">
        <f>AJ305*Valores!$C$74</f>
        <v>104.02035000000002</v>
      </c>
      <c r="BA305" s="78">
        <f>AJ305*Valores!$C$75</f>
        <v>17.832060000000002</v>
      </c>
      <c r="BB305" s="78">
        <f t="shared" si="59"/>
        <v>160.48854000000003</v>
      </c>
      <c r="BE305" s="9" t="s">
        <v>462</v>
      </c>
    </row>
    <row r="306" spans="1:57" ht="11.25" customHeight="1">
      <c r="A306" s="55">
        <v>305</v>
      </c>
      <c r="B306" s="55" t="s">
        <v>458</v>
      </c>
      <c r="C306" s="56"/>
      <c r="D306" s="57">
        <v>1</v>
      </c>
      <c r="E306" s="57">
        <f t="shared" si="57"/>
        <v>25</v>
      </c>
      <c r="F306" s="58" t="s">
        <v>418</v>
      </c>
      <c r="G306" s="67">
        <v>155</v>
      </c>
      <c r="H306" s="129">
        <f>INT((G306*Valores!$C$2*100)+0.5)/100</f>
        <v>929.89</v>
      </c>
      <c r="I306" s="133">
        <v>0</v>
      </c>
      <c r="J306" s="80">
        <f>INT((I306*Valores!$C$2*100)+0.5)/100</f>
        <v>0</v>
      </c>
      <c r="K306" s="147">
        <v>0</v>
      </c>
      <c r="L306" s="80">
        <f>INT((K306*Valores!$C$2*100)+0.5)/100</f>
        <v>0</v>
      </c>
      <c r="M306" s="121">
        <v>0</v>
      </c>
      <c r="N306" s="80">
        <f>INT((M306*Valores!$C$2*100)+0.5)/100</f>
        <v>0</v>
      </c>
      <c r="O306" s="80">
        <f t="shared" si="51"/>
        <v>0</v>
      </c>
      <c r="P306" s="80">
        <f t="shared" si="52"/>
        <v>483.1</v>
      </c>
      <c r="Q306" s="85">
        <v>0</v>
      </c>
      <c r="R306" s="85">
        <v>0</v>
      </c>
      <c r="S306" s="80">
        <v>0</v>
      </c>
      <c r="T306" s="82">
        <f>Valores!$C$45</f>
        <v>36.31</v>
      </c>
      <c r="U306" s="85">
        <v>0</v>
      </c>
      <c r="V306" s="80">
        <f t="shared" si="62"/>
        <v>0</v>
      </c>
      <c r="W306" s="80">
        <v>0</v>
      </c>
      <c r="X306" s="80">
        <v>0</v>
      </c>
      <c r="Y306" s="60">
        <v>0</v>
      </c>
      <c r="Z306" s="80">
        <v>0</v>
      </c>
      <c r="AA306" s="80">
        <v>0</v>
      </c>
      <c r="AB306" s="90">
        <v>0</v>
      </c>
      <c r="AC306" s="80">
        <f t="shared" si="53"/>
        <v>0</v>
      </c>
      <c r="AD306" s="80">
        <v>0</v>
      </c>
      <c r="AE306" s="115">
        <v>0</v>
      </c>
      <c r="AF306" s="80">
        <f>INT(((AE306*Valores!$C$2)*100)+0.5)/100</f>
        <v>0</v>
      </c>
      <c r="AG306" s="80"/>
      <c r="AH306" s="80"/>
      <c r="AI306" s="80">
        <f>SUM(H306,J306,L306,N306,O306,P306,Q306,R306,S306,T306,V306,W306,X306,Z306,AA306,AB306,AC306,AD306,AF306,AG306,AH306)*Valores!$C$63</f>
        <v>0</v>
      </c>
      <c r="AJ306" s="141">
        <f t="shared" si="54"/>
        <v>1449.3</v>
      </c>
      <c r="AK306" s="141"/>
      <c r="AL306" s="82">
        <f>Valores!$C$11*1</f>
        <v>9.77</v>
      </c>
      <c r="AM306" s="90">
        <v>0</v>
      </c>
      <c r="AN306" s="82">
        <f>IF($H$4="SI",SUM(AL306+AM306),AL306)*Valores!$C$63</f>
        <v>0</v>
      </c>
      <c r="AO306" s="185">
        <f t="shared" si="58"/>
        <v>9.77</v>
      </c>
      <c r="AP306" s="154">
        <f>AJ306*-Valores!$C$65</f>
        <v>-188.409</v>
      </c>
      <c r="AQ306" s="154">
        <f>AJ306*-Valores!$C$66</f>
        <v>-7.2465</v>
      </c>
      <c r="AR306" s="81">
        <f>AJ306*-Valores!$C$67</f>
        <v>-65.21849999999999</v>
      </c>
      <c r="AS306" s="81">
        <f>AJ306*-Valores!$C$68</f>
        <v>-39.1311</v>
      </c>
      <c r="AT306" s="81">
        <f>AJ306*-Valores!$C$69</f>
        <v>-4.3479</v>
      </c>
      <c r="AU306" s="54">
        <f t="shared" si="55"/>
        <v>1198.196</v>
      </c>
      <c r="AV306" s="54">
        <f t="shared" si="56"/>
        <v>1219.9354999999998</v>
      </c>
      <c r="AW306" s="81">
        <f>AJ306*Valores!$C$70</f>
        <v>231.888</v>
      </c>
      <c r="AX306" s="81">
        <f>AJ306*Valores!$C$71</f>
        <v>65.21849999999999</v>
      </c>
      <c r="AY306" s="81">
        <f>AJ306*Valores!$C$73</f>
        <v>14.493</v>
      </c>
      <c r="AZ306" s="81">
        <f>AJ306*Valores!$C$74</f>
        <v>50.725500000000004</v>
      </c>
      <c r="BA306" s="81">
        <f>AJ306*Valores!$C$75</f>
        <v>8.6958</v>
      </c>
      <c r="BB306" s="81">
        <f t="shared" si="59"/>
        <v>78.2622</v>
      </c>
      <c r="BC306" s="56"/>
      <c r="BD306" s="56"/>
      <c r="BE306" s="52"/>
    </row>
    <row r="307" spans="1:54" ht="11.25" customHeight="1">
      <c r="A307" s="20">
        <v>306</v>
      </c>
      <c r="B307" s="20"/>
      <c r="D307" s="24">
        <v>1</v>
      </c>
      <c r="E307" s="24">
        <f t="shared" si="57"/>
        <v>26</v>
      </c>
      <c r="F307" s="8" t="s">
        <v>419</v>
      </c>
      <c r="G307" s="36">
        <f>155+G306</f>
        <v>310</v>
      </c>
      <c r="H307" s="7">
        <f>INT((G307*Valores!$C$2*100)+0.5)/100</f>
        <v>1859.78</v>
      </c>
      <c r="I307" s="134">
        <v>0</v>
      </c>
      <c r="J307" s="77">
        <f>INT((I307*Valores!$C$2*100)+0.5)/100</f>
        <v>0</v>
      </c>
      <c r="K307" s="146">
        <v>0</v>
      </c>
      <c r="L307" s="77">
        <f>INT((K307*Valores!$C$2*100)+0.5)/100</f>
        <v>0</v>
      </c>
      <c r="M307" s="120">
        <v>0</v>
      </c>
      <c r="N307" s="77">
        <f>INT((M307*Valores!$C$2*100)+0.5)/100</f>
        <v>0</v>
      </c>
      <c r="O307" s="77">
        <f t="shared" si="51"/>
        <v>0</v>
      </c>
      <c r="P307" s="77">
        <f t="shared" si="52"/>
        <v>966.2</v>
      </c>
      <c r="Q307" s="61">
        <v>0</v>
      </c>
      <c r="R307" s="61">
        <v>0</v>
      </c>
      <c r="S307" s="77">
        <v>0</v>
      </c>
      <c r="T307" s="79">
        <f>Valores!$C$45+T306</f>
        <v>72.62</v>
      </c>
      <c r="U307" s="61">
        <v>0</v>
      </c>
      <c r="V307" s="77">
        <f t="shared" si="62"/>
        <v>0</v>
      </c>
      <c r="W307" s="77">
        <v>0</v>
      </c>
      <c r="X307" s="77">
        <v>0</v>
      </c>
      <c r="Y307" s="37">
        <v>0</v>
      </c>
      <c r="Z307" s="77">
        <v>0</v>
      </c>
      <c r="AA307" s="77">
        <v>0</v>
      </c>
      <c r="AB307" s="89">
        <v>0</v>
      </c>
      <c r="AC307" s="77">
        <f t="shared" si="53"/>
        <v>0</v>
      </c>
      <c r="AD307" s="77">
        <v>0</v>
      </c>
      <c r="AE307" s="116">
        <v>0</v>
      </c>
      <c r="AF307" s="77">
        <f>INT(((AE307*Valores!$C$2)*100)+0.5)/100</f>
        <v>0</v>
      </c>
      <c r="AG307" s="77"/>
      <c r="AH307" s="77"/>
      <c r="AI307" s="77">
        <f>SUM(H307,J307,L307,N307,O307,P307,Q307,R307,S307,T307,V307,W307,X307,Z307,AA307,AB307,AC307,AD307,AF307,AG307,AH307)*Valores!$C$63</f>
        <v>0</v>
      </c>
      <c r="AJ307" s="140">
        <f t="shared" si="54"/>
        <v>2898.6</v>
      </c>
      <c r="AK307" s="140"/>
      <c r="AL307" s="79">
        <f>Valores!$C$11+AL306</f>
        <v>19.54</v>
      </c>
      <c r="AM307" s="89">
        <v>0</v>
      </c>
      <c r="AN307" s="79">
        <f>IF($H$4="SI",SUM(AL307+AM307),AL307)*Valores!$C$63</f>
        <v>0</v>
      </c>
      <c r="AO307" s="12">
        <f t="shared" si="58"/>
        <v>19.54</v>
      </c>
      <c r="AP307" s="13">
        <f>AJ307*-Valores!$C$65</f>
        <v>-376.818</v>
      </c>
      <c r="AQ307" s="13">
        <f>AJ307*-Valores!$C$66</f>
        <v>-14.493</v>
      </c>
      <c r="AR307" s="78">
        <f>AJ307*-Valores!$C$67</f>
        <v>-130.43699999999998</v>
      </c>
      <c r="AS307" s="78">
        <f>AJ307*-Valores!$C$68</f>
        <v>-78.2622</v>
      </c>
      <c r="AT307" s="78">
        <f>AJ307*-Valores!$C$69</f>
        <v>-8.6958</v>
      </c>
      <c r="AU307" s="15">
        <f t="shared" si="55"/>
        <v>2396.392</v>
      </c>
      <c r="AV307" s="15">
        <f t="shared" si="56"/>
        <v>2439.8709999999996</v>
      </c>
      <c r="AW307" s="78">
        <f>AJ307*Valores!$C$70</f>
        <v>463.776</v>
      </c>
      <c r="AX307" s="78">
        <f>AJ307*Valores!$C$71</f>
        <v>130.43699999999998</v>
      </c>
      <c r="AY307" s="78">
        <f>AJ307*Valores!$C$73</f>
        <v>28.986</v>
      </c>
      <c r="AZ307" s="78">
        <f>AJ307*Valores!$C$74</f>
        <v>101.45100000000001</v>
      </c>
      <c r="BA307" s="78">
        <f>AJ307*Valores!$C$75</f>
        <v>17.3916</v>
      </c>
      <c r="BB307" s="78">
        <f t="shared" si="59"/>
        <v>156.5244</v>
      </c>
    </row>
    <row r="308" spans="1:54" ht="11.25" customHeight="1">
      <c r="A308" s="20">
        <v>307</v>
      </c>
      <c r="B308" s="20"/>
      <c r="D308" s="24">
        <v>1</v>
      </c>
      <c r="E308" s="24">
        <f t="shared" si="57"/>
        <v>26</v>
      </c>
      <c r="F308" s="8" t="s">
        <v>420</v>
      </c>
      <c r="G308" s="36">
        <f>155+G307</f>
        <v>465</v>
      </c>
      <c r="H308" s="7">
        <f>INT((G308*Valores!$C$2*100)+0.5)/100</f>
        <v>2789.68</v>
      </c>
      <c r="I308" s="134">
        <v>0</v>
      </c>
      <c r="J308" s="77">
        <f>INT((I308*Valores!$C$2*100)+0.5)/100</f>
        <v>0</v>
      </c>
      <c r="K308" s="146">
        <v>0</v>
      </c>
      <c r="L308" s="77">
        <f>INT((K308*Valores!$C$2*100)+0.5)/100</f>
        <v>0</v>
      </c>
      <c r="M308" s="120">
        <v>0</v>
      </c>
      <c r="N308" s="77">
        <f>INT((M308*Valores!$C$2*100)+0.5)/100</f>
        <v>0</v>
      </c>
      <c r="O308" s="77">
        <f t="shared" si="51"/>
        <v>0</v>
      </c>
      <c r="P308" s="77">
        <f t="shared" si="52"/>
        <v>1449.3049999999998</v>
      </c>
      <c r="Q308" s="61">
        <v>0</v>
      </c>
      <c r="R308" s="61">
        <v>0</v>
      </c>
      <c r="S308" s="77">
        <v>0</v>
      </c>
      <c r="T308" s="79">
        <f>Valores!$C$45+T307</f>
        <v>108.93</v>
      </c>
      <c r="U308" s="61">
        <v>0</v>
      </c>
      <c r="V308" s="77">
        <f t="shared" si="62"/>
        <v>0</v>
      </c>
      <c r="W308" s="77">
        <v>0</v>
      </c>
      <c r="X308" s="77">
        <v>0</v>
      </c>
      <c r="Y308" s="37">
        <v>0</v>
      </c>
      <c r="Z308" s="77">
        <v>0</v>
      </c>
      <c r="AA308" s="77">
        <v>0</v>
      </c>
      <c r="AB308" s="89">
        <v>0</v>
      </c>
      <c r="AC308" s="77">
        <f t="shared" si="53"/>
        <v>0</v>
      </c>
      <c r="AD308" s="77">
        <v>0</v>
      </c>
      <c r="AE308" s="116">
        <v>0</v>
      </c>
      <c r="AF308" s="77">
        <f>INT(((AE308*Valores!$C$2)*100)+0.5)/100</f>
        <v>0</v>
      </c>
      <c r="AG308" s="77"/>
      <c r="AH308" s="77"/>
      <c r="AI308" s="77">
        <f>SUM(H308,J308,L308,N308,O308,P308,Q308,R308,S308,T308,V308,W308,X308,Z308,AA308,AB308,AC308,AD308,AF308,AG308,AH308)*Valores!$C$63</f>
        <v>0</v>
      </c>
      <c r="AJ308" s="140">
        <f t="shared" si="54"/>
        <v>4347.915</v>
      </c>
      <c r="AK308" s="140"/>
      <c r="AL308" s="79">
        <f>Valores!$C$11+AL307</f>
        <v>29.31</v>
      </c>
      <c r="AM308" s="89">
        <v>0</v>
      </c>
      <c r="AN308" s="79">
        <f>IF($H$4="SI",SUM(AL308+AM308),AL308)*Valores!$C$63</f>
        <v>0</v>
      </c>
      <c r="AO308" s="12">
        <f t="shared" si="58"/>
        <v>29.31</v>
      </c>
      <c r="AP308" s="13">
        <f>AJ308*-Valores!$C$65</f>
        <v>-565.22895</v>
      </c>
      <c r="AQ308" s="13">
        <f>AJ308*-Valores!$C$66</f>
        <v>-21.739575</v>
      </c>
      <c r="AR308" s="78">
        <f>AJ308*-Valores!$C$67</f>
        <v>-195.656175</v>
      </c>
      <c r="AS308" s="78">
        <f>AJ308*-Valores!$C$68</f>
        <v>-117.39370500000001</v>
      </c>
      <c r="AT308" s="78">
        <f>AJ308*-Valores!$C$69</f>
        <v>-13.043745</v>
      </c>
      <c r="AU308" s="15">
        <f t="shared" si="55"/>
        <v>3594.6003000000005</v>
      </c>
      <c r="AV308" s="15">
        <f t="shared" si="56"/>
        <v>3659.8190250000002</v>
      </c>
      <c r="AW308" s="78">
        <f>AJ308*Valores!$C$70</f>
        <v>695.6664</v>
      </c>
      <c r="AX308" s="78">
        <f>AJ308*Valores!$C$71</f>
        <v>195.656175</v>
      </c>
      <c r="AY308" s="78">
        <f>AJ308*Valores!$C$73</f>
        <v>43.47915</v>
      </c>
      <c r="AZ308" s="78">
        <f>AJ308*Valores!$C$74</f>
        <v>152.17702500000001</v>
      </c>
      <c r="BA308" s="78">
        <f>AJ308*Valores!$C$75</f>
        <v>26.08749</v>
      </c>
      <c r="BB308" s="78">
        <f t="shared" si="59"/>
        <v>234.78741000000002</v>
      </c>
    </row>
    <row r="309" spans="1:56" ht="11.25" customHeight="1">
      <c r="A309" s="20">
        <v>308</v>
      </c>
      <c r="B309" s="20"/>
      <c r="D309" s="24">
        <v>1</v>
      </c>
      <c r="E309" s="24">
        <f t="shared" si="57"/>
        <v>26</v>
      </c>
      <c r="F309" s="8" t="s">
        <v>421</v>
      </c>
      <c r="G309" s="36">
        <f aca="true" t="shared" si="63" ref="G309:G320">155+G308</f>
        <v>620</v>
      </c>
      <c r="H309" s="7">
        <f>INT((G309*Valores!$C$2*100)+0.5)/100</f>
        <v>3719.57</v>
      </c>
      <c r="I309" s="134">
        <v>0</v>
      </c>
      <c r="J309" s="77">
        <f>INT((I309*Valores!$C$2*100)+0.5)/100</f>
        <v>0</v>
      </c>
      <c r="K309" s="146">
        <v>0</v>
      </c>
      <c r="L309" s="77">
        <f>INT((K309*Valores!$C$2*100)+0.5)/100</f>
        <v>0</v>
      </c>
      <c r="M309" s="120">
        <v>0</v>
      </c>
      <c r="N309" s="77">
        <f>INT((M309*Valores!$C$2*100)+0.5)/100</f>
        <v>0</v>
      </c>
      <c r="O309" s="77">
        <f t="shared" si="51"/>
        <v>0</v>
      </c>
      <c r="P309" s="77">
        <f t="shared" si="52"/>
        <v>1932.4050000000002</v>
      </c>
      <c r="Q309" s="61">
        <v>0</v>
      </c>
      <c r="R309" s="61">
        <v>0</v>
      </c>
      <c r="S309" s="77">
        <v>0</v>
      </c>
      <c r="T309" s="79">
        <f>Valores!$C$45+T308</f>
        <v>145.24</v>
      </c>
      <c r="U309" s="79">
        <v>0</v>
      </c>
      <c r="V309" s="77">
        <f t="shared" si="62"/>
        <v>0</v>
      </c>
      <c r="W309" s="77">
        <v>0</v>
      </c>
      <c r="X309" s="77">
        <v>0</v>
      </c>
      <c r="Y309" s="37">
        <v>0</v>
      </c>
      <c r="Z309" s="77">
        <v>0</v>
      </c>
      <c r="AA309" s="77">
        <v>0</v>
      </c>
      <c r="AB309" s="89">
        <v>0</v>
      </c>
      <c r="AC309" s="77">
        <f t="shared" si="53"/>
        <v>0</v>
      </c>
      <c r="AD309" s="77">
        <v>0</v>
      </c>
      <c r="AE309" s="116">
        <v>0</v>
      </c>
      <c r="AF309" s="77">
        <f>INT(((AE309*Valores!$C$2)*100)+0.5)/100</f>
        <v>0</v>
      </c>
      <c r="AG309" s="77"/>
      <c r="AH309" s="77"/>
      <c r="AI309" s="77">
        <f>SUM(H309,J309,L309,N309,O309,P309,Q309,R309,S309,T309,V309,W309,X309,Z309,AA309,AB309,AC309,AD309,AF309,AG309,AH309)*Valores!$C$63</f>
        <v>0</v>
      </c>
      <c r="AJ309" s="140">
        <f t="shared" si="54"/>
        <v>5797.215</v>
      </c>
      <c r="AK309" s="140"/>
      <c r="AL309" s="79">
        <f>Valores!$C$11+AL308</f>
        <v>39.08</v>
      </c>
      <c r="AM309" s="89">
        <v>0</v>
      </c>
      <c r="AN309" s="79">
        <f>IF($H$4="SI",SUM(AL309+AM309),AL309)*Valores!$C$63</f>
        <v>0</v>
      </c>
      <c r="AO309" s="12">
        <f t="shared" si="58"/>
        <v>39.08</v>
      </c>
      <c r="AP309" s="13">
        <f>AJ309*-Valores!$C$65</f>
        <v>-753.63795</v>
      </c>
      <c r="AQ309" s="13">
        <f>AJ309*-Valores!$C$66</f>
        <v>-28.986075</v>
      </c>
      <c r="AR309" s="78">
        <f>AJ309*-Valores!$C$67</f>
        <v>-260.874675</v>
      </c>
      <c r="AS309" s="78">
        <f>AJ309*-Valores!$C$68</f>
        <v>-156.52480500000001</v>
      </c>
      <c r="AT309" s="78">
        <f>AJ309*-Valores!$C$69</f>
        <v>-17.391645</v>
      </c>
      <c r="AU309" s="15">
        <f t="shared" si="55"/>
        <v>4792.7963</v>
      </c>
      <c r="AV309" s="15">
        <f t="shared" si="56"/>
        <v>4879.754525</v>
      </c>
      <c r="AW309" s="78">
        <f>AJ309*Valores!$C$70</f>
        <v>927.5544</v>
      </c>
      <c r="AX309" s="78">
        <f>AJ309*Valores!$C$71</f>
        <v>260.874675</v>
      </c>
      <c r="AY309" s="78">
        <f>AJ309*Valores!$C$73</f>
        <v>57.97215</v>
      </c>
      <c r="AZ309" s="78">
        <f>AJ309*Valores!$C$74</f>
        <v>202.90252500000003</v>
      </c>
      <c r="BA309" s="78">
        <f>AJ309*Valores!$C$75</f>
        <v>34.78329</v>
      </c>
      <c r="BB309" s="78">
        <f t="shared" si="59"/>
        <v>313.04961000000003</v>
      </c>
      <c r="BD309" s="56"/>
    </row>
    <row r="310" spans="1:54" ht="11.25" customHeight="1">
      <c r="A310" s="20">
        <v>309</v>
      </c>
      <c r="B310" s="20"/>
      <c r="D310" s="24">
        <v>1</v>
      </c>
      <c r="E310" s="24">
        <f t="shared" si="57"/>
        <v>26</v>
      </c>
      <c r="F310" s="8" t="s">
        <v>422</v>
      </c>
      <c r="G310" s="36">
        <f t="shared" si="63"/>
        <v>775</v>
      </c>
      <c r="H310" s="7">
        <f>INT((G310*Valores!$C$2*100)+0.5)/100</f>
        <v>4649.46</v>
      </c>
      <c r="I310" s="134">
        <v>0</v>
      </c>
      <c r="J310" s="77">
        <f>INT((I310*Valores!$C$2*100)+0.5)/100</f>
        <v>0</v>
      </c>
      <c r="K310" s="146">
        <v>0</v>
      </c>
      <c r="L310" s="77">
        <f>INT((K310*Valores!$C$2*100)+0.5)/100</f>
        <v>0</v>
      </c>
      <c r="M310" s="120">
        <v>0</v>
      </c>
      <c r="N310" s="77">
        <f>INT((M310*Valores!$C$2*100)+0.5)/100</f>
        <v>0</v>
      </c>
      <c r="O310" s="77">
        <f t="shared" si="51"/>
        <v>0</v>
      </c>
      <c r="P310" s="77">
        <f t="shared" si="52"/>
        <v>2415.505</v>
      </c>
      <c r="Q310" s="61">
        <v>0</v>
      </c>
      <c r="R310" s="61">
        <v>0</v>
      </c>
      <c r="S310" s="77">
        <v>0</v>
      </c>
      <c r="T310" s="79">
        <f>Valores!$C$45+T309</f>
        <v>181.55</v>
      </c>
      <c r="U310" s="61">
        <v>0</v>
      </c>
      <c r="V310" s="77">
        <f t="shared" si="62"/>
        <v>0</v>
      </c>
      <c r="W310" s="77">
        <v>0</v>
      </c>
      <c r="X310" s="77">
        <v>0</v>
      </c>
      <c r="Y310" s="37">
        <v>0</v>
      </c>
      <c r="Z310" s="77">
        <v>0</v>
      </c>
      <c r="AA310" s="77">
        <v>0</v>
      </c>
      <c r="AB310" s="89">
        <v>0</v>
      </c>
      <c r="AC310" s="77">
        <f t="shared" si="53"/>
        <v>0</v>
      </c>
      <c r="AD310" s="77">
        <v>0</v>
      </c>
      <c r="AE310" s="116">
        <v>0</v>
      </c>
      <c r="AF310" s="77">
        <f>INT(((AE310*Valores!$C$2)*100)+0.5)/100</f>
        <v>0</v>
      </c>
      <c r="AG310" s="77"/>
      <c r="AH310" s="77"/>
      <c r="AI310" s="77">
        <f>SUM(H310,J310,L310,N310,O310,P310,Q310,R310,S310,T310,V310,W310,X310,Z310,AA310,AB310,AC310,AD310,AF310,AG310,AH310)*Valores!$C$63</f>
        <v>0</v>
      </c>
      <c r="AJ310" s="140">
        <f t="shared" si="54"/>
        <v>7246.515</v>
      </c>
      <c r="AK310" s="140"/>
      <c r="AL310" s="79">
        <f>Valores!$C$11+AL309</f>
        <v>48.849999999999994</v>
      </c>
      <c r="AM310" s="89">
        <v>0</v>
      </c>
      <c r="AN310" s="79">
        <f>IF($H$4="SI",SUM(AL310+AM310),AL310)*Valores!$C$63</f>
        <v>0</v>
      </c>
      <c r="AO310" s="12">
        <f t="shared" si="58"/>
        <v>48.849999999999994</v>
      </c>
      <c r="AP310" s="13">
        <f>AJ310*-Valores!$C$65</f>
        <v>-942.04695</v>
      </c>
      <c r="AQ310" s="13">
        <f>AJ310*-Valores!$C$66</f>
        <v>-36.232575000000004</v>
      </c>
      <c r="AR310" s="78">
        <f>AJ310*-Valores!$C$67</f>
        <v>-326.09317500000003</v>
      </c>
      <c r="AS310" s="78">
        <f>AJ310*-Valores!$C$68</f>
        <v>-195.65590500000002</v>
      </c>
      <c r="AT310" s="78">
        <f>AJ310*-Valores!$C$69</f>
        <v>-21.739545</v>
      </c>
      <c r="AU310" s="15">
        <f t="shared" si="55"/>
        <v>5990.992300000001</v>
      </c>
      <c r="AV310" s="15">
        <f t="shared" si="56"/>
        <v>6099.690025000001</v>
      </c>
      <c r="AW310" s="78">
        <f>AJ310*Valores!$C$70</f>
        <v>1159.4424000000001</v>
      </c>
      <c r="AX310" s="78">
        <f>AJ310*Valores!$C$71</f>
        <v>326.09317500000003</v>
      </c>
      <c r="AY310" s="78">
        <f>AJ310*Valores!$C$73</f>
        <v>72.46515000000001</v>
      </c>
      <c r="AZ310" s="78">
        <f>AJ310*Valores!$C$74</f>
        <v>253.62802500000004</v>
      </c>
      <c r="BA310" s="78">
        <f>AJ310*Valores!$C$75</f>
        <v>43.47909</v>
      </c>
      <c r="BB310" s="78">
        <f t="shared" si="59"/>
        <v>391.31181000000004</v>
      </c>
    </row>
    <row r="311" spans="1:57" ht="11.25" customHeight="1">
      <c r="A311" s="55">
        <v>310</v>
      </c>
      <c r="B311" s="55" t="s">
        <v>458</v>
      </c>
      <c r="C311" s="59"/>
      <c r="D311" s="57">
        <v>1</v>
      </c>
      <c r="E311" s="57">
        <f t="shared" si="57"/>
        <v>26</v>
      </c>
      <c r="F311" s="58" t="s">
        <v>423</v>
      </c>
      <c r="G311" s="67">
        <f t="shared" si="63"/>
        <v>930</v>
      </c>
      <c r="H311" s="129">
        <f>INT((G311*Valores!$C$2*100)+0.5)/100</f>
        <v>5579.35</v>
      </c>
      <c r="I311" s="133">
        <v>0</v>
      </c>
      <c r="J311" s="80">
        <f>INT((I311*Valores!$C$2*100)+0.5)/100</f>
        <v>0</v>
      </c>
      <c r="K311" s="147">
        <v>0</v>
      </c>
      <c r="L311" s="80">
        <f>INT((K311*Valores!$C$2*100)+0.5)/100</f>
        <v>0</v>
      </c>
      <c r="M311" s="121">
        <v>0</v>
      </c>
      <c r="N311" s="80">
        <f>INT((M311*Valores!$C$2*100)+0.5)/100</f>
        <v>0</v>
      </c>
      <c r="O311" s="80">
        <f t="shared" si="51"/>
        <v>0</v>
      </c>
      <c r="P311" s="80">
        <f t="shared" si="52"/>
        <v>2898.605</v>
      </c>
      <c r="Q311" s="85">
        <v>0</v>
      </c>
      <c r="R311" s="85">
        <v>0</v>
      </c>
      <c r="S311" s="80">
        <v>0</v>
      </c>
      <c r="T311" s="82">
        <f>Valores!$C$45+T310</f>
        <v>217.86</v>
      </c>
      <c r="U311" s="85">
        <v>0</v>
      </c>
      <c r="V311" s="80">
        <f t="shared" si="62"/>
        <v>0</v>
      </c>
      <c r="W311" s="80">
        <v>0</v>
      </c>
      <c r="X311" s="80">
        <v>0</v>
      </c>
      <c r="Y311" s="60">
        <v>0</v>
      </c>
      <c r="Z311" s="80">
        <v>0</v>
      </c>
      <c r="AA311" s="80">
        <v>0</v>
      </c>
      <c r="AB311" s="90">
        <v>0</v>
      </c>
      <c r="AC311" s="80">
        <f t="shared" si="53"/>
        <v>0</v>
      </c>
      <c r="AD311" s="80">
        <v>0</v>
      </c>
      <c r="AE311" s="115">
        <v>0</v>
      </c>
      <c r="AF311" s="80">
        <f>INT(((AE311*Valores!$C$2)*100)+0.5)/100</f>
        <v>0</v>
      </c>
      <c r="AG311" s="80"/>
      <c r="AH311" s="80"/>
      <c r="AI311" s="80">
        <f>SUM(H311,J311,L311,N311,O311,P311,Q311,R311,S311,T311,V311,W311,X311,Z311,AA311,AB311,AC311,AD311,AF311,AG311,AH311)*Valores!$C$63</f>
        <v>0</v>
      </c>
      <c r="AJ311" s="141">
        <f t="shared" si="54"/>
        <v>8695.815</v>
      </c>
      <c r="AK311" s="141"/>
      <c r="AL311" s="82">
        <f>Valores!$C$11+AL310</f>
        <v>58.61999999999999</v>
      </c>
      <c r="AM311" s="90">
        <v>0</v>
      </c>
      <c r="AN311" s="82">
        <f>IF($H$4="SI",SUM(AL311+AM311),AL311)*Valores!$C$63</f>
        <v>0</v>
      </c>
      <c r="AO311" s="185">
        <f t="shared" si="58"/>
        <v>58.61999999999999</v>
      </c>
      <c r="AP311" s="154">
        <f>AJ311*-Valores!$C$65</f>
        <v>-1130.45595</v>
      </c>
      <c r="AQ311" s="154">
        <f>AJ311*-Valores!$C$66</f>
        <v>-43.479075</v>
      </c>
      <c r="AR311" s="81">
        <f>AJ311*-Valores!$C$67</f>
        <v>-391.31167500000004</v>
      </c>
      <c r="AS311" s="81">
        <f>AJ311*-Valores!$C$68</f>
        <v>-234.78700500000005</v>
      </c>
      <c r="AT311" s="81">
        <f>AJ311*-Valores!$C$69</f>
        <v>-26.087445000000002</v>
      </c>
      <c r="AU311" s="54">
        <f t="shared" si="55"/>
        <v>7189.188300000002</v>
      </c>
      <c r="AV311" s="54">
        <f t="shared" si="56"/>
        <v>7319.625525000002</v>
      </c>
      <c r="AW311" s="81">
        <f>AJ311*Valores!$C$70</f>
        <v>1391.3304</v>
      </c>
      <c r="AX311" s="81">
        <f>AJ311*Valores!$C$71</f>
        <v>391.31167500000004</v>
      </c>
      <c r="AY311" s="81">
        <f>AJ311*Valores!$C$73</f>
        <v>86.95815</v>
      </c>
      <c r="AZ311" s="81">
        <f>AJ311*Valores!$C$74</f>
        <v>304.35352500000005</v>
      </c>
      <c r="BA311" s="81">
        <f>AJ311*Valores!$C$75</f>
        <v>52.174890000000005</v>
      </c>
      <c r="BB311" s="81">
        <f t="shared" si="59"/>
        <v>469.57401000000004</v>
      </c>
      <c r="BC311" s="56"/>
      <c r="BD311" s="56"/>
      <c r="BE311" s="52"/>
    </row>
    <row r="312" spans="1:54" ht="11.25" customHeight="1">
      <c r="A312" s="20">
        <v>311</v>
      </c>
      <c r="B312" s="20"/>
      <c r="D312" s="24">
        <v>1</v>
      </c>
      <c r="E312" s="24">
        <f t="shared" si="57"/>
        <v>26</v>
      </c>
      <c r="F312" s="8" t="s">
        <v>424</v>
      </c>
      <c r="G312" s="36">
        <f t="shared" si="63"/>
        <v>1085</v>
      </c>
      <c r="H312" s="7">
        <f>INT((G312*Valores!$C$2*100)+0.5)/100</f>
        <v>6509.24</v>
      </c>
      <c r="I312" s="134">
        <v>0</v>
      </c>
      <c r="J312" s="77">
        <f>INT((I312*Valores!$C$2*100)+0.5)/100</f>
        <v>0</v>
      </c>
      <c r="K312" s="146">
        <v>0</v>
      </c>
      <c r="L312" s="77">
        <f>INT((K312*Valores!$C$2*100)+0.5)/100</f>
        <v>0</v>
      </c>
      <c r="M312" s="120">
        <v>0</v>
      </c>
      <c r="N312" s="77">
        <f>INT((M312*Valores!$C$2*100)+0.5)/100</f>
        <v>0</v>
      </c>
      <c r="O312" s="77">
        <f t="shared" si="51"/>
        <v>0</v>
      </c>
      <c r="P312" s="77">
        <f t="shared" si="52"/>
        <v>3381.705</v>
      </c>
      <c r="Q312" s="61">
        <v>0</v>
      </c>
      <c r="R312" s="61">
        <v>0</v>
      </c>
      <c r="S312" s="77">
        <v>0</v>
      </c>
      <c r="T312" s="79">
        <f>Valores!$C$45+T311</f>
        <v>254.17000000000002</v>
      </c>
      <c r="U312" s="61">
        <v>0</v>
      </c>
      <c r="V312" s="77">
        <f t="shared" si="62"/>
        <v>0</v>
      </c>
      <c r="W312" s="77">
        <v>0</v>
      </c>
      <c r="X312" s="77">
        <v>0</v>
      </c>
      <c r="Y312" s="37">
        <v>0</v>
      </c>
      <c r="Z312" s="77">
        <v>0</v>
      </c>
      <c r="AA312" s="77">
        <v>0</v>
      </c>
      <c r="AB312" s="89">
        <v>0</v>
      </c>
      <c r="AC312" s="77">
        <f t="shared" si="53"/>
        <v>0</v>
      </c>
      <c r="AD312" s="77">
        <v>0</v>
      </c>
      <c r="AE312" s="116">
        <v>0</v>
      </c>
      <c r="AF312" s="77">
        <f>INT(((AE312*Valores!$C$2)*100)+0.5)/100</f>
        <v>0</v>
      </c>
      <c r="AG312" s="77"/>
      <c r="AH312" s="77"/>
      <c r="AI312" s="77">
        <f>SUM(H312,J312,L312,N312,O312,P312,Q312,R312,S312,T312,V312,W312,X312,Z312,AA312,AB312,AC312,AD312,AF312,AG312,AH312)*Valores!$C$63</f>
        <v>0</v>
      </c>
      <c r="AJ312" s="140">
        <f t="shared" si="54"/>
        <v>10145.115</v>
      </c>
      <c r="AK312" s="140"/>
      <c r="AL312" s="79">
        <f>Valores!$C$11+AL311</f>
        <v>68.38999999999999</v>
      </c>
      <c r="AM312" s="89">
        <v>0</v>
      </c>
      <c r="AN312" s="79">
        <f>IF($H$4="SI",SUM(AL312+AM312),AL312)*Valores!$C$63</f>
        <v>0</v>
      </c>
      <c r="AO312" s="12">
        <f t="shared" si="58"/>
        <v>68.38999999999999</v>
      </c>
      <c r="AP312" s="13">
        <f>AJ312*-Valores!$C$65</f>
        <v>-1318.86495</v>
      </c>
      <c r="AQ312" s="13">
        <f>AJ312*-Valores!$C$66</f>
        <v>-50.725575</v>
      </c>
      <c r="AR312" s="78">
        <f>AJ312*-Valores!$C$67</f>
        <v>-456.530175</v>
      </c>
      <c r="AS312" s="78">
        <f>AJ312*-Valores!$C$68</f>
        <v>-273.918105</v>
      </c>
      <c r="AT312" s="78">
        <f>AJ312*-Valores!$C$69</f>
        <v>-30.435345</v>
      </c>
      <c r="AU312" s="15">
        <f t="shared" si="55"/>
        <v>8387.3843</v>
      </c>
      <c r="AV312" s="15">
        <f t="shared" si="56"/>
        <v>8539.561024999999</v>
      </c>
      <c r="AW312" s="78">
        <f>AJ312*Valores!$C$70</f>
        <v>1623.2184</v>
      </c>
      <c r="AX312" s="78">
        <f>AJ312*Valores!$C$71</f>
        <v>456.530175</v>
      </c>
      <c r="AY312" s="78">
        <f>AJ312*Valores!$C$73</f>
        <v>101.45115</v>
      </c>
      <c r="AZ312" s="78">
        <f>AJ312*Valores!$C$74</f>
        <v>355.079025</v>
      </c>
      <c r="BA312" s="78">
        <f>AJ312*Valores!$C$75</f>
        <v>60.87069</v>
      </c>
      <c r="BB312" s="78">
        <f t="shared" si="59"/>
        <v>547.8362099999999</v>
      </c>
    </row>
    <row r="313" spans="1:54" ht="11.25" customHeight="1">
      <c r="A313" s="20">
        <v>312</v>
      </c>
      <c r="B313" s="20"/>
      <c r="D313" s="24">
        <v>1</v>
      </c>
      <c r="E313" s="24">
        <f t="shared" si="57"/>
        <v>26</v>
      </c>
      <c r="F313" s="8" t="s">
        <v>425</v>
      </c>
      <c r="G313" s="36">
        <f t="shared" si="63"/>
        <v>1240</v>
      </c>
      <c r="H313" s="7">
        <f>INT((G313*Valores!$C$2*100)+0.5)/100</f>
        <v>7439.14</v>
      </c>
      <c r="I313" s="134">
        <v>0</v>
      </c>
      <c r="J313" s="77">
        <f>INT((I313*Valores!$C$2*100)+0.5)/100</f>
        <v>0</v>
      </c>
      <c r="K313" s="146">
        <v>0</v>
      </c>
      <c r="L313" s="77">
        <f>INT((K313*Valores!$C$2*100)+0.5)/100</f>
        <v>0</v>
      </c>
      <c r="M313" s="120">
        <v>0</v>
      </c>
      <c r="N313" s="77">
        <f>INT((M313*Valores!$C$2*100)+0.5)/100</f>
        <v>0</v>
      </c>
      <c r="O313" s="77">
        <f t="shared" si="51"/>
        <v>0</v>
      </c>
      <c r="P313" s="77">
        <f t="shared" si="52"/>
        <v>3864.8100000000004</v>
      </c>
      <c r="Q313" s="61">
        <v>0</v>
      </c>
      <c r="R313" s="61">
        <v>0</v>
      </c>
      <c r="S313" s="77">
        <v>0</v>
      </c>
      <c r="T313" s="79">
        <f>Valores!$C$45+T312</f>
        <v>290.48</v>
      </c>
      <c r="U313" s="61">
        <v>0</v>
      </c>
      <c r="V313" s="77">
        <f t="shared" si="62"/>
        <v>0</v>
      </c>
      <c r="W313" s="77">
        <v>0</v>
      </c>
      <c r="X313" s="77">
        <v>0</v>
      </c>
      <c r="Y313" s="37">
        <v>0</v>
      </c>
      <c r="Z313" s="77">
        <v>0</v>
      </c>
      <c r="AA313" s="77">
        <v>0</v>
      </c>
      <c r="AB313" s="89">
        <v>0</v>
      </c>
      <c r="AC313" s="77">
        <f t="shared" si="53"/>
        <v>0</v>
      </c>
      <c r="AD313" s="77">
        <v>0</v>
      </c>
      <c r="AE313" s="116">
        <v>0</v>
      </c>
      <c r="AF313" s="77">
        <f>INT(((AE313*Valores!$C$2)*100)+0.5)/100</f>
        <v>0</v>
      </c>
      <c r="AG313" s="77"/>
      <c r="AH313" s="77"/>
      <c r="AI313" s="77">
        <f>SUM(H313,J313,L313,N313,O313,P313,Q313,R313,S313,T313,V313,W313,X313,Z313,AA313,AB313,AC313,AD313,AF313,AG313,AH313)*Valores!$C$63</f>
        <v>0</v>
      </c>
      <c r="AJ313" s="140">
        <f t="shared" si="54"/>
        <v>11594.43</v>
      </c>
      <c r="AK313" s="140"/>
      <c r="AL313" s="79">
        <f>Valores!$C$11+AL312</f>
        <v>78.15999999999998</v>
      </c>
      <c r="AM313" s="89">
        <v>0</v>
      </c>
      <c r="AN313" s="79">
        <f>IF($H$4="SI",SUM(AL313+AM313),AL313)*Valores!$C$63</f>
        <v>0</v>
      </c>
      <c r="AO313" s="12">
        <f t="shared" si="58"/>
        <v>78.15999999999998</v>
      </c>
      <c r="AP313" s="13">
        <f>AJ313*-Valores!$C$65</f>
        <v>-1507.2759</v>
      </c>
      <c r="AQ313" s="13">
        <f>AJ313*-Valores!$C$66</f>
        <v>-57.97215</v>
      </c>
      <c r="AR313" s="78">
        <f>AJ313*-Valores!$C$67</f>
        <v>-521.74935</v>
      </c>
      <c r="AS313" s="78">
        <f>AJ313*-Valores!$C$68</f>
        <v>-313.04961000000003</v>
      </c>
      <c r="AT313" s="78">
        <f>AJ313*-Valores!$C$69</f>
        <v>-34.78329</v>
      </c>
      <c r="AU313" s="15">
        <f t="shared" si="55"/>
        <v>9585.5926</v>
      </c>
      <c r="AV313" s="15">
        <f t="shared" si="56"/>
        <v>9759.50905</v>
      </c>
      <c r="AW313" s="78">
        <f>AJ313*Valores!$C$70</f>
        <v>1855.1088</v>
      </c>
      <c r="AX313" s="78">
        <f>AJ313*Valores!$C$71</f>
        <v>521.74935</v>
      </c>
      <c r="AY313" s="78">
        <f>AJ313*Valores!$C$73</f>
        <v>115.9443</v>
      </c>
      <c r="AZ313" s="78">
        <f>AJ313*Valores!$C$74</f>
        <v>405.80505000000005</v>
      </c>
      <c r="BA313" s="78">
        <f>AJ313*Valores!$C$75</f>
        <v>69.56658</v>
      </c>
      <c r="BB313" s="78">
        <f t="shared" si="59"/>
        <v>626.0992200000001</v>
      </c>
    </row>
    <row r="314" spans="1:56" ht="11.25" customHeight="1">
      <c r="A314" s="20">
        <v>313</v>
      </c>
      <c r="B314" s="20"/>
      <c r="D314" s="24">
        <v>1</v>
      </c>
      <c r="E314" s="24">
        <f t="shared" si="57"/>
        <v>26</v>
      </c>
      <c r="F314" s="8" t="s">
        <v>426</v>
      </c>
      <c r="G314" s="36">
        <f t="shared" si="63"/>
        <v>1395</v>
      </c>
      <c r="H314" s="7">
        <f>INT((G314*Valores!$C$2*100)+0.5)/100</f>
        <v>8369.03</v>
      </c>
      <c r="I314" s="134">
        <v>0</v>
      </c>
      <c r="J314" s="77">
        <f>INT((I314*Valores!$C$2*100)+0.5)/100</f>
        <v>0</v>
      </c>
      <c r="K314" s="146">
        <v>0</v>
      </c>
      <c r="L314" s="77">
        <f>INT((K314*Valores!$C$2*100)+0.5)/100</f>
        <v>0</v>
      </c>
      <c r="M314" s="120">
        <v>0</v>
      </c>
      <c r="N314" s="77">
        <f>INT((M314*Valores!$C$2*100)+0.5)/100</f>
        <v>0</v>
      </c>
      <c r="O314" s="77">
        <f t="shared" si="51"/>
        <v>0</v>
      </c>
      <c r="P314" s="77">
        <f t="shared" si="52"/>
        <v>4347.910000000001</v>
      </c>
      <c r="Q314" s="61">
        <v>0</v>
      </c>
      <c r="R314" s="61">
        <v>0</v>
      </c>
      <c r="S314" s="77">
        <v>0</v>
      </c>
      <c r="T314" s="79">
        <f>Valores!$C$45+T313</f>
        <v>326.79</v>
      </c>
      <c r="U314" s="79">
        <v>0</v>
      </c>
      <c r="V314" s="77">
        <f t="shared" si="62"/>
        <v>0</v>
      </c>
      <c r="W314" s="77">
        <v>0</v>
      </c>
      <c r="X314" s="77">
        <v>0</v>
      </c>
      <c r="Y314" s="37">
        <v>0</v>
      </c>
      <c r="Z314" s="77">
        <v>0</v>
      </c>
      <c r="AA314" s="77">
        <v>0</v>
      </c>
      <c r="AB314" s="89">
        <v>0</v>
      </c>
      <c r="AC314" s="77">
        <f t="shared" si="53"/>
        <v>0</v>
      </c>
      <c r="AD314" s="77">
        <v>0</v>
      </c>
      <c r="AE314" s="116">
        <v>0</v>
      </c>
      <c r="AF314" s="77">
        <f>INT(((AE314*Valores!$C$2)*100)+0.5)/100</f>
        <v>0</v>
      </c>
      <c r="AG314" s="77"/>
      <c r="AH314" s="77"/>
      <c r="AI314" s="77">
        <f>SUM(H314,J314,L314,N314,O314,P314,Q314,R314,S314,T314,V314,W314,X314,Z314,AA314,AB314,AC314,AD314,AF314,AG314,AH314)*Valores!$C$63</f>
        <v>0</v>
      </c>
      <c r="AJ314" s="140">
        <f t="shared" si="54"/>
        <v>13043.730000000003</v>
      </c>
      <c r="AK314" s="140"/>
      <c r="AL314" s="79">
        <f>Valores!$C$11+AL313</f>
        <v>87.92999999999998</v>
      </c>
      <c r="AM314" s="89">
        <v>0</v>
      </c>
      <c r="AN314" s="79">
        <f>IF($H$4="SI",SUM(AL314+AM314),AL314)*Valores!$C$63</f>
        <v>0</v>
      </c>
      <c r="AO314" s="12">
        <f t="shared" si="58"/>
        <v>87.92999999999998</v>
      </c>
      <c r="AP314" s="13">
        <f>AJ314*-Valores!$C$65</f>
        <v>-1695.6849000000004</v>
      </c>
      <c r="AQ314" s="13">
        <f>AJ314*-Valores!$C$66</f>
        <v>-65.21865000000001</v>
      </c>
      <c r="AR314" s="78">
        <f>AJ314*-Valores!$C$67</f>
        <v>-586.9678500000001</v>
      </c>
      <c r="AS314" s="78">
        <f>AJ314*-Valores!$C$68</f>
        <v>-352.18071000000015</v>
      </c>
      <c r="AT314" s="78">
        <f>AJ314*-Valores!$C$69</f>
        <v>-39.13119000000001</v>
      </c>
      <c r="AU314" s="15">
        <f t="shared" si="55"/>
        <v>10783.788600000002</v>
      </c>
      <c r="AV314" s="15">
        <f t="shared" si="56"/>
        <v>10979.444550000002</v>
      </c>
      <c r="AW314" s="78">
        <f>AJ314*Valores!$C$70</f>
        <v>2086.9968000000003</v>
      </c>
      <c r="AX314" s="78">
        <f>AJ314*Valores!$C$71</f>
        <v>586.9678500000001</v>
      </c>
      <c r="AY314" s="78">
        <f>AJ314*Valores!$C$73</f>
        <v>130.43730000000002</v>
      </c>
      <c r="AZ314" s="78">
        <f>AJ314*Valores!$C$74</f>
        <v>456.5305500000002</v>
      </c>
      <c r="BA314" s="78">
        <f>AJ314*Valores!$C$75</f>
        <v>78.26238000000002</v>
      </c>
      <c r="BB314" s="78">
        <f t="shared" si="59"/>
        <v>704.3614200000002</v>
      </c>
      <c r="BD314" s="56"/>
    </row>
    <row r="315" spans="1:54" ht="11.25" customHeight="1">
      <c r="A315" s="20">
        <v>314</v>
      </c>
      <c r="B315" s="20"/>
      <c r="D315" s="24">
        <v>1</v>
      </c>
      <c r="E315" s="24">
        <f t="shared" si="57"/>
        <v>26</v>
      </c>
      <c r="F315" s="8" t="s">
        <v>427</v>
      </c>
      <c r="G315" s="36">
        <f t="shared" si="63"/>
        <v>1550</v>
      </c>
      <c r="H315" s="7">
        <f>INT((G315*Valores!$C$2*100)+0.5)/100</f>
        <v>9298.92</v>
      </c>
      <c r="I315" s="134">
        <v>0</v>
      </c>
      <c r="J315" s="77">
        <f>INT((I315*Valores!$C$2*100)+0.5)/100</f>
        <v>0</v>
      </c>
      <c r="K315" s="146">
        <v>0</v>
      </c>
      <c r="L315" s="77">
        <f>INT((K315*Valores!$C$2*100)+0.5)/100</f>
        <v>0</v>
      </c>
      <c r="M315" s="120">
        <v>0</v>
      </c>
      <c r="N315" s="77">
        <f>INT((M315*Valores!$C$2*100)+0.5)/100</f>
        <v>0</v>
      </c>
      <c r="O315" s="77">
        <f t="shared" si="51"/>
        <v>0</v>
      </c>
      <c r="P315" s="77">
        <f t="shared" si="52"/>
        <v>4831.01</v>
      </c>
      <c r="Q315" s="61">
        <v>0</v>
      </c>
      <c r="R315" s="61">
        <v>0</v>
      </c>
      <c r="S315" s="77">
        <v>0</v>
      </c>
      <c r="T315" s="79">
        <f>Valores!$C$45+T314</f>
        <v>363.1</v>
      </c>
      <c r="U315" s="61">
        <v>0</v>
      </c>
      <c r="V315" s="77">
        <f t="shared" si="62"/>
        <v>0</v>
      </c>
      <c r="W315" s="77">
        <v>0</v>
      </c>
      <c r="X315" s="77">
        <v>0</v>
      </c>
      <c r="Y315" s="37">
        <v>0</v>
      </c>
      <c r="Z315" s="77">
        <v>0</v>
      </c>
      <c r="AA315" s="77">
        <v>0</v>
      </c>
      <c r="AB315" s="89">
        <v>0</v>
      </c>
      <c r="AC315" s="77">
        <f t="shared" si="53"/>
        <v>0</v>
      </c>
      <c r="AD315" s="77">
        <v>0</v>
      </c>
      <c r="AE315" s="116">
        <v>0</v>
      </c>
      <c r="AF315" s="77">
        <f>INT(((AE315*Valores!$C$2)*100)+0.5)/100</f>
        <v>0</v>
      </c>
      <c r="AG315" s="77"/>
      <c r="AH315" s="77"/>
      <c r="AI315" s="77">
        <f>SUM(H315,J315,L315,N315,O315,P315,Q315,R315,S315,T315,V315,W315,X315,Z315,AA315,AB315,AC315,AD315,AF315,AG315,AH315)*Valores!$C$63</f>
        <v>0</v>
      </c>
      <c r="AJ315" s="140">
        <f t="shared" si="54"/>
        <v>14493.03</v>
      </c>
      <c r="AK315" s="140"/>
      <c r="AL315" s="79">
        <f>Valores!$C$11+AL314</f>
        <v>97.69999999999997</v>
      </c>
      <c r="AM315" s="89">
        <v>0</v>
      </c>
      <c r="AN315" s="79">
        <f>IF($H$4="SI",SUM(AL315+AM315),AL315)*Valores!$C$63</f>
        <v>0</v>
      </c>
      <c r="AO315" s="12">
        <f t="shared" si="58"/>
        <v>97.69999999999997</v>
      </c>
      <c r="AP315" s="13">
        <f>AJ315*-Valores!$C$65</f>
        <v>-1884.0939</v>
      </c>
      <c r="AQ315" s="13">
        <f>AJ315*-Valores!$C$66</f>
        <v>-72.46515000000001</v>
      </c>
      <c r="AR315" s="78">
        <f>AJ315*-Valores!$C$67</f>
        <v>-652.1863500000001</v>
      </c>
      <c r="AS315" s="78">
        <f>AJ315*-Valores!$C$68</f>
        <v>-391.31181000000004</v>
      </c>
      <c r="AT315" s="78">
        <f>AJ315*-Valores!$C$69</f>
        <v>-43.47909</v>
      </c>
      <c r="AU315" s="15">
        <f t="shared" si="55"/>
        <v>11981.984600000002</v>
      </c>
      <c r="AV315" s="15">
        <f t="shared" si="56"/>
        <v>12199.380050000002</v>
      </c>
      <c r="AW315" s="78">
        <f>AJ315*Valores!$C$70</f>
        <v>2318.8848000000003</v>
      </c>
      <c r="AX315" s="78">
        <f>AJ315*Valores!$C$71</f>
        <v>652.1863500000001</v>
      </c>
      <c r="AY315" s="78">
        <f>AJ315*Valores!$C$73</f>
        <v>144.93030000000002</v>
      </c>
      <c r="AZ315" s="78">
        <f>AJ315*Valores!$C$74</f>
        <v>507.2560500000001</v>
      </c>
      <c r="BA315" s="78">
        <f>AJ315*Valores!$C$75</f>
        <v>86.95818</v>
      </c>
      <c r="BB315" s="78">
        <f t="shared" si="59"/>
        <v>782.6236200000001</v>
      </c>
    </row>
    <row r="316" spans="1:57" ht="11.25" customHeight="1">
      <c r="A316" s="55">
        <v>315</v>
      </c>
      <c r="B316" s="55" t="s">
        <v>458</v>
      </c>
      <c r="C316" s="59"/>
      <c r="D316" s="57">
        <v>1</v>
      </c>
      <c r="E316" s="57">
        <f t="shared" si="57"/>
        <v>26</v>
      </c>
      <c r="F316" s="58" t="s">
        <v>428</v>
      </c>
      <c r="G316" s="67">
        <f t="shared" si="63"/>
        <v>1705</v>
      </c>
      <c r="H316" s="129">
        <f>INT((G316*Valores!$C$2*100)+0.5)/100</f>
        <v>10228.81</v>
      </c>
      <c r="I316" s="133">
        <v>0</v>
      </c>
      <c r="J316" s="80">
        <f>INT((I316*Valores!$C$2*100)+0.5)/100</f>
        <v>0</v>
      </c>
      <c r="K316" s="147">
        <v>0</v>
      </c>
      <c r="L316" s="80">
        <f>INT((K316*Valores!$C$2*100)+0.5)/100</f>
        <v>0</v>
      </c>
      <c r="M316" s="121">
        <v>0</v>
      </c>
      <c r="N316" s="80">
        <f>INT((M316*Valores!$C$2*100)+0.5)/100</f>
        <v>0</v>
      </c>
      <c r="O316" s="80">
        <f t="shared" si="51"/>
        <v>0</v>
      </c>
      <c r="P316" s="80">
        <f t="shared" si="52"/>
        <v>5314.11</v>
      </c>
      <c r="Q316" s="85">
        <v>0</v>
      </c>
      <c r="R316" s="85">
        <v>0</v>
      </c>
      <c r="S316" s="80">
        <v>0</v>
      </c>
      <c r="T316" s="82">
        <f>Valores!$C$45+T315</f>
        <v>399.41</v>
      </c>
      <c r="U316" s="85">
        <v>0</v>
      </c>
      <c r="V316" s="80">
        <f t="shared" si="62"/>
        <v>0</v>
      </c>
      <c r="W316" s="80">
        <v>0</v>
      </c>
      <c r="X316" s="80">
        <v>0</v>
      </c>
      <c r="Y316" s="60">
        <v>0</v>
      </c>
      <c r="Z316" s="80">
        <v>0</v>
      </c>
      <c r="AA316" s="80">
        <v>0</v>
      </c>
      <c r="AB316" s="90">
        <v>0</v>
      </c>
      <c r="AC316" s="80">
        <f t="shared" si="53"/>
        <v>0</v>
      </c>
      <c r="AD316" s="80">
        <v>0</v>
      </c>
      <c r="AE316" s="115">
        <v>0</v>
      </c>
      <c r="AF316" s="80">
        <f>INT(((AE316*Valores!$C$2)*100)+0.5)/100</f>
        <v>0</v>
      </c>
      <c r="AG316" s="80"/>
      <c r="AH316" s="80"/>
      <c r="AI316" s="80">
        <f>SUM(H316,J316,L316,N316,O316,P316,Q316,R316,S316,T316,V316,W316,X316,Z316,AA316,AB316,AC316,AD316,AF316,AG316,AH316)*Valores!$C$63</f>
        <v>0</v>
      </c>
      <c r="AJ316" s="141">
        <f t="shared" si="54"/>
        <v>15942.329999999998</v>
      </c>
      <c r="AK316" s="141"/>
      <c r="AL316" s="82">
        <f>Valores!$C$11+AL315</f>
        <v>107.46999999999997</v>
      </c>
      <c r="AM316" s="90">
        <v>0</v>
      </c>
      <c r="AN316" s="82">
        <f>IF($H$4="SI",SUM(AL316+AM316),AL316)*Valores!$C$63</f>
        <v>0</v>
      </c>
      <c r="AO316" s="185">
        <f t="shared" si="58"/>
        <v>107.46999999999997</v>
      </c>
      <c r="AP316" s="154">
        <f>AJ316*-Valores!$C$65</f>
        <v>-2072.5029</v>
      </c>
      <c r="AQ316" s="154">
        <f>AJ316*-Valores!$C$66</f>
        <v>-79.71164999999999</v>
      </c>
      <c r="AR316" s="81">
        <f>AJ316*-Valores!$C$67</f>
        <v>-717.4048499999999</v>
      </c>
      <c r="AS316" s="81">
        <f>AJ316*-Valores!$C$68</f>
        <v>-430.44291</v>
      </c>
      <c r="AT316" s="81">
        <f>AJ316*-Valores!$C$69</f>
        <v>-47.826989999999995</v>
      </c>
      <c r="AU316" s="54">
        <f t="shared" si="55"/>
        <v>13180.1806</v>
      </c>
      <c r="AV316" s="54">
        <f t="shared" si="56"/>
        <v>13419.31555</v>
      </c>
      <c r="AW316" s="81">
        <f>AJ316*Valores!$C$70</f>
        <v>2550.7727999999997</v>
      </c>
      <c r="AX316" s="81">
        <f>AJ316*Valores!$C$71</f>
        <v>717.4048499999999</v>
      </c>
      <c r="AY316" s="81">
        <f>AJ316*Valores!$C$73</f>
        <v>159.42329999999998</v>
      </c>
      <c r="AZ316" s="81">
        <f>AJ316*Valores!$C$74</f>
        <v>557.98155</v>
      </c>
      <c r="BA316" s="81">
        <f>AJ316*Valores!$C$75</f>
        <v>95.65397999999999</v>
      </c>
      <c r="BB316" s="81">
        <f t="shared" si="59"/>
        <v>860.88582</v>
      </c>
      <c r="BC316" s="56"/>
      <c r="BD316" s="56"/>
      <c r="BE316" s="52"/>
    </row>
    <row r="317" spans="1:54" ht="11.25" customHeight="1">
      <c r="A317" s="20">
        <v>316</v>
      </c>
      <c r="B317" s="20"/>
      <c r="D317" s="24">
        <v>1</v>
      </c>
      <c r="E317" s="24">
        <f t="shared" si="57"/>
        <v>26</v>
      </c>
      <c r="F317" s="8" t="s">
        <v>429</v>
      </c>
      <c r="G317" s="36">
        <f t="shared" si="63"/>
        <v>1860</v>
      </c>
      <c r="H317" s="7">
        <f>INT((G317*Valores!$C$2*100)+0.5)/100</f>
        <v>11158.71</v>
      </c>
      <c r="I317" s="134">
        <v>0</v>
      </c>
      <c r="J317" s="77">
        <f>INT((I317*Valores!$C$2*100)+0.5)/100</f>
        <v>0</v>
      </c>
      <c r="K317" s="146">
        <v>0</v>
      </c>
      <c r="L317" s="77">
        <f>INT((K317*Valores!$C$2*100)+0.5)/100</f>
        <v>0</v>
      </c>
      <c r="M317" s="120">
        <v>0</v>
      </c>
      <c r="N317" s="77">
        <f>INT((M317*Valores!$C$2*100)+0.5)/100</f>
        <v>0</v>
      </c>
      <c r="O317" s="77">
        <f t="shared" si="51"/>
        <v>0</v>
      </c>
      <c r="P317" s="77">
        <f t="shared" si="52"/>
        <v>5797.214999999999</v>
      </c>
      <c r="Q317" s="61">
        <v>0</v>
      </c>
      <c r="R317" s="61">
        <v>0</v>
      </c>
      <c r="S317" s="77">
        <v>0</v>
      </c>
      <c r="T317" s="79">
        <f>Valores!$C$45+T316</f>
        <v>435.72</v>
      </c>
      <c r="U317" s="61">
        <v>0</v>
      </c>
      <c r="V317" s="77">
        <f t="shared" si="62"/>
        <v>0</v>
      </c>
      <c r="W317" s="77">
        <v>0</v>
      </c>
      <c r="X317" s="77">
        <v>0</v>
      </c>
      <c r="Y317" s="37">
        <v>0</v>
      </c>
      <c r="Z317" s="77">
        <v>0</v>
      </c>
      <c r="AA317" s="77">
        <v>0</v>
      </c>
      <c r="AB317" s="89">
        <v>0</v>
      </c>
      <c r="AC317" s="77">
        <f t="shared" si="53"/>
        <v>0</v>
      </c>
      <c r="AD317" s="77">
        <v>0</v>
      </c>
      <c r="AE317" s="116">
        <v>0</v>
      </c>
      <c r="AF317" s="77">
        <f>INT(((AE317*Valores!$C$2)*100)+0.5)/100</f>
        <v>0</v>
      </c>
      <c r="AG317" s="77"/>
      <c r="AH317" s="77"/>
      <c r="AI317" s="77">
        <f>SUM(H317,J317,L317,N317,O317,P317,Q317,R317,S317,T317,V317,W317,X317,Z317,AA317,AB317,AC317,AD317,AF317,AG317,AH317)*Valores!$C$63</f>
        <v>0</v>
      </c>
      <c r="AJ317" s="140">
        <f t="shared" si="54"/>
        <v>17391.645</v>
      </c>
      <c r="AK317" s="140"/>
      <c r="AL317" s="79">
        <f>Valores!$C$11+AL316</f>
        <v>117.23999999999997</v>
      </c>
      <c r="AM317" s="89">
        <v>0</v>
      </c>
      <c r="AN317" s="79">
        <f>IF($H$4="SI",SUM(AL317+AM317),AL317)*Valores!$C$63</f>
        <v>0</v>
      </c>
      <c r="AO317" s="12">
        <f t="shared" si="58"/>
        <v>117.23999999999997</v>
      </c>
      <c r="AP317" s="13">
        <f>AJ317*-Valores!$C$65</f>
        <v>-2260.91385</v>
      </c>
      <c r="AQ317" s="13">
        <f>AJ317*-Valores!$C$66</f>
        <v>-86.958225</v>
      </c>
      <c r="AR317" s="78">
        <f>AJ317*-Valores!$C$67</f>
        <v>-782.624025</v>
      </c>
      <c r="AS317" s="78">
        <f>AJ317*-Valores!$C$68</f>
        <v>-469.57441500000004</v>
      </c>
      <c r="AT317" s="78">
        <f>AJ317*-Valores!$C$69</f>
        <v>-52.174935000000005</v>
      </c>
      <c r="AU317" s="15">
        <f t="shared" si="55"/>
        <v>14378.388900000002</v>
      </c>
      <c r="AV317" s="15">
        <f t="shared" si="56"/>
        <v>14639.263575000004</v>
      </c>
      <c r="AW317" s="78">
        <f>AJ317*Valores!$C$70</f>
        <v>2782.6632</v>
      </c>
      <c r="AX317" s="78">
        <f>AJ317*Valores!$C$71</f>
        <v>782.624025</v>
      </c>
      <c r="AY317" s="78">
        <f>AJ317*Valores!$C$73</f>
        <v>173.91645</v>
      </c>
      <c r="AZ317" s="78">
        <f>AJ317*Valores!$C$74</f>
        <v>608.707575</v>
      </c>
      <c r="BA317" s="78">
        <f>AJ317*Valores!$C$75</f>
        <v>104.34987000000001</v>
      </c>
      <c r="BB317" s="78">
        <f t="shared" si="59"/>
        <v>939.14883</v>
      </c>
    </row>
    <row r="318" spans="1:54" ht="11.25" customHeight="1">
      <c r="A318" s="20">
        <v>317</v>
      </c>
      <c r="B318" s="20"/>
      <c r="D318" s="24">
        <v>1</v>
      </c>
      <c r="E318" s="24">
        <f t="shared" si="57"/>
        <v>26</v>
      </c>
      <c r="F318" s="8" t="s">
        <v>430</v>
      </c>
      <c r="G318" s="36">
        <f t="shared" si="63"/>
        <v>2015</v>
      </c>
      <c r="H318" s="7">
        <f>INT((G318*Valores!$C$2*100)+0.5)/100</f>
        <v>12088.6</v>
      </c>
      <c r="I318" s="134">
        <v>0</v>
      </c>
      <c r="J318" s="77">
        <f>INT((I318*Valores!$C$2*100)+0.5)/100</f>
        <v>0</v>
      </c>
      <c r="K318" s="146">
        <v>0</v>
      </c>
      <c r="L318" s="77">
        <f>INT((K318*Valores!$C$2*100)+0.5)/100</f>
        <v>0</v>
      </c>
      <c r="M318" s="120">
        <v>0</v>
      </c>
      <c r="N318" s="77">
        <f>INT((M318*Valores!$C$2*100)+0.5)/100</f>
        <v>0</v>
      </c>
      <c r="O318" s="77">
        <f t="shared" si="51"/>
        <v>0</v>
      </c>
      <c r="P318" s="77">
        <f t="shared" si="52"/>
        <v>6280.3150000000005</v>
      </c>
      <c r="Q318" s="61">
        <v>0</v>
      </c>
      <c r="R318" s="61">
        <v>0</v>
      </c>
      <c r="S318" s="77">
        <v>0</v>
      </c>
      <c r="T318" s="79">
        <f>Valores!$C$45+T317</f>
        <v>472.03000000000003</v>
      </c>
      <c r="U318" s="61">
        <v>0</v>
      </c>
      <c r="V318" s="77">
        <f t="shared" si="62"/>
        <v>0</v>
      </c>
      <c r="W318" s="77">
        <v>0</v>
      </c>
      <c r="X318" s="77">
        <v>0</v>
      </c>
      <c r="Y318" s="37">
        <v>0</v>
      </c>
      <c r="Z318" s="77">
        <v>0</v>
      </c>
      <c r="AA318" s="77">
        <v>0</v>
      </c>
      <c r="AB318" s="89">
        <v>0</v>
      </c>
      <c r="AC318" s="77">
        <f t="shared" si="53"/>
        <v>0</v>
      </c>
      <c r="AD318" s="77">
        <v>0</v>
      </c>
      <c r="AE318" s="116">
        <v>0</v>
      </c>
      <c r="AF318" s="77">
        <f>INT(((AE318*Valores!$C$2)*100)+0.5)/100</f>
        <v>0</v>
      </c>
      <c r="AG318" s="77"/>
      <c r="AH318" s="77"/>
      <c r="AI318" s="77">
        <f>SUM(H318,J318,L318,N318,O318,P318,Q318,R318,S318,T318,V318,W318,X318,Z318,AA318,AB318,AC318,AD318,AF318,AG318,AH318)*Valores!$C$63</f>
        <v>0</v>
      </c>
      <c r="AJ318" s="140">
        <f t="shared" si="54"/>
        <v>18840.945</v>
      </c>
      <c r="AK318" s="140"/>
      <c r="AL318" s="79">
        <f>Valores!$C$11+AL317</f>
        <v>127.00999999999996</v>
      </c>
      <c r="AM318" s="89">
        <v>0</v>
      </c>
      <c r="AN318" s="79">
        <f>IF($H$4="SI",SUM(AL318+AM318),AL318)*Valores!$C$63</f>
        <v>0</v>
      </c>
      <c r="AO318" s="12">
        <f t="shared" si="58"/>
        <v>127.00999999999996</v>
      </c>
      <c r="AP318" s="13">
        <f>AJ318*-Valores!$C$65</f>
        <v>-2449.32285</v>
      </c>
      <c r="AQ318" s="13">
        <f>AJ318*-Valores!$C$66</f>
        <v>-94.204725</v>
      </c>
      <c r="AR318" s="78">
        <f>AJ318*-Valores!$C$67</f>
        <v>-847.8425249999999</v>
      </c>
      <c r="AS318" s="78">
        <f>AJ318*-Valores!$C$68</f>
        <v>-508.70551500000005</v>
      </c>
      <c r="AT318" s="78">
        <f>AJ318*-Valores!$C$69</f>
        <v>-56.522835</v>
      </c>
      <c r="AU318" s="15">
        <f t="shared" si="55"/>
        <v>15576.584899999998</v>
      </c>
      <c r="AV318" s="15">
        <f t="shared" si="56"/>
        <v>15859.199074999997</v>
      </c>
      <c r="AW318" s="78">
        <f>AJ318*Valores!$C$70</f>
        <v>3014.5512</v>
      </c>
      <c r="AX318" s="78">
        <f>AJ318*Valores!$C$71</f>
        <v>847.8425249999999</v>
      </c>
      <c r="AY318" s="78">
        <f>AJ318*Valores!$C$73</f>
        <v>188.40945</v>
      </c>
      <c r="AZ318" s="78">
        <f>AJ318*Valores!$C$74</f>
        <v>659.433075</v>
      </c>
      <c r="BA318" s="78">
        <f>AJ318*Valores!$C$75</f>
        <v>113.04567</v>
      </c>
      <c r="BB318" s="78">
        <f t="shared" si="59"/>
        <v>1017.41103</v>
      </c>
    </row>
    <row r="319" spans="1:56" ht="11.25" customHeight="1">
      <c r="A319" s="20">
        <v>318</v>
      </c>
      <c r="B319" s="20"/>
      <c r="D319" s="24">
        <v>1</v>
      </c>
      <c r="E319" s="24">
        <f t="shared" si="57"/>
        <v>26</v>
      </c>
      <c r="F319" s="8" t="s">
        <v>431</v>
      </c>
      <c r="G319" s="36">
        <f t="shared" si="63"/>
        <v>2170</v>
      </c>
      <c r="H319" s="7">
        <f>INT((G319*Valores!$C$2*100)+0.5)/100</f>
        <v>13018.49</v>
      </c>
      <c r="I319" s="134">
        <v>0</v>
      </c>
      <c r="J319" s="77">
        <f>INT((I319*Valores!$C$2*100)+0.5)/100</f>
        <v>0</v>
      </c>
      <c r="K319" s="146">
        <v>0</v>
      </c>
      <c r="L319" s="77">
        <f>INT((K319*Valores!$C$2*100)+0.5)/100</f>
        <v>0</v>
      </c>
      <c r="M319" s="120">
        <v>0</v>
      </c>
      <c r="N319" s="77">
        <f>INT((M319*Valores!$C$2*100)+0.5)/100</f>
        <v>0</v>
      </c>
      <c r="O319" s="77">
        <f t="shared" si="51"/>
        <v>0</v>
      </c>
      <c r="P319" s="77">
        <f t="shared" si="52"/>
        <v>6763.415</v>
      </c>
      <c r="Q319" s="61">
        <v>0</v>
      </c>
      <c r="R319" s="61">
        <v>0</v>
      </c>
      <c r="S319" s="77">
        <v>0</v>
      </c>
      <c r="T319" s="79">
        <f>Valores!$C$45+T318</f>
        <v>508.34000000000003</v>
      </c>
      <c r="U319" s="79">
        <v>0</v>
      </c>
      <c r="V319" s="77">
        <f t="shared" si="62"/>
        <v>0</v>
      </c>
      <c r="W319" s="77">
        <v>0</v>
      </c>
      <c r="X319" s="77">
        <v>0</v>
      </c>
      <c r="Y319" s="37">
        <v>0</v>
      </c>
      <c r="Z319" s="77">
        <v>0</v>
      </c>
      <c r="AA319" s="77">
        <v>0</v>
      </c>
      <c r="AB319" s="89">
        <v>0</v>
      </c>
      <c r="AC319" s="77">
        <f t="shared" si="53"/>
        <v>0</v>
      </c>
      <c r="AD319" s="77">
        <v>0</v>
      </c>
      <c r="AE319" s="116">
        <v>0</v>
      </c>
      <c r="AF319" s="77">
        <f>INT(((AE319*Valores!$C$2)*100)+0.5)/100</f>
        <v>0</v>
      </c>
      <c r="AG319" s="77"/>
      <c r="AH319" s="77"/>
      <c r="AI319" s="77">
        <f>SUM(H319,J319,L319,N319,O319,P319,Q319,R319,S319,T319,V319,W319,X319,Z319,AA319,AB319,AC319,AD319,AF319,AG319,AH319)*Valores!$C$63</f>
        <v>0</v>
      </c>
      <c r="AJ319" s="140">
        <f t="shared" si="54"/>
        <v>20290.245</v>
      </c>
      <c r="AK319" s="140"/>
      <c r="AL319" s="79">
        <f>Valores!$C$11+AL318</f>
        <v>136.77999999999997</v>
      </c>
      <c r="AM319" s="89">
        <v>0</v>
      </c>
      <c r="AN319" s="79">
        <f>IF($H$4="SI",SUM(AL319+AM319),AL319)*Valores!$C$63</f>
        <v>0</v>
      </c>
      <c r="AO319" s="12">
        <f t="shared" si="58"/>
        <v>136.77999999999997</v>
      </c>
      <c r="AP319" s="13">
        <f>AJ319*-Valores!$C$65</f>
        <v>-2637.73185</v>
      </c>
      <c r="AQ319" s="13">
        <f>AJ319*-Valores!$C$66</f>
        <v>-101.451225</v>
      </c>
      <c r="AR319" s="78">
        <f>AJ319*-Valores!$C$67</f>
        <v>-913.061025</v>
      </c>
      <c r="AS319" s="78">
        <f>AJ319*-Valores!$C$68</f>
        <v>-547.836615</v>
      </c>
      <c r="AT319" s="78">
        <f>AJ319*-Valores!$C$69</f>
        <v>-60.870734999999996</v>
      </c>
      <c r="AU319" s="15">
        <f t="shared" si="55"/>
        <v>16774.780899999998</v>
      </c>
      <c r="AV319" s="15">
        <f t="shared" si="56"/>
        <v>17079.134574999996</v>
      </c>
      <c r="AW319" s="78">
        <f>AJ319*Valores!$C$70</f>
        <v>3246.4392</v>
      </c>
      <c r="AX319" s="78">
        <f>AJ319*Valores!$C$71</f>
        <v>913.061025</v>
      </c>
      <c r="AY319" s="78">
        <f>AJ319*Valores!$C$73</f>
        <v>202.90245</v>
      </c>
      <c r="AZ319" s="78">
        <f>AJ319*Valores!$C$74</f>
        <v>710.158575</v>
      </c>
      <c r="BA319" s="78">
        <f>AJ319*Valores!$C$75</f>
        <v>121.74146999999999</v>
      </c>
      <c r="BB319" s="78">
        <f t="shared" si="59"/>
        <v>1095.67323</v>
      </c>
      <c r="BD319" s="56"/>
    </row>
    <row r="320" spans="1:54" ht="11.25" customHeight="1">
      <c r="A320" s="20">
        <v>319</v>
      </c>
      <c r="B320" s="20"/>
      <c r="D320" s="24">
        <v>1</v>
      </c>
      <c r="E320" s="24">
        <f t="shared" si="57"/>
        <v>26</v>
      </c>
      <c r="F320" s="8" t="s">
        <v>432</v>
      </c>
      <c r="G320" s="36">
        <f t="shared" si="63"/>
        <v>2325</v>
      </c>
      <c r="H320" s="7">
        <f>INT((G320*Valores!$C$2*100)+0.5)/100</f>
        <v>13948.38</v>
      </c>
      <c r="I320" s="134">
        <v>0</v>
      </c>
      <c r="J320" s="77">
        <f>INT((I320*Valores!$C$2*100)+0.5)/100</f>
        <v>0</v>
      </c>
      <c r="K320" s="146">
        <v>0</v>
      </c>
      <c r="L320" s="77">
        <f>INT((K320*Valores!$C$2*100)+0.5)/100</f>
        <v>0</v>
      </c>
      <c r="M320" s="120">
        <v>0</v>
      </c>
      <c r="N320" s="77">
        <f>INT((M320*Valores!$C$2*100)+0.5)/100</f>
        <v>0</v>
      </c>
      <c r="O320" s="77">
        <f t="shared" si="51"/>
        <v>0</v>
      </c>
      <c r="P320" s="77">
        <f t="shared" si="52"/>
        <v>7246.514999999999</v>
      </c>
      <c r="Q320" s="61">
        <v>0</v>
      </c>
      <c r="R320" s="61">
        <v>0</v>
      </c>
      <c r="S320" s="77">
        <v>0</v>
      </c>
      <c r="T320" s="79">
        <f>Valores!$C$45+T319</f>
        <v>544.6500000000001</v>
      </c>
      <c r="U320" s="61">
        <v>0</v>
      </c>
      <c r="V320" s="77">
        <f t="shared" si="62"/>
        <v>0</v>
      </c>
      <c r="W320" s="77">
        <v>0</v>
      </c>
      <c r="X320" s="77">
        <v>0</v>
      </c>
      <c r="Y320" s="37">
        <v>0</v>
      </c>
      <c r="Z320" s="77">
        <v>0</v>
      </c>
      <c r="AA320" s="77">
        <v>0</v>
      </c>
      <c r="AB320" s="89">
        <v>0</v>
      </c>
      <c r="AC320" s="77">
        <f t="shared" si="53"/>
        <v>0</v>
      </c>
      <c r="AD320" s="77">
        <v>0</v>
      </c>
      <c r="AE320" s="116">
        <v>0</v>
      </c>
      <c r="AF320" s="77">
        <f>INT(((AE320*Valores!$C$2)*100)+0.5)/100</f>
        <v>0</v>
      </c>
      <c r="AG320" s="77"/>
      <c r="AH320" s="77"/>
      <c r="AI320" s="77">
        <f>SUM(H320,J320,L320,N320,O320,P320,Q320,R320,S320,T320,V320,W320,X320,Z320,AA320,AB320,AC320,AD320,AF320,AG320,AH320)*Valores!$C$63</f>
        <v>0</v>
      </c>
      <c r="AJ320" s="140">
        <f t="shared" si="54"/>
        <v>21739.545</v>
      </c>
      <c r="AK320" s="140"/>
      <c r="AL320" s="79">
        <f>Valores!$C$11+AL319</f>
        <v>146.54999999999998</v>
      </c>
      <c r="AM320" s="89">
        <v>0</v>
      </c>
      <c r="AN320" s="79">
        <f>IF($H$4="SI",SUM(AL320+AM320),AL320)*Valores!$C$63</f>
        <v>0</v>
      </c>
      <c r="AO320" s="12">
        <f t="shared" si="58"/>
        <v>146.54999999999998</v>
      </c>
      <c r="AP320" s="13">
        <f>AJ320*-Valores!$C$65</f>
        <v>-2826.14085</v>
      </c>
      <c r="AQ320" s="13">
        <f>AJ320*-Valores!$C$66</f>
        <v>-108.69772499999999</v>
      </c>
      <c r="AR320" s="78">
        <f>AJ320*-Valores!$C$67</f>
        <v>-978.2795249999999</v>
      </c>
      <c r="AS320" s="78">
        <f>AJ320*-Valores!$C$68</f>
        <v>-586.967715</v>
      </c>
      <c r="AT320" s="78">
        <f>AJ320*-Valores!$C$69</f>
        <v>-65.21863499999999</v>
      </c>
      <c r="AU320" s="15">
        <f t="shared" si="55"/>
        <v>17972.976899999998</v>
      </c>
      <c r="AV320" s="15">
        <f t="shared" si="56"/>
        <v>18299.070074999996</v>
      </c>
      <c r="AW320" s="78">
        <f>AJ320*Valores!$C$70</f>
        <v>3478.3271999999997</v>
      </c>
      <c r="AX320" s="78">
        <f>AJ320*Valores!$C$71</f>
        <v>978.2795249999999</v>
      </c>
      <c r="AY320" s="78">
        <f>AJ320*Valores!$C$73</f>
        <v>217.39544999999998</v>
      </c>
      <c r="AZ320" s="78">
        <f>AJ320*Valores!$C$74</f>
        <v>760.884075</v>
      </c>
      <c r="BA320" s="78">
        <f>AJ320*Valores!$C$75</f>
        <v>130.43726999999998</v>
      </c>
      <c r="BB320" s="78">
        <f t="shared" si="59"/>
        <v>1173.93543</v>
      </c>
    </row>
    <row r="321" spans="1:57" ht="11.25" customHeight="1">
      <c r="A321" s="55">
        <v>320</v>
      </c>
      <c r="B321" s="55" t="s">
        <v>458</v>
      </c>
      <c r="C321" s="59"/>
      <c r="D321" s="24">
        <v>1</v>
      </c>
      <c r="E321" s="24">
        <f t="shared" si="57"/>
        <v>26</v>
      </c>
      <c r="F321" s="58" t="s">
        <v>433</v>
      </c>
      <c r="G321" s="67">
        <f>155+G320</f>
        <v>2480</v>
      </c>
      <c r="H321" s="129">
        <f>INT((G321*Valores!$C$2*100)+0.5)/100</f>
        <v>14878.27</v>
      </c>
      <c r="I321" s="133">
        <v>0</v>
      </c>
      <c r="J321" s="80">
        <f>INT((I321*Valores!$C$2*100)+0.5)/100</f>
        <v>0</v>
      </c>
      <c r="K321" s="147">
        <v>0</v>
      </c>
      <c r="L321" s="80">
        <f>INT((K321*Valores!$C$2*100)+0.5)/100</f>
        <v>0</v>
      </c>
      <c r="M321" s="121">
        <v>0</v>
      </c>
      <c r="N321" s="80">
        <f>INT((M321*Valores!$C$2*100)+0.5)/100</f>
        <v>0</v>
      </c>
      <c r="O321" s="80">
        <f t="shared" si="51"/>
        <v>0</v>
      </c>
      <c r="P321" s="80">
        <f t="shared" si="52"/>
        <v>7729.615</v>
      </c>
      <c r="Q321" s="85">
        <v>0</v>
      </c>
      <c r="R321" s="85">
        <v>0</v>
      </c>
      <c r="S321" s="80">
        <v>0</v>
      </c>
      <c r="T321" s="82">
        <f>Valores!$C$45+T320</f>
        <v>580.96</v>
      </c>
      <c r="U321" s="85">
        <v>0</v>
      </c>
      <c r="V321" s="80">
        <f t="shared" si="62"/>
        <v>0</v>
      </c>
      <c r="W321" s="80">
        <v>0</v>
      </c>
      <c r="X321" s="80">
        <v>0</v>
      </c>
      <c r="Y321" s="60">
        <v>0</v>
      </c>
      <c r="Z321" s="80">
        <v>0</v>
      </c>
      <c r="AA321" s="80">
        <v>0</v>
      </c>
      <c r="AB321" s="90">
        <v>0</v>
      </c>
      <c r="AC321" s="80">
        <f t="shared" si="53"/>
        <v>0</v>
      </c>
      <c r="AD321" s="80">
        <v>0</v>
      </c>
      <c r="AE321" s="115">
        <v>0</v>
      </c>
      <c r="AF321" s="80">
        <f>INT(((AE321*Valores!$C$2)*100)+0.5)/100</f>
        <v>0</v>
      </c>
      <c r="AG321" s="80"/>
      <c r="AH321" s="80"/>
      <c r="AI321" s="80">
        <f>SUM(H321,J321,L321,N321,O321,P321,Q321,R321,S321,T321,V321,W321,X321,Z321,AA321,AB321,AC321,AD321,AF321,AG321,AH321)*Valores!$C$63</f>
        <v>0</v>
      </c>
      <c r="AJ321" s="141">
        <f t="shared" si="54"/>
        <v>23188.845</v>
      </c>
      <c r="AK321" s="141"/>
      <c r="AL321" s="82">
        <f>Valores!$C$11+AL320</f>
        <v>156.32</v>
      </c>
      <c r="AM321" s="90">
        <v>0</v>
      </c>
      <c r="AN321" s="82">
        <f>IF($H$4="SI",SUM(AL321+AM321),AL321)*Valores!$C$63</f>
        <v>0</v>
      </c>
      <c r="AO321" s="185">
        <f t="shared" si="58"/>
        <v>156.32</v>
      </c>
      <c r="AP321" s="154">
        <f>AJ321*-Valores!$C$65</f>
        <v>-3014.5498500000003</v>
      </c>
      <c r="AQ321" s="154">
        <f>AJ321*-Valores!$C$66</f>
        <v>-115.944225</v>
      </c>
      <c r="AR321" s="81">
        <f>AJ321*-Valores!$C$67</f>
        <v>-1043.498025</v>
      </c>
      <c r="AS321" s="81">
        <f>AJ321*-Valores!$C$68</f>
        <v>-626.0988150000001</v>
      </c>
      <c r="AT321" s="81">
        <f>AJ321*-Valores!$C$69</f>
        <v>-69.566535</v>
      </c>
      <c r="AU321" s="54">
        <f t="shared" si="55"/>
        <v>19171.1729</v>
      </c>
      <c r="AV321" s="54">
        <f t="shared" si="56"/>
        <v>19519.005575</v>
      </c>
      <c r="AW321" s="81">
        <f>AJ321*Valores!$C$70</f>
        <v>3710.2152</v>
      </c>
      <c r="AX321" s="81">
        <f>AJ321*Valores!$C$71</f>
        <v>1043.498025</v>
      </c>
      <c r="AY321" s="81">
        <f>AJ321*Valores!$C$73</f>
        <v>231.88845</v>
      </c>
      <c r="AZ321" s="81">
        <f>AJ321*Valores!$C$74</f>
        <v>811.6095750000001</v>
      </c>
      <c r="BA321" s="81">
        <f>AJ321*Valores!$C$75</f>
        <v>139.13307</v>
      </c>
      <c r="BB321" s="81">
        <f t="shared" si="59"/>
        <v>1252.1976300000001</v>
      </c>
      <c r="BC321" s="56"/>
      <c r="BD321" s="56"/>
      <c r="BE321" s="52"/>
    </row>
    <row r="322" spans="1:57" ht="11.25" customHeight="1">
      <c r="A322" s="20">
        <v>321</v>
      </c>
      <c r="B322" s="20"/>
      <c r="C322" s="26" t="s">
        <v>443</v>
      </c>
      <c r="D322" s="24">
        <v>1</v>
      </c>
      <c r="E322" s="24">
        <f t="shared" si="57"/>
        <v>40</v>
      </c>
      <c r="F322" s="8" t="s">
        <v>434</v>
      </c>
      <c r="G322" s="36">
        <f>232+8</f>
        <v>240</v>
      </c>
      <c r="H322" s="7">
        <f>INT((G322*Valores!$C$2*100)+0.5)/100</f>
        <v>1439.83</v>
      </c>
      <c r="I322" s="134">
        <v>0</v>
      </c>
      <c r="J322" s="77">
        <f>INT((I322*Valores!$C$2*100)+0.5)/100</f>
        <v>0</v>
      </c>
      <c r="K322" s="146">
        <v>0</v>
      </c>
      <c r="L322" s="77">
        <f>INT((K322*Valores!$C$2*100)+0.5)/100</f>
        <v>0</v>
      </c>
      <c r="M322" s="120">
        <v>0</v>
      </c>
      <c r="N322" s="77">
        <f>INT((M322*Valores!$C$2*100)+0.5)/100</f>
        <v>0</v>
      </c>
      <c r="O322" s="77">
        <f t="shared" si="51"/>
        <v>0</v>
      </c>
      <c r="P322" s="77">
        <f t="shared" si="52"/>
        <v>763.4649999999999</v>
      </c>
      <c r="Q322" s="61">
        <v>0</v>
      </c>
      <c r="R322" s="61">
        <v>0</v>
      </c>
      <c r="S322" s="77">
        <v>0</v>
      </c>
      <c r="T322" s="79">
        <f>Valores!$C$46</f>
        <v>87.1</v>
      </c>
      <c r="U322" s="61">
        <v>0</v>
      </c>
      <c r="V322" s="77">
        <f t="shared" si="62"/>
        <v>0</v>
      </c>
      <c r="W322" s="77">
        <v>0</v>
      </c>
      <c r="X322" s="77">
        <v>0</v>
      </c>
      <c r="Y322" s="37">
        <v>0</v>
      </c>
      <c r="Z322" s="77">
        <v>0</v>
      </c>
      <c r="AA322" s="77">
        <v>0</v>
      </c>
      <c r="AB322" s="89">
        <v>0</v>
      </c>
      <c r="AC322" s="77">
        <f t="shared" si="53"/>
        <v>0</v>
      </c>
      <c r="AD322" s="77">
        <v>0</v>
      </c>
      <c r="AE322" s="116">
        <v>0</v>
      </c>
      <c r="AF322" s="77">
        <f>INT(((AE322*Valores!$C$2)*100)+0.5)/100</f>
        <v>0</v>
      </c>
      <c r="AG322" s="77"/>
      <c r="AH322" s="77"/>
      <c r="AI322" s="77">
        <f>SUM(H322,J322,L322,N322,O322,P322,Q322,R322,S322,T322,V322,W322,X322,Z322,AA322,AB322,AC322,AD322,AF322,AG322,AH322)*Valores!$C$63</f>
        <v>0</v>
      </c>
      <c r="AJ322" s="140">
        <f t="shared" si="54"/>
        <v>2290.395</v>
      </c>
      <c r="AK322" s="140"/>
      <c r="AL322" s="79">
        <f>Valores!$C$12</f>
        <v>23.44</v>
      </c>
      <c r="AM322" s="89">
        <v>0</v>
      </c>
      <c r="AN322" s="79">
        <f>IF($H$4="SI",SUM(AL322+AM322),AL322)*Valores!$C$63</f>
        <v>0</v>
      </c>
      <c r="AO322" s="12">
        <f t="shared" si="58"/>
        <v>23.44</v>
      </c>
      <c r="AP322" s="13">
        <f>AJ322*-Valores!$C$65</f>
        <v>-297.75135</v>
      </c>
      <c r="AQ322" s="13">
        <f>AJ322*-Valores!$C$66</f>
        <v>-11.451975000000001</v>
      </c>
      <c r="AR322" s="78">
        <f>AJ322*-Valores!$C$67</f>
        <v>-103.067775</v>
      </c>
      <c r="AS322" s="78">
        <f>AJ322*-Valores!$C$68</f>
        <v>-61.84066500000001</v>
      </c>
      <c r="AT322" s="78">
        <f>AJ322*-Valores!$C$69</f>
        <v>-6.871185</v>
      </c>
      <c r="AU322" s="15">
        <f t="shared" si="55"/>
        <v>1901.5639</v>
      </c>
      <c r="AV322" s="15">
        <f t="shared" si="56"/>
        <v>1935.919825</v>
      </c>
      <c r="AW322" s="78">
        <f>AJ322*Valores!$C$70</f>
        <v>366.46320000000003</v>
      </c>
      <c r="AX322" s="78">
        <f>AJ322*Valores!$C$71</f>
        <v>103.067775</v>
      </c>
      <c r="AY322" s="78">
        <f>AJ322*Valores!$C$73</f>
        <v>22.903950000000002</v>
      </c>
      <c r="AZ322" s="78">
        <f>AJ322*Valores!$C$74</f>
        <v>80.163825</v>
      </c>
      <c r="BA322" s="78">
        <f>AJ322*Valores!$C$75</f>
        <v>13.74237</v>
      </c>
      <c r="BB322" s="78">
        <f t="shared" si="59"/>
        <v>123.68133</v>
      </c>
      <c r="BE322" s="9" t="s">
        <v>462</v>
      </c>
    </row>
    <row r="323" spans="1:57" ht="11.25" customHeight="1">
      <c r="A323" s="20">
        <v>322</v>
      </c>
      <c r="B323" s="20"/>
      <c r="C323" s="38" t="s">
        <v>443</v>
      </c>
      <c r="D323" s="24">
        <v>1</v>
      </c>
      <c r="E323" s="24">
        <f t="shared" si="57"/>
        <v>40</v>
      </c>
      <c r="F323" s="8" t="s">
        <v>435</v>
      </c>
      <c r="G323" s="36">
        <f>208+8</f>
        <v>216</v>
      </c>
      <c r="H323" s="7">
        <f>INT((G323*Valores!$C$2*100)+0.5)/100</f>
        <v>1295.85</v>
      </c>
      <c r="I323" s="134">
        <v>0</v>
      </c>
      <c r="J323" s="77">
        <f>INT((I323*Valores!$C$2*100)+0.5)/100</f>
        <v>0</v>
      </c>
      <c r="K323" s="146">
        <v>0</v>
      </c>
      <c r="L323" s="77">
        <f>INT((K323*Valores!$C$2*100)+0.5)/100</f>
        <v>0</v>
      </c>
      <c r="M323" s="120">
        <v>0</v>
      </c>
      <c r="N323" s="77">
        <f>INT((M323*Valores!$C$2*100)+0.5)/100</f>
        <v>0</v>
      </c>
      <c r="O323" s="77">
        <f t="shared" si="51"/>
        <v>0</v>
      </c>
      <c r="P323" s="77">
        <f t="shared" si="52"/>
        <v>691.4749999999999</v>
      </c>
      <c r="Q323" s="61">
        <v>0</v>
      </c>
      <c r="R323" s="61">
        <v>0</v>
      </c>
      <c r="S323" s="77">
        <v>0</v>
      </c>
      <c r="T323" s="79">
        <f>Valores!$C$46</f>
        <v>87.1</v>
      </c>
      <c r="U323" s="61">
        <v>0</v>
      </c>
      <c r="V323" s="77">
        <f t="shared" si="62"/>
        <v>0</v>
      </c>
      <c r="W323" s="77">
        <v>0</v>
      </c>
      <c r="X323" s="77">
        <v>0</v>
      </c>
      <c r="Y323" s="37">
        <v>0</v>
      </c>
      <c r="Z323" s="77">
        <v>0</v>
      </c>
      <c r="AA323" s="77">
        <v>0</v>
      </c>
      <c r="AB323" s="89">
        <v>0</v>
      </c>
      <c r="AC323" s="77">
        <f t="shared" si="53"/>
        <v>0</v>
      </c>
      <c r="AD323" s="77">
        <v>0</v>
      </c>
      <c r="AE323" s="116">
        <v>0</v>
      </c>
      <c r="AF323" s="77">
        <f>INT(((AE323*Valores!$C$2)*100)+0.5)/100</f>
        <v>0</v>
      </c>
      <c r="AG323" s="77"/>
      <c r="AH323" s="77"/>
      <c r="AI323" s="77">
        <f>SUM(H323,J323,L323,N323,O323,P323,Q323,R323,S323,T323,V323,W323,X323,Z323,AA323,AB323,AC323,AD323,AF323,AG323,AH323)*Valores!$C$63</f>
        <v>0</v>
      </c>
      <c r="AJ323" s="140">
        <f t="shared" si="54"/>
        <v>2074.4249999999997</v>
      </c>
      <c r="AK323" s="140"/>
      <c r="AL323" s="79">
        <f>Valores!$C$12</f>
        <v>23.44</v>
      </c>
      <c r="AM323" s="89">
        <v>0</v>
      </c>
      <c r="AN323" s="79">
        <f>IF($H$4="SI",SUM(AL323+AM323),AL323)*Valores!$C$63</f>
        <v>0</v>
      </c>
      <c r="AO323" s="12">
        <f t="shared" si="58"/>
        <v>23.44</v>
      </c>
      <c r="AP323" s="13">
        <f>AJ323*-Valores!$C$65</f>
        <v>-269.67524999999995</v>
      </c>
      <c r="AQ323" s="13">
        <f>AJ323*-Valores!$C$66</f>
        <v>-10.372124999999999</v>
      </c>
      <c r="AR323" s="78">
        <f>AJ323*-Valores!$C$67</f>
        <v>-93.34912499999999</v>
      </c>
      <c r="AS323" s="78">
        <f>AJ323*-Valores!$C$68</f>
        <v>-56.009475</v>
      </c>
      <c r="AT323" s="78">
        <f>AJ323*-Valores!$C$69</f>
        <v>-6.223274999999999</v>
      </c>
      <c r="AU323" s="15">
        <f t="shared" si="55"/>
        <v>1724.4685</v>
      </c>
      <c r="AV323" s="15">
        <f t="shared" si="56"/>
        <v>1755.5848749999998</v>
      </c>
      <c r="AW323" s="78">
        <f>AJ323*Valores!$C$70</f>
        <v>331.90799999999996</v>
      </c>
      <c r="AX323" s="78">
        <f>AJ323*Valores!$C$71</f>
        <v>93.34912499999999</v>
      </c>
      <c r="AY323" s="78">
        <f>AJ323*Valores!$C$73</f>
        <v>20.744249999999997</v>
      </c>
      <c r="AZ323" s="78">
        <f>AJ323*Valores!$C$74</f>
        <v>72.60487499999999</v>
      </c>
      <c r="BA323" s="78">
        <f>AJ323*Valores!$C$75</f>
        <v>12.446549999999998</v>
      </c>
      <c r="BB323" s="78">
        <f t="shared" si="59"/>
        <v>112.01894999999999</v>
      </c>
      <c r="BE323" s="9" t="s">
        <v>462</v>
      </c>
    </row>
    <row r="324" spans="1:57" ht="11.25" customHeight="1">
      <c r="A324" s="20">
        <v>323</v>
      </c>
      <c r="B324" s="20"/>
      <c r="C324" s="38" t="s">
        <v>443</v>
      </c>
      <c r="D324" s="24">
        <v>1</v>
      </c>
      <c r="E324" s="24">
        <f t="shared" si="57"/>
        <v>40</v>
      </c>
      <c r="F324" s="8" t="s">
        <v>436</v>
      </c>
      <c r="G324" s="36">
        <f>194+8</f>
        <v>202</v>
      </c>
      <c r="H324" s="7">
        <f>INT((G324*Valores!$C$2*100)+0.5)/100</f>
        <v>1211.86</v>
      </c>
      <c r="I324" s="134">
        <v>0</v>
      </c>
      <c r="J324" s="77">
        <f>INT((I324*Valores!$C$2*100)+0.5)/100</f>
        <v>0</v>
      </c>
      <c r="K324" s="146">
        <v>0</v>
      </c>
      <c r="L324" s="77">
        <f>INT((K324*Valores!$C$2*100)+0.5)/100</f>
        <v>0</v>
      </c>
      <c r="M324" s="120">
        <v>0</v>
      </c>
      <c r="N324" s="77">
        <f>INT((M324*Valores!$C$2*100)+0.5)/100</f>
        <v>0</v>
      </c>
      <c r="O324" s="77">
        <f t="shared" si="51"/>
        <v>0</v>
      </c>
      <c r="P324" s="77">
        <f t="shared" si="52"/>
        <v>649.4799999999999</v>
      </c>
      <c r="Q324" s="61">
        <v>0</v>
      </c>
      <c r="R324" s="61">
        <v>0</v>
      </c>
      <c r="S324" s="77">
        <v>0</v>
      </c>
      <c r="T324" s="79">
        <f>Valores!$C$46</f>
        <v>87.1</v>
      </c>
      <c r="U324" s="61">
        <v>0</v>
      </c>
      <c r="V324" s="77">
        <f t="shared" si="62"/>
        <v>0</v>
      </c>
      <c r="W324" s="77">
        <v>0</v>
      </c>
      <c r="X324" s="77">
        <v>0</v>
      </c>
      <c r="Y324" s="37">
        <v>0</v>
      </c>
      <c r="Z324" s="77">
        <v>0</v>
      </c>
      <c r="AA324" s="77">
        <v>0</v>
      </c>
      <c r="AB324" s="89">
        <v>0</v>
      </c>
      <c r="AC324" s="77">
        <f t="shared" si="53"/>
        <v>0</v>
      </c>
      <c r="AD324" s="77">
        <v>0</v>
      </c>
      <c r="AE324" s="116">
        <v>0</v>
      </c>
      <c r="AF324" s="77">
        <f>INT(((AE324*Valores!$C$2)*100)+0.5)/100</f>
        <v>0</v>
      </c>
      <c r="AG324" s="77"/>
      <c r="AH324" s="77"/>
      <c r="AI324" s="77">
        <f>SUM(H324,J324,L324,N324,O324,P324,Q324,R324,S324,T324,V324,W324,X324,Z324,AA324,AB324,AC324,AD324,AF324,AG324,AH324)*Valores!$C$63</f>
        <v>0</v>
      </c>
      <c r="AJ324" s="140">
        <f t="shared" si="54"/>
        <v>1948.4399999999996</v>
      </c>
      <c r="AK324" s="140"/>
      <c r="AL324" s="79">
        <f>Valores!$C$12</f>
        <v>23.44</v>
      </c>
      <c r="AM324" s="89">
        <v>0</v>
      </c>
      <c r="AN324" s="79">
        <f>IF($H$4="SI",SUM(AL324+AM324),AL324)*Valores!$C$63</f>
        <v>0</v>
      </c>
      <c r="AO324" s="12">
        <f t="shared" si="58"/>
        <v>23.44</v>
      </c>
      <c r="AP324" s="13">
        <f>AJ324*-Valores!$C$65</f>
        <v>-253.29719999999995</v>
      </c>
      <c r="AQ324" s="13">
        <f>AJ324*-Valores!$C$66</f>
        <v>-9.742199999999999</v>
      </c>
      <c r="AR324" s="78">
        <f>AJ324*-Valores!$C$67</f>
        <v>-87.67979999999997</v>
      </c>
      <c r="AS324" s="78">
        <f>AJ324*-Valores!$C$68</f>
        <v>-52.607879999999994</v>
      </c>
      <c r="AT324" s="78">
        <f>AJ324*-Valores!$C$69</f>
        <v>-5.845319999999999</v>
      </c>
      <c r="AU324" s="15">
        <f t="shared" si="55"/>
        <v>1621.1607999999999</v>
      </c>
      <c r="AV324" s="15">
        <f t="shared" si="56"/>
        <v>1650.3873999999998</v>
      </c>
      <c r="AW324" s="78">
        <f>AJ324*Valores!$C$70</f>
        <v>311.75039999999996</v>
      </c>
      <c r="AX324" s="78">
        <f>AJ324*Valores!$C$71</f>
        <v>87.67979999999997</v>
      </c>
      <c r="AY324" s="78">
        <f>AJ324*Valores!$C$73</f>
        <v>19.484399999999997</v>
      </c>
      <c r="AZ324" s="78">
        <f>AJ324*Valores!$C$74</f>
        <v>68.19539999999999</v>
      </c>
      <c r="BA324" s="78">
        <f>AJ324*Valores!$C$75</f>
        <v>11.690639999999998</v>
      </c>
      <c r="BB324" s="78">
        <f t="shared" si="59"/>
        <v>105.21575999999999</v>
      </c>
      <c r="BE324" s="9" t="s">
        <v>462</v>
      </c>
    </row>
    <row r="325" spans="1:57" ht="11.25" customHeight="1">
      <c r="A325" s="20">
        <v>324</v>
      </c>
      <c r="B325" s="20"/>
      <c r="C325" s="38" t="s">
        <v>443</v>
      </c>
      <c r="D325" s="24">
        <v>1</v>
      </c>
      <c r="E325" s="24">
        <f t="shared" si="57"/>
        <v>40</v>
      </c>
      <c r="F325" s="8" t="s">
        <v>437</v>
      </c>
      <c r="G325" s="36">
        <f>208+8</f>
        <v>216</v>
      </c>
      <c r="H325" s="7">
        <f>INT((G325*Valores!$C$2*100)+0.5)/100</f>
        <v>1295.85</v>
      </c>
      <c r="I325" s="134">
        <v>0</v>
      </c>
      <c r="J325" s="77">
        <f>INT((I325*Valores!$C$2*100)+0.5)/100</f>
        <v>0</v>
      </c>
      <c r="K325" s="146">
        <v>0</v>
      </c>
      <c r="L325" s="77">
        <f>INT((K325*Valores!$C$2*100)+0.5)/100</f>
        <v>0</v>
      </c>
      <c r="M325" s="120">
        <v>0</v>
      </c>
      <c r="N325" s="77">
        <f>INT((M325*Valores!$C$2*100)+0.5)/100</f>
        <v>0</v>
      </c>
      <c r="O325" s="77">
        <f t="shared" si="51"/>
        <v>0</v>
      </c>
      <c r="P325" s="77">
        <f t="shared" si="52"/>
        <v>691.4749999999999</v>
      </c>
      <c r="Q325" s="61">
        <v>0</v>
      </c>
      <c r="R325" s="61">
        <v>0</v>
      </c>
      <c r="S325" s="77">
        <v>0</v>
      </c>
      <c r="T325" s="79">
        <f>Valores!$C$46</f>
        <v>87.1</v>
      </c>
      <c r="U325" s="79">
        <v>0</v>
      </c>
      <c r="V325" s="77">
        <f t="shared" si="62"/>
        <v>0</v>
      </c>
      <c r="W325" s="77">
        <v>0</v>
      </c>
      <c r="X325" s="77">
        <v>0</v>
      </c>
      <c r="Y325" s="37">
        <v>0</v>
      </c>
      <c r="Z325" s="77">
        <v>0</v>
      </c>
      <c r="AA325" s="77">
        <v>0</v>
      </c>
      <c r="AB325" s="89">
        <v>0</v>
      </c>
      <c r="AC325" s="77">
        <f t="shared" si="53"/>
        <v>0</v>
      </c>
      <c r="AD325" s="77">
        <v>0</v>
      </c>
      <c r="AE325" s="116">
        <v>0</v>
      </c>
      <c r="AF325" s="77">
        <f>INT(((AE325*Valores!$C$2)*100)+0.5)/100</f>
        <v>0</v>
      </c>
      <c r="AG325" s="77"/>
      <c r="AH325" s="77"/>
      <c r="AI325" s="77">
        <f>SUM(H325,J325,L325,N325,O325,P325,Q325,R325,S325,T325,V325,W325,X325,Z325,AA325,AB325,AC325,AD325,AF325,AG325,AH325)*Valores!$C$63</f>
        <v>0</v>
      </c>
      <c r="AJ325" s="140">
        <f t="shared" si="54"/>
        <v>2074.4249999999997</v>
      </c>
      <c r="AK325" s="140"/>
      <c r="AL325" s="79">
        <f>Valores!$C$12</f>
        <v>23.44</v>
      </c>
      <c r="AM325" s="89">
        <v>0</v>
      </c>
      <c r="AN325" s="79">
        <f>IF($H$4="SI",SUM(AL325+AM325),AL325)*Valores!$C$63</f>
        <v>0</v>
      </c>
      <c r="AO325" s="12">
        <f t="shared" si="58"/>
        <v>23.44</v>
      </c>
      <c r="AP325" s="13">
        <f>AJ325*-Valores!$C$65</f>
        <v>-269.67524999999995</v>
      </c>
      <c r="AQ325" s="13">
        <f>AJ325*-Valores!$C$66</f>
        <v>-10.372124999999999</v>
      </c>
      <c r="AR325" s="78">
        <f>AJ325*-Valores!$C$67</f>
        <v>-93.34912499999999</v>
      </c>
      <c r="AS325" s="78">
        <f>AJ325*-Valores!$C$68</f>
        <v>-56.009475</v>
      </c>
      <c r="AT325" s="78">
        <f>AJ325*-Valores!$C$69</f>
        <v>-6.223274999999999</v>
      </c>
      <c r="AU325" s="15">
        <f t="shared" si="55"/>
        <v>1724.4685</v>
      </c>
      <c r="AV325" s="15">
        <f t="shared" si="56"/>
        <v>1755.5848749999998</v>
      </c>
      <c r="AW325" s="78">
        <f>AJ325*Valores!$C$70</f>
        <v>331.90799999999996</v>
      </c>
      <c r="AX325" s="78">
        <f>AJ325*Valores!$C$71</f>
        <v>93.34912499999999</v>
      </c>
      <c r="AY325" s="78">
        <f>AJ325*Valores!$C$73</f>
        <v>20.744249999999997</v>
      </c>
      <c r="AZ325" s="78">
        <f>AJ325*Valores!$C$74</f>
        <v>72.60487499999999</v>
      </c>
      <c r="BA325" s="78">
        <f>AJ325*Valores!$C$75</f>
        <v>12.446549999999998</v>
      </c>
      <c r="BB325" s="78">
        <f t="shared" si="59"/>
        <v>112.01894999999999</v>
      </c>
      <c r="BD325" s="56"/>
      <c r="BE325" s="9" t="s">
        <v>462</v>
      </c>
    </row>
    <row r="326" spans="1:57" ht="11.25" customHeight="1">
      <c r="A326" s="55">
        <v>325</v>
      </c>
      <c r="B326" s="55" t="s">
        <v>458</v>
      </c>
      <c r="C326" s="186" t="s">
        <v>443</v>
      </c>
      <c r="D326" s="24">
        <v>1</v>
      </c>
      <c r="E326" s="24">
        <f t="shared" si="57"/>
        <v>43</v>
      </c>
      <c r="F326" s="58" t="s">
        <v>438</v>
      </c>
      <c r="G326" s="67">
        <f>192+8</f>
        <v>200</v>
      </c>
      <c r="H326" s="129">
        <f>INT((G326*Valores!$C$2*100)+0.5)/100</f>
        <v>1199.86</v>
      </c>
      <c r="I326" s="133">
        <v>0</v>
      </c>
      <c r="J326" s="80">
        <f>INT((I326*Valores!$C$2*100)+0.5)/100</f>
        <v>0</v>
      </c>
      <c r="K326" s="147">
        <v>0</v>
      </c>
      <c r="L326" s="80">
        <f>INT((K326*Valores!$C$2*100)+0.5)/100</f>
        <v>0</v>
      </c>
      <c r="M326" s="121">
        <v>0</v>
      </c>
      <c r="N326" s="80">
        <f>INT((M326*Valores!$C$2*100)+0.5)/100</f>
        <v>0</v>
      </c>
      <c r="O326" s="80">
        <f t="shared" si="51"/>
        <v>0</v>
      </c>
      <c r="P326" s="80">
        <f t="shared" si="52"/>
        <v>643.4799999999999</v>
      </c>
      <c r="Q326" s="85">
        <v>0</v>
      </c>
      <c r="R326" s="85">
        <v>0</v>
      </c>
      <c r="S326" s="80">
        <v>0</v>
      </c>
      <c r="T326" s="82">
        <f>Valores!$C$46</f>
        <v>87.1</v>
      </c>
      <c r="U326" s="85">
        <v>0</v>
      </c>
      <c r="V326" s="80">
        <f t="shared" si="62"/>
        <v>0</v>
      </c>
      <c r="W326" s="80">
        <v>0</v>
      </c>
      <c r="X326" s="80">
        <v>0</v>
      </c>
      <c r="Y326" s="60">
        <v>0</v>
      </c>
      <c r="Z326" s="80">
        <v>0</v>
      </c>
      <c r="AA326" s="80">
        <v>0</v>
      </c>
      <c r="AB326" s="90">
        <v>0</v>
      </c>
      <c r="AC326" s="80">
        <f t="shared" si="53"/>
        <v>0</v>
      </c>
      <c r="AD326" s="80">
        <v>0</v>
      </c>
      <c r="AE326" s="115">
        <v>0</v>
      </c>
      <c r="AF326" s="80">
        <f>INT(((AE326*Valores!$C$2)*100)+0.5)/100</f>
        <v>0</v>
      </c>
      <c r="AG326" s="80"/>
      <c r="AH326" s="80"/>
      <c r="AI326" s="80">
        <f>SUM(H326,J326,L326,N326,O326,P326,Q326,R326,S326,T326,V326,W326,X326,Z326,AA326,AB326,AC326,AD326,AF326,AG326,AH326)*Valores!$C$63</f>
        <v>0</v>
      </c>
      <c r="AJ326" s="141">
        <f t="shared" si="54"/>
        <v>1930.4399999999996</v>
      </c>
      <c r="AK326" s="141"/>
      <c r="AL326" s="82">
        <f>Valores!$C$12</f>
        <v>23.44</v>
      </c>
      <c r="AM326" s="90">
        <v>0</v>
      </c>
      <c r="AN326" s="82">
        <f>IF($H$4="SI",SUM(AL326+AM326),AL326)*Valores!$C$63</f>
        <v>0</v>
      </c>
      <c r="AO326" s="185">
        <f t="shared" si="58"/>
        <v>23.44</v>
      </c>
      <c r="AP326" s="154">
        <f>AJ326*-Valores!$C$65</f>
        <v>-250.95719999999994</v>
      </c>
      <c r="AQ326" s="154">
        <f>AJ326*-Valores!$C$66</f>
        <v>-9.652199999999999</v>
      </c>
      <c r="AR326" s="81">
        <f>AJ326*-Valores!$C$67</f>
        <v>-86.86979999999998</v>
      </c>
      <c r="AS326" s="81">
        <f>AJ326*-Valores!$C$68</f>
        <v>-52.12188</v>
      </c>
      <c r="AT326" s="81">
        <f>AJ326*-Valores!$C$69</f>
        <v>-5.791319999999999</v>
      </c>
      <c r="AU326" s="54">
        <f t="shared" si="55"/>
        <v>1606.4008</v>
      </c>
      <c r="AV326" s="54">
        <f t="shared" si="56"/>
        <v>1635.3573999999996</v>
      </c>
      <c r="AW326" s="81">
        <f>AJ326*Valores!$C$70</f>
        <v>308.87039999999996</v>
      </c>
      <c r="AX326" s="81">
        <f>AJ326*Valores!$C$71</f>
        <v>86.86979999999998</v>
      </c>
      <c r="AY326" s="81">
        <f>AJ326*Valores!$C$73</f>
        <v>19.304399999999998</v>
      </c>
      <c r="AZ326" s="81">
        <f>AJ326*Valores!$C$74</f>
        <v>67.5654</v>
      </c>
      <c r="BA326" s="81">
        <f>AJ326*Valores!$C$75</f>
        <v>11.582639999999998</v>
      </c>
      <c r="BB326" s="81">
        <f t="shared" si="59"/>
        <v>104.24375999999998</v>
      </c>
      <c r="BC326" s="56"/>
      <c r="BD326" s="56"/>
      <c r="BE326" s="52" t="s">
        <v>462</v>
      </c>
    </row>
    <row r="327" spans="1:57" ht="11.25" customHeight="1">
      <c r="A327" s="20">
        <v>326</v>
      </c>
      <c r="B327" s="20"/>
      <c r="C327" s="26" t="s">
        <v>443</v>
      </c>
      <c r="E327" s="24">
        <f t="shared" si="57"/>
        <v>46</v>
      </c>
      <c r="F327" s="8" t="s">
        <v>439</v>
      </c>
      <c r="G327" s="36">
        <v>192</v>
      </c>
      <c r="H327" s="7">
        <f>INT((G327*Valores!$C$2*100)+0.5)/100</f>
        <v>1151.87</v>
      </c>
      <c r="I327" s="134">
        <v>0</v>
      </c>
      <c r="J327" s="77">
        <f>INT((I327*Valores!$C$2*100)+0.5)/100</f>
        <v>0</v>
      </c>
      <c r="K327" s="146">
        <v>0</v>
      </c>
      <c r="L327" s="77">
        <f>INT((K327*Valores!$C$2*100)+0.5)/100</f>
        <v>0</v>
      </c>
      <c r="M327" s="120">
        <v>0</v>
      </c>
      <c r="N327" s="77">
        <f>INT((M327*Valores!$C$2*100)+0.5)/100</f>
        <v>0</v>
      </c>
      <c r="O327" s="77">
        <f aca="true" t="shared" si="64" ref="O327">IF($J$2=0,IF(C327&lt;&gt;"13-930",(SUM(H327,J327,L327,N327,Z327,U327,T327)*$O$2),0),0)</f>
        <v>0</v>
      </c>
      <c r="P327" s="77">
        <f t="shared" si="52"/>
        <v>619.4849999999999</v>
      </c>
      <c r="Q327" s="61">
        <v>0</v>
      </c>
      <c r="R327" s="61">
        <v>0</v>
      </c>
      <c r="S327" s="77">
        <v>0</v>
      </c>
      <c r="T327" s="79">
        <f>Valores!$C$46</f>
        <v>87.1</v>
      </c>
      <c r="U327" s="61">
        <v>0</v>
      </c>
      <c r="V327" s="77">
        <f t="shared" si="62"/>
        <v>0</v>
      </c>
      <c r="W327" s="77">
        <v>0</v>
      </c>
      <c r="X327" s="77">
        <v>0</v>
      </c>
      <c r="Y327" s="37">
        <v>0</v>
      </c>
      <c r="Z327" s="77">
        <v>0</v>
      </c>
      <c r="AA327" s="77">
        <v>0</v>
      </c>
      <c r="AB327" s="89">
        <v>0</v>
      </c>
      <c r="AC327" s="77">
        <f t="shared" si="53"/>
        <v>0</v>
      </c>
      <c r="AD327" s="77">
        <v>0</v>
      </c>
      <c r="AE327" s="116">
        <v>0</v>
      </c>
      <c r="AF327" s="77">
        <f>INT(((AE327*Valores!$C$2)*100)+0.5)/100</f>
        <v>0</v>
      </c>
      <c r="AG327" s="77"/>
      <c r="AH327" s="77"/>
      <c r="AI327" s="77">
        <f>SUM(H327,J327,L327,N327,O327,P327,Q327,R327,S327,T327,V327,W327,X327,Z327,AA327,AB327,AC327,AD327,AF327,AG327,AH327)*Valores!$C$63</f>
        <v>0</v>
      </c>
      <c r="AJ327" s="140">
        <f aca="true" t="shared" si="65" ref="AJ327">SUM(H327,J327,L327,N327,O327,P327,Q327,R327,S327,V327,W327,X327,Z327,AA327,AB327,AC327,AD327,AF327,T327,AG327,AH327,AI327)</f>
        <v>1858.4549999999997</v>
      </c>
      <c r="AK327" s="140"/>
      <c r="AL327" s="79">
        <f>Valores!$C$12</f>
        <v>23.44</v>
      </c>
      <c r="AM327" s="89">
        <v>0</v>
      </c>
      <c r="AN327" s="79">
        <f>IF($H$4="SI",SUM(AL327+AM327),AL327)*Valores!$C$63</f>
        <v>0</v>
      </c>
      <c r="AO327" s="12">
        <f t="shared" si="58"/>
        <v>23.44</v>
      </c>
      <c r="AP327" s="13">
        <f>AJ327*-Valores!$C$65</f>
        <v>-241.59914999999998</v>
      </c>
      <c r="AQ327" s="13">
        <f>AJ327*-Valores!$C$66</f>
        <v>-9.292274999999998</v>
      </c>
      <c r="AR327" s="78">
        <f>AJ327*-Valores!$C$67</f>
        <v>-83.63047499999999</v>
      </c>
      <c r="AS327" s="78">
        <f>AJ327*-Valores!$C$68</f>
        <v>-50.178284999999995</v>
      </c>
      <c r="AT327" s="78">
        <f>AJ327*-Valores!$C$69</f>
        <v>-5.575364999999999</v>
      </c>
      <c r="AU327" s="15">
        <f t="shared" si="55"/>
        <v>1547.3730999999998</v>
      </c>
      <c r="AV327" s="15">
        <f t="shared" si="56"/>
        <v>1575.2499249999998</v>
      </c>
      <c r="AW327" s="78">
        <f>AJ327*Valores!$C$70</f>
        <v>297.35279999999995</v>
      </c>
      <c r="AX327" s="78">
        <f>AJ327*Valores!$C$71</f>
        <v>83.63047499999999</v>
      </c>
      <c r="AY327" s="78">
        <f>AJ327*Valores!$C$73</f>
        <v>18.584549999999997</v>
      </c>
      <c r="AZ327" s="78">
        <f>AJ327*Valores!$C$74</f>
        <v>65.045925</v>
      </c>
      <c r="BA327" s="78">
        <f>AJ327*Valores!$C$75</f>
        <v>11.150729999999998</v>
      </c>
      <c r="BB327" s="78">
        <f t="shared" si="59"/>
        <v>100.35656999999999</v>
      </c>
      <c r="BE327" s="9" t="s">
        <v>462</v>
      </c>
    </row>
    <row r="329" spans="10:37" ht="11.25" customHeight="1">
      <c r="J329" s="130"/>
      <c r="P329" s="3"/>
      <c r="Q329" s="3"/>
      <c r="R329" s="3"/>
      <c r="S329" s="3"/>
      <c r="T329" s="3"/>
      <c r="U329" s="130"/>
      <c r="V329" s="3"/>
      <c r="W329" s="3"/>
      <c r="X329" s="3"/>
      <c r="Y329" s="126">
        <f>Y47-Y54</f>
        <v>0</v>
      </c>
      <c r="Z329" s="3"/>
      <c r="AA329" s="3"/>
      <c r="AB329" s="3"/>
      <c r="AC329" s="3"/>
      <c r="AD329" s="3"/>
      <c r="AJ329" s="196"/>
      <c r="AK329" s="62"/>
    </row>
    <row r="331" spans="10:35" ht="11.25" customHeight="1">
      <c r="J331" s="130"/>
      <c r="P331" s="3"/>
      <c r="Q331" s="3"/>
      <c r="R331" s="3"/>
      <c r="S331" s="3"/>
      <c r="T331" s="3"/>
      <c r="U331" s="130"/>
      <c r="V331" s="3"/>
      <c r="W331" s="3"/>
      <c r="X331" s="3"/>
      <c r="Y331" s="126"/>
      <c r="Z331" s="3"/>
      <c r="AA331" s="3"/>
      <c r="AB331" s="3"/>
      <c r="AC331" s="3"/>
      <c r="AD331" s="3"/>
      <c r="AE331" s="126"/>
      <c r="AF331" s="3"/>
      <c r="AG331" s="3"/>
      <c r="AH331" s="3"/>
      <c r="AI331" s="3"/>
    </row>
    <row r="332" ht="11.25" customHeight="1">
      <c r="AL332" s="4"/>
    </row>
  </sheetData>
  <sheetProtection formatCells="0" formatColumns="0" formatRows="0" insertColumns="0" insertRows="0" deleteColumns="0" deleteRows="0" selectLockedCells="1" selectUnlockedCells="1"/>
  <autoFilter ref="A6:BE327"/>
  <mergeCells count="10">
    <mergeCell ref="C1:AN1"/>
    <mergeCell ref="AE5:AF5"/>
    <mergeCell ref="Y5:Z5"/>
    <mergeCell ref="G5:H5"/>
    <mergeCell ref="I5:J5"/>
    <mergeCell ref="K5:L5"/>
    <mergeCell ref="M5:N5"/>
    <mergeCell ref="AM2:AM3"/>
    <mergeCell ref="K3:L3"/>
    <mergeCell ref="I3:J3"/>
  </mergeCells>
  <conditionalFormatting sqref="C257:AC257 AE257:AL257 AL192:AL257 C258:AL327 AM7:BE327 C7:AL256">
    <cfRule type="expression" priority="283" dxfId="65">
      <formula>$BE7="SI"</formula>
    </cfRule>
  </conditionalFormatting>
  <conditionalFormatting sqref="AD257">
    <cfRule type="expression" priority="288" dxfId="65">
      <formula>$BE257="SI"</formula>
    </cfRule>
  </conditionalFormatting>
  <conditionalFormatting sqref="BE192:BE321 BE93 BD94:BD321 AN7:AW87 AN89:AW90 AN92:BB93 AX89:BB91 BC7:BC93 AN8:AN327 C7:AM93 C192:BC321">
    <cfRule type="expression" priority="281" dxfId="0">
      <formula>#REF!="x"</formula>
    </cfRule>
  </conditionalFormatting>
  <conditionalFormatting sqref="BE89:BE91 AO91:AW91">
    <cfRule type="expression" priority="290" dxfId="0">
      <formula>#REF!="x"</formula>
    </cfRule>
  </conditionalFormatting>
  <conditionalFormatting sqref="BE92">
    <cfRule type="expression" priority="291" dxfId="0">
      <formula>#REF!="x"</formula>
    </cfRule>
  </conditionalFormatting>
  <conditionalFormatting sqref="BE7:BE88 AO88:AW88 AW8:AW327 AX7:BB327 AO8:AO327">
    <cfRule type="expression" priority="292" dxfId="0">
      <formula>#REF!="x"</formula>
    </cfRule>
  </conditionalFormatting>
  <conditionalFormatting sqref="BE94:BE191 C94:BC191">
    <cfRule type="expression" priority="293" dxfId="0">
      <formula>#REF!="x"</formula>
    </cfRule>
  </conditionalFormatting>
  <conditionalFormatting sqref="BD7:BD88">
    <cfRule type="expression" priority="60" dxfId="0">
      <formula>#REF!="x"</formula>
    </cfRule>
  </conditionalFormatting>
  <conditionalFormatting sqref="BD89:BD91">
    <cfRule type="expression" priority="61" dxfId="0">
      <formula>#REF!="x"</formula>
    </cfRule>
  </conditionalFormatting>
  <conditionalFormatting sqref="BD92:BD93 C322:BE327">
    <cfRule type="expression" priority="62" dxfId="0">
      <formula>#REF!="x"</formula>
    </cfRule>
  </conditionalFormatting>
  <conditionalFormatting sqref="AQ7">
    <cfRule type="expression" priority="57" dxfId="0">
      <formula>#REF!="x"</formula>
    </cfRule>
  </conditionalFormatting>
  <conditionalFormatting sqref="AQ7">
    <cfRule type="expression" priority="56" dxfId="0">
      <formula>#REF!="x"</formula>
    </cfRule>
  </conditionalFormatting>
  <conditionalFormatting sqref="AN131">
    <cfRule type="expression" priority="55" dxfId="0">
      <formula>#REF!="x"</formula>
    </cfRule>
  </conditionalFormatting>
  <conditionalFormatting sqref="AM94">
    <cfRule type="expression" priority="54" dxfId="0">
      <formula>#REF!="x"</formula>
    </cfRule>
  </conditionalFormatting>
  <conditionalFormatting sqref="AM99">
    <cfRule type="expression" priority="53" dxfId="0">
      <formula>#REF!="x"</formula>
    </cfRule>
  </conditionalFormatting>
  <conditionalFormatting sqref="AM103">
    <cfRule type="expression" priority="52" dxfId="0">
      <formula>#REF!="x"</formula>
    </cfRule>
  </conditionalFormatting>
  <conditionalFormatting sqref="AM104">
    <cfRule type="expression" priority="51" dxfId="0">
      <formula>#REF!="x"</formula>
    </cfRule>
  </conditionalFormatting>
  <conditionalFormatting sqref="AM105">
    <cfRule type="expression" priority="50" dxfId="0">
      <formula>#REF!="x"</formula>
    </cfRule>
  </conditionalFormatting>
  <conditionalFormatting sqref="AM106">
    <cfRule type="expression" priority="49" dxfId="0">
      <formula>#REF!="x"</formula>
    </cfRule>
  </conditionalFormatting>
  <conditionalFormatting sqref="AM107">
    <cfRule type="expression" priority="48" dxfId="0">
      <formula>#REF!="x"</formula>
    </cfRule>
  </conditionalFormatting>
  <conditionalFormatting sqref="AM108">
    <cfRule type="expression" priority="47" dxfId="0">
      <formula>#REF!="x"</formula>
    </cfRule>
  </conditionalFormatting>
  <conditionalFormatting sqref="AM109">
    <cfRule type="expression" priority="46" dxfId="0">
      <formula>#REF!="x"</formula>
    </cfRule>
  </conditionalFormatting>
  <conditionalFormatting sqref="AM110">
    <cfRule type="expression" priority="45" dxfId="0">
      <formula>#REF!="x"</formula>
    </cfRule>
  </conditionalFormatting>
  <conditionalFormatting sqref="AM111">
    <cfRule type="expression" priority="44" dxfId="0">
      <formula>#REF!="x"</formula>
    </cfRule>
  </conditionalFormatting>
  <conditionalFormatting sqref="AM113">
    <cfRule type="expression" priority="43" dxfId="0">
      <formula>#REF!="x"</formula>
    </cfRule>
  </conditionalFormatting>
  <conditionalFormatting sqref="AM114">
    <cfRule type="expression" priority="42" dxfId="0">
      <formula>#REF!="x"</formula>
    </cfRule>
  </conditionalFormatting>
  <conditionalFormatting sqref="AM117">
    <cfRule type="expression" priority="41" dxfId="0">
      <formula>#REF!="x"</formula>
    </cfRule>
  </conditionalFormatting>
  <conditionalFormatting sqref="AM119">
    <cfRule type="expression" priority="40" dxfId="0">
      <formula>#REF!="x"</formula>
    </cfRule>
  </conditionalFormatting>
  <conditionalFormatting sqref="AM122">
    <cfRule type="expression" priority="39" dxfId="0">
      <formula>#REF!="x"</formula>
    </cfRule>
  </conditionalFormatting>
  <conditionalFormatting sqref="AM123">
    <cfRule type="expression" priority="38" dxfId="0">
      <formula>#REF!="x"</formula>
    </cfRule>
  </conditionalFormatting>
  <conditionalFormatting sqref="AM124">
    <cfRule type="expression" priority="37" dxfId="0">
      <formula>#REF!="x"</formula>
    </cfRule>
  </conditionalFormatting>
  <conditionalFormatting sqref="AM125">
    <cfRule type="expression" priority="36" dxfId="0">
      <formula>#REF!="x"</formula>
    </cfRule>
  </conditionalFormatting>
  <conditionalFormatting sqref="AM126">
    <cfRule type="expression" priority="35" dxfId="0">
      <formula>#REF!="x"</formula>
    </cfRule>
  </conditionalFormatting>
  <conditionalFormatting sqref="AM128">
    <cfRule type="expression" priority="34" dxfId="0">
      <formula>#REF!="x"</formula>
    </cfRule>
  </conditionalFormatting>
  <conditionalFormatting sqref="AM129">
    <cfRule type="expression" priority="33" dxfId="0">
      <formula>#REF!="x"</formula>
    </cfRule>
  </conditionalFormatting>
  <conditionalFormatting sqref="AM131">
    <cfRule type="expression" priority="32" dxfId="0">
      <formula>#REF!="x"</formula>
    </cfRule>
  </conditionalFormatting>
  <conditionalFormatting sqref="AM132">
    <cfRule type="expression" priority="31" dxfId="0">
      <formula>#REF!="x"</formula>
    </cfRule>
  </conditionalFormatting>
  <conditionalFormatting sqref="AM133">
    <cfRule type="expression" priority="30" dxfId="0">
      <formula>#REF!="x"</formula>
    </cfRule>
  </conditionalFormatting>
  <conditionalFormatting sqref="AM134">
    <cfRule type="expression" priority="29" dxfId="0">
      <formula>#REF!="x"</formula>
    </cfRule>
  </conditionalFormatting>
  <conditionalFormatting sqref="AM135">
    <cfRule type="expression" priority="28" dxfId="0">
      <formula>#REF!="x"</formula>
    </cfRule>
  </conditionalFormatting>
  <conditionalFormatting sqref="AM136">
    <cfRule type="expression" priority="27" dxfId="0">
      <formula>#REF!="x"</formula>
    </cfRule>
  </conditionalFormatting>
  <conditionalFormatting sqref="AM139">
    <cfRule type="expression" priority="26" dxfId="0">
      <formula>#REF!="x"</formula>
    </cfRule>
  </conditionalFormatting>
  <conditionalFormatting sqref="AM141">
    <cfRule type="expression" priority="25" dxfId="0">
      <formula>#REF!="x"</formula>
    </cfRule>
  </conditionalFormatting>
  <conditionalFormatting sqref="AM142">
    <cfRule type="expression" priority="24" dxfId="0">
      <formula>#REF!="x"</formula>
    </cfRule>
  </conditionalFormatting>
  <conditionalFormatting sqref="AM145">
    <cfRule type="expression" priority="23" dxfId="0">
      <formula>#REF!="x"</formula>
    </cfRule>
  </conditionalFormatting>
  <conditionalFormatting sqref="AM146">
    <cfRule type="expression" priority="22" dxfId="0">
      <formula>#REF!="x"</formula>
    </cfRule>
  </conditionalFormatting>
  <conditionalFormatting sqref="AM147">
    <cfRule type="expression" priority="21" dxfId="0">
      <formula>#REF!="x"</formula>
    </cfRule>
  </conditionalFormatting>
  <conditionalFormatting sqref="AM150">
    <cfRule type="expression" priority="20" dxfId="0">
      <formula>#REF!="x"</formula>
    </cfRule>
  </conditionalFormatting>
  <conditionalFormatting sqref="AM153">
    <cfRule type="expression" priority="19" dxfId="0">
      <formula>#REF!="x"</formula>
    </cfRule>
  </conditionalFormatting>
  <conditionalFormatting sqref="AM154">
    <cfRule type="expression" priority="18" dxfId="0">
      <formula>#REF!="x"</formula>
    </cfRule>
  </conditionalFormatting>
  <conditionalFormatting sqref="AM156">
    <cfRule type="expression" priority="17" dxfId="0">
      <formula>#REF!="x"</formula>
    </cfRule>
  </conditionalFormatting>
  <conditionalFormatting sqref="AM159">
    <cfRule type="expression" priority="16" dxfId="0">
      <formula>#REF!="x"</formula>
    </cfRule>
  </conditionalFormatting>
  <conditionalFormatting sqref="AM160">
    <cfRule type="expression" priority="15" dxfId="0">
      <formula>#REF!="x"</formula>
    </cfRule>
  </conditionalFormatting>
  <conditionalFormatting sqref="AM162">
    <cfRule type="expression" priority="14" dxfId="0">
      <formula>#REF!="x"</formula>
    </cfRule>
  </conditionalFormatting>
  <conditionalFormatting sqref="AM163">
    <cfRule type="expression" priority="13" dxfId="0">
      <formula>#REF!="x"</formula>
    </cfRule>
  </conditionalFormatting>
  <conditionalFormatting sqref="AM164">
    <cfRule type="expression" priority="12" dxfId="0">
      <formula>#REF!="x"</formula>
    </cfRule>
  </conditionalFormatting>
  <conditionalFormatting sqref="AM174">
    <cfRule type="expression" priority="11" dxfId="0">
      <formula>#REF!="x"</formula>
    </cfRule>
  </conditionalFormatting>
  <conditionalFormatting sqref="AM175:AM179">
    <cfRule type="expression" priority="10" dxfId="0">
      <formula>#REF!="x"</formula>
    </cfRule>
  </conditionalFormatting>
  <conditionalFormatting sqref="AM179">
    <cfRule type="expression" priority="9" dxfId="0">
      <formula>#REF!="x"</formula>
    </cfRule>
  </conditionalFormatting>
  <conditionalFormatting sqref="AM180">
    <cfRule type="expression" priority="8" dxfId="0">
      <formula>#REF!="x"</formula>
    </cfRule>
  </conditionalFormatting>
  <conditionalFormatting sqref="AM183">
    <cfRule type="expression" priority="7" dxfId="0">
      <formula>#REF!="x"</formula>
    </cfRule>
  </conditionalFormatting>
  <conditionalFormatting sqref="AM184">
    <cfRule type="expression" priority="6" dxfId="0">
      <formula>#REF!="x"</formula>
    </cfRule>
  </conditionalFormatting>
  <conditionalFormatting sqref="AM185">
    <cfRule type="expression" priority="5" dxfId="0">
      <formula>#REF!="x"</formula>
    </cfRule>
  </conditionalFormatting>
  <conditionalFormatting sqref="AM190">
    <cfRule type="expression" priority="4" dxfId="0">
      <formula>#REF!="x"</formula>
    </cfRule>
  </conditionalFormatting>
  <conditionalFormatting sqref="AM191">
    <cfRule type="expression" priority="3" dxfId="0">
      <formula>#REF!="x"</formula>
    </cfRule>
  </conditionalFormatting>
  <conditionalFormatting sqref="AM181:AM182">
    <cfRule type="expression" priority="2" dxfId="0">
      <formula>#REF!="x"</formula>
    </cfRule>
  </conditionalFormatting>
  <conditionalFormatting sqref="AM180">
    <cfRule type="expression" priority="1" dxfId="0">
      <formula>#REF!="x"</formula>
    </cfRule>
  </conditionalFormatting>
  <dataValidations count="1">
    <dataValidation errorStyle="warning" type="list" allowBlank="1" showInputMessage="1" showErrorMessage="1" error="VALOR INCORRECTO" sqref="AM4 H4">
      <formula1>$AO$3:$AO$4</formula1>
    </dataValidation>
  </dataValidations>
  <printOptions/>
  <pageMargins left="0" right="0" top="0.7480314960629921" bottom="0.31496062992125984" header="0.3937007874015748" footer="0"/>
  <pageSetup fitToHeight="0" horizontalDpi="600" verticalDpi="600" orientation="landscape" paperSize="9" scale="110" r:id="rId1"/>
  <headerFooter alignWithMargins="0">
    <oddHeader>&amp;LMinisterio de EducaciónDirección de Recursos Humanos&amp;C&amp;F&amp;RValor del Punto: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17" sqref="D17"/>
    </sheetView>
  </sheetViews>
  <sheetFormatPr defaultColWidth="11.42187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bestFit="1" customWidth="1"/>
    <col min="8" max="8" width="9.00390625" style="0" bestFit="1" customWidth="1"/>
    <col min="9" max="9" width="7.140625" style="0" customWidth="1"/>
    <col min="10" max="10" width="8.00390625" style="0" bestFit="1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</cols>
  <sheetData>
    <row r="1" spans="1:33" ht="25.5" customHeight="1">
      <c r="A1" s="215" t="str">
        <f ca="1">MID(CELL("FILENAME",L41),FIND("[",CELL("FILENAME",L41))+1,FIND("]",CELL("FILENAME",L41))-FIND("[",CELL("FILENAME",L41))-1)</f>
        <v>Esc Doc 2018 10 Cba v1 1 (1).xlsx</v>
      </c>
      <c r="B1" s="215"/>
      <c r="C1" s="215"/>
      <c r="D1" s="215"/>
      <c r="E1" s="215"/>
      <c r="F1" s="215"/>
      <c r="G1" s="215"/>
      <c r="H1" s="215"/>
      <c r="I1" s="215"/>
      <c r="J1" s="2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25" ht="12.75">
      <c r="A2" s="214" t="s">
        <v>445</v>
      </c>
      <c r="B2" s="214"/>
      <c r="C2" s="32">
        <v>0</v>
      </c>
      <c r="D2" s="32"/>
      <c r="E2" s="32"/>
      <c r="F2" s="32"/>
      <c r="G2" s="98"/>
      <c r="H2" s="32"/>
      <c r="I2" s="99"/>
      <c r="J2" s="100"/>
      <c r="K2" s="101"/>
      <c r="Y2" s="7"/>
    </row>
    <row r="3" spans="7:25" ht="12.75" customHeight="1">
      <c r="G3" s="102"/>
      <c r="H3" s="103"/>
      <c r="I3" s="103"/>
      <c r="J3" s="103"/>
      <c r="K3" s="104"/>
      <c r="Q3" s="216" t="s">
        <v>572</v>
      </c>
      <c r="R3" s="216"/>
      <c r="S3" s="216"/>
      <c r="T3" s="217" t="s">
        <v>573</v>
      </c>
      <c r="U3" s="217"/>
      <c r="V3" s="217"/>
      <c r="W3" s="217"/>
      <c r="Y3" s="7"/>
    </row>
    <row r="4" spans="1:25" ht="25.5">
      <c r="A4" s="5"/>
      <c r="B4" s="5"/>
      <c r="C4" s="29" t="s">
        <v>493</v>
      </c>
      <c r="D4" s="6" t="s">
        <v>388</v>
      </c>
      <c r="E4" s="6" t="s">
        <v>574</v>
      </c>
      <c r="F4" s="6" t="s">
        <v>575</v>
      </c>
      <c r="G4" s="94" t="s">
        <v>379</v>
      </c>
      <c r="H4" s="95" t="s">
        <v>365</v>
      </c>
      <c r="I4" s="96" t="s">
        <v>375</v>
      </c>
      <c r="J4" s="97" t="s">
        <v>376</v>
      </c>
      <c r="K4" s="30" t="s">
        <v>375</v>
      </c>
      <c r="Q4" s="170" t="s">
        <v>576</v>
      </c>
      <c r="R4" s="171" t="s">
        <v>577</v>
      </c>
      <c r="S4" s="171" t="s">
        <v>578</v>
      </c>
      <c r="T4" s="175" t="s">
        <v>579</v>
      </c>
      <c r="U4" s="176" t="s">
        <v>580</v>
      </c>
      <c r="V4" s="176" t="s">
        <v>581</v>
      </c>
      <c r="W4" s="176" t="s">
        <v>578</v>
      </c>
      <c r="X4" s="159" t="s">
        <v>582</v>
      </c>
      <c r="Y4" s="159" t="s">
        <v>610</v>
      </c>
    </row>
    <row r="5" spans="1:25" ht="12.75">
      <c r="A5" s="40" t="s">
        <v>1</v>
      </c>
      <c r="B5" s="41" t="s">
        <v>2</v>
      </c>
      <c r="C5" s="43" t="s">
        <v>397</v>
      </c>
      <c r="D5" s="44" t="s">
        <v>401</v>
      </c>
      <c r="E5" s="44" t="s">
        <v>560</v>
      </c>
      <c r="F5" s="45"/>
      <c r="G5" s="45" t="s">
        <v>454</v>
      </c>
      <c r="H5" s="45" t="s">
        <v>402</v>
      </c>
      <c r="I5" s="42" t="s">
        <v>374</v>
      </c>
      <c r="J5" s="46" t="s">
        <v>413</v>
      </c>
      <c r="K5" s="42" t="s">
        <v>378</v>
      </c>
      <c r="L5" s="108" t="s">
        <v>553</v>
      </c>
      <c r="Q5" s="172">
        <v>0.135</v>
      </c>
      <c r="R5" s="173">
        <v>0.025</v>
      </c>
      <c r="S5" s="174">
        <v>0.045</v>
      </c>
      <c r="T5" s="177">
        <v>0.16</v>
      </c>
      <c r="U5" s="178">
        <v>0.01</v>
      </c>
      <c r="V5" s="179">
        <v>0.025</v>
      </c>
      <c r="W5" s="179">
        <v>0.035</v>
      </c>
      <c r="Y5" s="7"/>
    </row>
    <row r="6" spans="1:25" ht="12.75" customHeight="1">
      <c r="A6" s="9" t="s">
        <v>514</v>
      </c>
      <c r="B6" s="10" t="s">
        <v>466</v>
      </c>
      <c r="C6" s="7">
        <f>C9/1.6*1.8</f>
        <v>7750.89</v>
      </c>
      <c r="D6" s="7">
        <f>IF($C$2=0,C6*0.15,0)</f>
        <v>1162.6335</v>
      </c>
      <c r="E6" s="7">
        <v>0</v>
      </c>
      <c r="F6" s="7"/>
      <c r="G6" s="7">
        <f>C6*VLOOKUP($C$2,Valores!$I$1:$J$53,2,FALSE)</f>
        <v>0</v>
      </c>
      <c r="H6" s="7">
        <f>H9/1.6*1.8</f>
        <v>5167.27125</v>
      </c>
      <c r="I6" s="15">
        <f>SUM(C6:H6)</f>
        <v>14080.79475</v>
      </c>
      <c r="J6" s="7">
        <v>0</v>
      </c>
      <c r="K6" s="12">
        <f aca="true" t="shared" si="0" ref="K6:K21">SUM(J6)</f>
        <v>0</v>
      </c>
      <c r="Q6" s="7">
        <f aca="true" t="shared" si="1" ref="Q6:Q28">I6*$Q$5</f>
        <v>1900.90729125</v>
      </c>
      <c r="R6" s="7">
        <f aca="true" t="shared" si="2" ref="R6:R28">I6*$R$5</f>
        <v>352.01986875</v>
      </c>
      <c r="S6" s="7">
        <f aca="true" t="shared" si="3" ref="S6:S28">I6*$S$5</f>
        <v>633.6357637499999</v>
      </c>
      <c r="T6" s="7">
        <f aca="true" t="shared" si="4" ref="T6:T28">I6*$T$5</f>
        <v>2252.9271599999997</v>
      </c>
      <c r="U6" s="7">
        <f aca="true" t="shared" si="5" ref="U6:U28">I6*$U$5</f>
        <v>140.80794749999998</v>
      </c>
      <c r="V6" s="7">
        <f aca="true" t="shared" si="6" ref="V6:V28">I6*$V$5</f>
        <v>352.01986875</v>
      </c>
      <c r="W6" s="7">
        <f aca="true" t="shared" si="7" ref="W6:W28">I6*$W$5</f>
        <v>492.82781625</v>
      </c>
      <c r="X6" s="7">
        <f aca="true" t="shared" si="8" ref="X6:X28">I6+K6+T6+U6+V6+W6</f>
        <v>17319.3775425</v>
      </c>
      <c r="Y6" s="7">
        <f aca="true" t="shared" si="9" ref="Y6:Y21">+I6-SUM(Q6:S6)</f>
        <v>11194.23182625</v>
      </c>
    </row>
    <row r="7" spans="1:25" ht="12.75" customHeight="1">
      <c r="A7" s="93" t="s">
        <v>515</v>
      </c>
      <c r="B7" s="10" t="s">
        <v>468</v>
      </c>
      <c r="C7" s="7">
        <f>C10/1.6*1.8</f>
        <v>15514.02</v>
      </c>
      <c r="D7" s="7">
        <f>IF($C$2=0,C7*0.15,0)</f>
        <v>2327.103</v>
      </c>
      <c r="E7" s="7">
        <v>0</v>
      </c>
      <c r="F7" s="7"/>
      <c r="G7" s="7">
        <f>C7*VLOOKUP($C$2,Valores!$I$1:$J$53,2,FALSE)</f>
        <v>0</v>
      </c>
      <c r="H7" s="7">
        <f>H10/1.6*1.8</f>
        <v>10334.508749999999</v>
      </c>
      <c r="I7" s="15">
        <f aca="true" t="shared" si="10" ref="I7:I19">SUM(C7:H7)</f>
        <v>28175.63175</v>
      </c>
      <c r="J7" s="7">
        <v>0</v>
      </c>
      <c r="K7" s="12">
        <f t="shared" si="0"/>
        <v>0</v>
      </c>
      <c r="M7" s="10" t="s">
        <v>493</v>
      </c>
      <c r="N7" s="63">
        <v>5361.09</v>
      </c>
      <c r="O7" s="63">
        <v>446.76</v>
      </c>
      <c r="Q7" s="7">
        <f t="shared" si="1"/>
        <v>3803.7102862500005</v>
      </c>
      <c r="R7" s="7">
        <f t="shared" si="2"/>
        <v>704.3907937500001</v>
      </c>
      <c r="S7" s="7">
        <f t="shared" si="3"/>
        <v>1267.9034287499999</v>
      </c>
      <c r="T7" s="7">
        <f t="shared" si="4"/>
        <v>4508.10108</v>
      </c>
      <c r="U7" s="7">
        <f t="shared" si="5"/>
        <v>281.7563175</v>
      </c>
      <c r="V7" s="7">
        <f t="shared" si="6"/>
        <v>704.3907937500001</v>
      </c>
      <c r="W7" s="7">
        <f t="shared" si="7"/>
        <v>986.1471112500001</v>
      </c>
      <c r="X7" s="7">
        <f t="shared" si="8"/>
        <v>34656.0270525</v>
      </c>
      <c r="Y7" s="7">
        <f t="shared" si="9"/>
        <v>22399.62724125</v>
      </c>
    </row>
    <row r="8" spans="1:25" ht="12.75" customHeight="1">
      <c r="A8" s="93" t="s">
        <v>516</v>
      </c>
      <c r="B8" s="10" t="s">
        <v>467</v>
      </c>
      <c r="C8" s="7">
        <f>C11/1.6*1.8</f>
        <v>31028.04</v>
      </c>
      <c r="D8" s="7">
        <f>IF($C$2=0,C8*0.15,0)</f>
        <v>4654.206</v>
      </c>
      <c r="E8" s="7">
        <v>0</v>
      </c>
      <c r="F8" s="7"/>
      <c r="G8" s="7">
        <f>C8*VLOOKUP($C$2,Valores!$I$1:$J$53,2,FALSE)</f>
        <v>0</v>
      </c>
      <c r="H8" s="7">
        <f>H11/1.6*1.8</f>
        <v>20669.017499999998</v>
      </c>
      <c r="I8" s="15">
        <f t="shared" si="10"/>
        <v>56351.2635</v>
      </c>
      <c r="J8" s="7">
        <v>0</v>
      </c>
      <c r="K8" s="12">
        <f t="shared" si="0"/>
        <v>0</v>
      </c>
      <c r="M8" s="10" t="s">
        <v>500</v>
      </c>
      <c r="N8" s="63">
        <v>1068</v>
      </c>
      <c r="O8" s="63">
        <v>89</v>
      </c>
      <c r="Q8" s="7">
        <f t="shared" si="1"/>
        <v>7607.420572500001</v>
      </c>
      <c r="R8" s="7">
        <f t="shared" si="2"/>
        <v>1408.7815875000001</v>
      </c>
      <c r="S8" s="7">
        <f t="shared" si="3"/>
        <v>2535.8068574999998</v>
      </c>
      <c r="T8" s="7">
        <f t="shared" si="4"/>
        <v>9016.20216</v>
      </c>
      <c r="U8" s="7">
        <f t="shared" si="5"/>
        <v>563.512635</v>
      </c>
      <c r="V8" s="7">
        <f t="shared" si="6"/>
        <v>1408.7815875000001</v>
      </c>
      <c r="W8" s="7">
        <f t="shared" si="7"/>
        <v>1972.2942225000002</v>
      </c>
      <c r="X8" s="7">
        <f t="shared" si="8"/>
        <v>69312.054105</v>
      </c>
      <c r="Y8" s="7">
        <f t="shared" si="9"/>
        <v>44799.2544825</v>
      </c>
    </row>
    <row r="9" spans="1:25" ht="12.75" customHeight="1">
      <c r="A9" s="47" t="s">
        <v>481</v>
      </c>
      <c r="B9" s="48" t="s">
        <v>469</v>
      </c>
      <c r="C9" s="49">
        <v>6889.68</v>
      </c>
      <c r="D9" s="49">
        <f>IF($C$2=0,C9*0.15,0)</f>
        <v>1033.452</v>
      </c>
      <c r="E9" s="49">
        <v>0</v>
      </c>
      <c r="F9" s="49"/>
      <c r="G9" s="49">
        <f>C9*VLOOKUP($C$2,Valores!$I$1:$J$53,2,FALSE)</f>
        <v>0</v>
      </c>
      <c r="H9" s="49">
        <v>4593.13</v>
      </c>
      <c r="I9" s="50">
        <f t="shared" si="10"/>
        <v>12516.262</v>
      </c>
      <c r="J9" s="49">
        <v>888.69</v>
      </c>
      <c r="K9" s="51">
        <f t="shared" si="0"/>
        <v>888.69</v>
      </c>
      <c r="M9" s="10" t="s">
        <v>501</v>
      </c>
      <c r="N9" s="63">
        <v>1614.824</v>
      </c>
      <c r="O9" s="63">
        <v>134.57866666666666</v>
      </c>
      <c r="Q9" s="7">
        <f t="shared" si="1"/>
        <v>1689.6953700000001</v>
      </c>
      <c r="R9" s="7">
        <f t="shared" si="2"/>
        <v>312.90655000000004</v>
      </c>
      <c r="S9" s="7">
        <f t="shared" si="3"/>
        <v>563.23179</v>
      </c>
      <c r="T9" s="7">
        <f t="shared" si="4"/>
        <v>2002.60192</v>
      </c>
      <c r="U9" s="7">
        <f t="shared" si="5"/>
        <v>125.16262</v>
      </c>
      <c r="V9" s="7">
        <f t="shared" si="6"/>
        <v>312.90655000000004</v>
      </c>
      <c r="W9" s="7">
        <f t="shared" si="7"/>
        <v>438.06917000000004</v>
      </c>
      <c r="X9" s="7">
        <f t="shared" si="8"/>
        <v>16283.692260000002</v>
      </c>
      <c r="Y9" s="7">
        <f t="shared" si="9"/>
        <v>9950.42829</v>
      </c>
    </row>
    <row r="10" spans="1:25" ht="12.75" customHeight="1">
      <c r="A10" s="47" t="s">
        <v>482</v>
      </c>
      <c r="B10" s="48" t="s">
        <v>470</v>
      </c>
      <c r="C10" s="49">
        <v>13790.24</v>
      </c>
      <c r="D10" s="49">
        <f aca="true" t="shared" si="11" ref="D10:D32">IF($C$2=0,C10*0.15,0)</f>
        <v>2068.536</v>
      </c>
      <c r="E10" s="49">
        <v>0</v>
      </c>
      <c r="F10" s="49"/>
      <c r="G10" s="49">
        <f>C10*VLOOKUP($C$2,Valores!$I$1:$J$53,2,FALSE)</f>
        <v>0</v>
      </c>
      <c r="H10" s="49">
        <v>9186.23</v>
      </c>
      <c r="I10" s="50">
        <f t="shared" si="10"/>
        <v>25045.006</v>
      </c>
      <c r="J10" s="49">
        <v>1064.02</v>
      </c>
      <c r="K10" s="51">
        <f t="shared" si="0"/>
        <v>1064.02</v>
      </c>
      <c r="M10" s="10" t="s">
        <v>502</v>
      </c>
      <c r="N10" s="63">
        <v>250.07999999999998</v>
      </c>
      <c r="O10" s="63">
        <v>20.84</v>
      </c>
      <c r="Q10" s="7">
        <f t="shared" si="1"/>
        <v>3381.0758100000003</v>
      </c>
      <c r="R10" s="7">
        <f t="shared" si="2"/>
        <v>626.1251500000001</v>
      </c>
      <c r="S10" s="7">
        <f t="shared" si="3"/>
        <v>1127.02527</v>
      </c>
      <c r="T10" s="7">
        <f t="shared" si="4"/>
        <v>4007.20096</v>
      </c>
      <c r="U10" s="7">
        <f t="shared" si="5"/>
        <v>250.45006</v>
      </c>
      <c r="V10" s="7">
        <f t="shared" si="6"/>
        <v>626.1251500000001</v>
      </c>
      <c r="W10" s="7">
        <f t="shared" si="7"/>
        <v>876.5752100000001</v>
      </c>
      <c r="X10" s="7">
        <f t="shared" si="8"/>
        <v>31869.377379999998</v>
      </c>
      <c r="Y10" s="7">
        <f t="shared" si="9"/>
        <v>19910.77977</v>
      </c>
    </row>
    <row r="11" spans="1:25" ht="12.75" customHeight="1">
      <c r="A11" s="93" t="s">
        <v>517</v>
      </c>
      <c r="B11" s="10" t="s">
        <v>471</v>
      </c>
      <c r="C11" s="7">
        <f>C10*2</f>
        <v>27580.48</v>
      </c>
      <c r="D11" s="7">
        <f t="shared" si="11"/>
        <v>4137.072</v>
      </c>
      <c r="E11" s="7">
        <v>0</v>
      </c>
      <c r="F11" s="7"/>
      <c r="G11" s="7">
        <f>C11*VLOOKUP($C$2,Valores!$I$1:$J$53,2,FALSE)</f>
        <v>0</v>
      </c>
      <c r="H11" s="7">
        <f>H10*2</f>
        <v>18372.46</v>
      </c>
      <c r="I11" s="15">
        <f t="shared" si="10"/>
        <v>50090.012</v>
      </c>
      <c r="J11" s="7">
        <v>0</v>
      </c>
      <c r="K11" s="12">
        <f t="shared" si="0"/>
        <v>0</v>
      </c>
      <c r="M11" s="10" t="s">
        <v>503</v>
      </c>
      <c r="N11" s="63">
        <v>546</v>
      </c>
      <c r="O11" s="63">
        <v>45.5</v>
      </c>
      <c r="Q11" s="7">
        <f t="shared" si="1"/>
        <v>6762.151620000001</v>
      </c>
      <c r="R11" s="7">
        <f t="shared" si="2"/>
        <v>1252.2503000000002</v>
      </c>
      <c r="S11" s="7">
        <f t="shared" si="3"/>
        <v>2254.05054</v>
      </c>
      <c r="T11" s="7">
        <f t="shared" si="4"/>
        <v>8014.40192</v>
      </c>
      <c r="U11" s="7">
        <f t="shared" si="5"/>
        <v>500.90012</v>
      </c>
      <c r="V11" s="7">
        <f t="shared" si="6"/>
        <v>1252.2503000000002</v>
      </c>
      <c r="W11" s="7">
        <f t="shared" si="7"/>
        <v>1753.1504200000002</v>
      </c>
      <c r="X11" s="7">
        <f t="shared" si="8"/>
        <v>61610.71476</v>
      </c>
      <c r="Y11" s="7">
        <f t="shared" si="9"/>
        <v>39821.55954</v>
      </c>
    </row>
    <row r="12" spans="1:25" ht="12.75" customHeight="1">
      <c r="A12" s="93" t="s">
        <v>518</v>
      </c>
      <c r="B12" s="10" t="s">
        <v>472</v>
      </c>
      <c r="C12" s="7">
        <f>C9/1.6*1.4</f>
        <v>6028.47</v>
      </c>
      <c r="D12" s="7">
        <f t="shared" si="11"/>
        <v>904.2705</v>
      </c>
      <c r="E12" s="7">
        <v>0</v>
      </c>
      <c r="F12" s="7"/>
      <c r="G12" s="7">
        <f>C12*VLOOKUP($C$2,Valores!$I$1:$J$53,2,FALSE)</f>
        <v>0</v>
      </c>
      <c r="H12" s="7">
        <f>H9/1.6*1.4</f>
        <v>4018.9887499999995</v>
      </c>
      <c r="I12" s="15">
        <f t="shared" si="10"/>
        <v>10951.72925</v>
      </c>
      <c r="J12" s="7">
        <v>0</v>
      </c>
      <c r="K12" s="12">
        <f t="shared" si="0"/>
        <v>0</v>
      </c>
      <c r="M12" s="10" t="s">
        <v>504</v>
      </c>
      <c r="N12" s="63">
        <v>62.04</v>
      </c>
      <c r="O12" s="63">
        <v>5.17</v>
      </c>
      <c r="Q12" s="7">
        <f t="shared" si="1"/>
        <v>1478.4834487500002</v>
      </c>
      <c r="R12" s="7">
        <f t="shared" si="2"/>
        <v>273.79323125</v>
      </c>
      <c r="S12" s="7">
        <f t="shared" si="3"/>
        <v>492.82781625</v>
      </c>
      <c r="T12" s="7">
        <f t="shared" si="4"/>
        <v>1752.2766800000002</v>
      </c>
      <c r="U12" s="7">
        <f t="shared" si="5"/>
        <v>109.51729250000001</v>
      </c>
      <c r="V12" s="7">
        <f t="shared" si="6"/>
        <v>273.79323125</v>
      </c>
      <c r="W12" s="7">
        <f t="shared" si="7"/>
        <v>383.3105237500001</v>
      </c>
      <c r="X12" s="7">
        <f t="shared" si="8"/>
        <v>13470.626977500002</v>
      </c>
      <c r="Y12" s="7">
        <f t="shared" si="9"/>
        <v>8706.62475375</v>
      </c>
    </row>
    <row r="13" spans="1:25" ht="12.75" customHeight="1">
      <c r="A13" s="93" t="s">
        <v>519</v>
      </c>
      <c r="B13" s="10" t="s">
        <v>473</v>
      </c>
      <c r="C13" s="7">
        <f>C10/1.6*1.4</f>
        <v>12066.46</v>
      </c>
      <c r="D13" s="7">
        <f t="shared" si="11"/>
        <v>1809.9689999999998</v>
      </c>
      <c r="E13" s="7">
        <v>0</v>
      </c>
      <c r="F13" s="7"/>
      <c r="G13" s="7">
        <f>C13*VLOOKUP($C$2,Valores!$I$1:$J$53,2,FALSE)</f>
        <v>0</v>
      </c>
      <c r="H13" s="7">
        <f>H10/1.6*1.4</f>
        <v>8037.951249999998</v>
      </c>
      <c r="I13" s="15">
        <f t="shared" si="10"/>
        <v>21914.380249999995</v>
      </c>
      <c r="J13" s="7">
        <v>0</v>
      </c>
      <c r="K13" s="12">
        <f t="shared" si="0"/>
        <v>0</v>
      </c>
      <c r="M13" s="10" t="s">
        <v>566</v>
      </c>
      <c r="N13" s="63">
        <v>175</v>
      </c>
      <c r="O13" s="63"/>
      <c r="Q13" s="7">
        <f t="shared" si="1"/>
        <v>2958.4413337499996</v>
      </c>
      <c r="R13" s="7">
        <f t="shared" si="2"/>
        <v>547.8595062499999</v>
      </c>
      <c r="S13" s="7">
        <f t="shared" si="3"/>
        <v>986.1471112499997</v>
      </c>
      <c r="T13" s="7">
        <f t="shared" si="4"/>
        <v>3506.3008399999994</v>
      </c>
      <c r="U13" s="7">
        <f t="shared" si="5"/>
        <v>219.14380249999996</v>
      </c>
      <c r="V13" s="7">
        <f t="shared" si="6"/>
        <v>547.8595062499999</v>
      </c>
      <c r="W13" s="7">
        <f t="shared" si="7"/>
        <v>767.0033087499999</v>
      </c>
      <c r="X13" s="7">
        <f t="shared" si="8"/>
        <v>26954.687707499994</v>
      </c>
      <c r="Y13" s="7">
        <f t="shared" si="9"/>
        <v>17421.932298749995</v>
      </c>
    </row>
    <row r="14" spans="1:25" ht="12.75" customHeight="1">
      <c r="A14" s="93" t="s">
        <v>520</v>
      </c>
      <c r="B14" s="10" t="s">
        <v>474</v>
      </c>
      <c r="C14" s="7">
        <f>C11/1.6*1.4</f>
        <v>24132.92</v>
      </c>
      <c r="D14" s="7">
        <f t="shared" si="11"/>
        <v>3619.9379999999996</v>
      </c>
      <c r="E14" s="7">
        <v>0</v>
      </c>
      <c r="F14" s="7"/>
      <c r="G14" s="7">
        <f>C14*VLOOKUP($C$2,Valores!$I$1:$J$53,2,FALSE)</f>
        <v>0</v>
      </c>
      <c r="H14" s="7">
        <f>H11/1.6*1.4</f>
        <v>16075.902499999997</v>
      </c>
      <c r="I14" s="15">
        <f t="shared" si="10"/>
        <v>43828.76049999999</v>
      </c>
      <c r="J14" s="7">
        <v>0</v>
      </c>
      <c r="K14" s="12">
        <f t="shared" si="0"/>
        <v>0</v>
      </c>
      <c r="M14" s="10" t="s">
        <v>567</v>
      </c>
      <c r="N14" s="63">
        <v>50</v>
      </c>
      <c r="O14" s="63"/>
      <c r="Q14" s="7">
        <f t="shared" si="1"/>
        <v>5916.882667499999</v>
      </c>
      <c r="R14" s="7">
        <f t="shared" si="2"/>
        <v>1095.7190124999997</v>
      </c>
      <c r="S14" s="7">
        <f t="shared" si="3"/>
        <v>1972.2942224999995</v>
      </c>
      <c r="T14" s="7">
        <f t="shared" si="4"/>
        <v>7012.601679999999</v>
      </c>
      <c r="U14" s="7">
        <f t="shared" si="5"/>
        <v>438.2876049999999</v>
      </c>
      <c r="V14" s="7">
        <f t="shared" si="6"/>
        <v>1095.7190124999997</v>
      </c>
      <c r="W14" s="7">
        <f t="shared" si="7"/>
        <v>1534.0066174999997</v>
      </c>
      <c r="X14" s="7">
        <f t="shared" si="8"/>
        <v>53909.37541499999</v>
      </c>
      <c r="Y14" s="7">
        <f t="shared" si="9"/>
        <v>34843.86459749999</v>
      </c>
    </row>
    <row r="15" spans="1:25" ht="12.75" customHeight="1">
      <c r="A15" s="93" t="s">
        <v>521</v>
      </c>
      <c r="B15" s="10" t="s">
        <v>475</v>
      </c>
      <c r="C15" s="7">
        <f>C9/1.6*1.2</f>
        <v>5167.26</v>
      </c>
      <c r="D15" s="7">
        <f t="shared" si="11"/>
        <v>775.089</v>
      </c>
      <c r="E15" s="7">
        <v>0</v>
      </c>
      <c r="F15" s="7"/>
      <c r="G15" s="7">
        <f>C15*VLOOKUP($C$2,Valores!$I$1:$J$53,2,FALSE)</f>
        <v>0</v>
      </c>
      <c r="H15" s="7">
        <f>H9/1.6*1.2</f>
        <v>3444.8474999999994</v>
      </c>
      <c r="I15" s="15">
        <f t="shared" si="10"/>
        <v>9387.1965</v>
      </c>
      <c r="J15" s="7">
        <v>0</v>
      </c>
      <c r="K15" s="12">
        <f t="shared" si="0"/>
        <v>0</v>
      </c>
      <c r="M15" s="10" t="s">
        <v>505</v>
      </c>
      <c r="N15" s="63">
        <v>51.599999999999994</v>
      </c>
      <c r="O15" s="63">
        <v>4.3</v>
      </c>
      <c r="Q15" s="7">
        <f t="shared" si="1"/>
        <v>1267.2715275</v>
      </c>
      <c r="R15" s="7">
        <f t="shared" si="2"/>
        <v>234.6799125</v>
      </c>
      <c r="S15" s="7">
        <f t="shared" si="3"/>
        <v>422.4238425</v>
      </c>
      <c r="T15" s="7">
        <f t="shared" si="4"/>
        <v>1501.95144</v>
      </c>
      <c r="U15" s="7">
        <f t="shared" si="5"/>
        <v>93.871965</v>
      </c>
      <c r="V15" s="7">
        <f t="shared" si="6"/>
        <v>234.6799125</v>
      </c>
      <c r="W15" s="7">
        <f t="shared" si="7"/>
        <v>328.55187750000005</v>
      </c>
      <c r="X15" s="7">
        <f t="shared" si="8"/>
        <v>11546.251695</v>
      </c>
      <c r="Y15" s="7">
        <f t="shared" si="9"/>
        <v>7462.8212175</v>
      </c>
    </row>
    <row r="16" spans="1:25" ht="12.75" customHeight="1">
      <c r="A16" s="93" t="s">
        <v>522</v>
      </c>
      <c r="B16" s="10" t="s">
        <v>476</v>
      </c>
      <c r="C16" s="7">
        <f>C10/1.6*1.2</f>
        <v>10342.679999999998</v>
      </c>
      <c r="D16" s="7">
        <f t="shared" si="11"/>
        <v>1551.4019999999998</v>
      </c>
      <c r="E16" s="7">
        <v>0</v>
      </c>
      <c r="F16" s="7"/>
      <c r="G16" s="7">
        <f>C16*VLOOKUP($C$2,Valores!$I$1:$J$53,2,FALSE)</f>
        <v>0</v>
      </c>
      <c r="H16" s="7">
        <f>H10/1.6*1.2</f>
        <v>6889.672499999999</v>
      </c>
      <c r="I16" s="15">
        <f t="shared" si="10"/>
        <v>18783.754499999995</v>
      </c>
      <c r="J16" s="7">
        <v>0</v>
      </c>
      <c r="K16" s="12">
        <f t="shared" si="0"/>
        <v>0</v>
      </c>
      <c r="M16" s="64" t="s">
        <v>494</v>
      </c>
      <c r="N16" s="65">
        <f>SUM(N7:N15)</f>
        <v>9178.634000000002</v>
      </c>
      <c r="O16" s="63">
        <f>INT((SUM(O7:O15)*100)+0.5)/100</f>
        <v>746.15</v>
      </c>
      <c r="Q16" s="7">
        <f t="shared" si="1"/>
        <v>2535.8068574999998</v>
      </c>
      <c r="R16" s="7">
        <f t="shared" si="2"/>
        <v>469.5938624999999</v>
      </c>
      <c r="S16" s="7">
        <f t="shared" si="3"/>
        <v>845.2689524999997</v>
      </c>
      <c r="T16" s="7">
        <f t="shared" si="4"/>
        <v>3005.400719999999</v>
      </c>
      <c r="U16" s="7">
        <f t="shared" si="5"/>
        <v>187.83754499999995</v>
      </c>
      <c r="V16" s="7">
        <f t="shared" si="6"/>
        <v>469.5938624999999</v>
      </c>
      <c r="W16" s="7">
        <f t="shared" si="7"/>
        <v>657.4314074999999</v>
      </c>
      <c r="X16" s="7">
        <f t="shared" si="8"/>
        <v>23104.018034999994</v>
      </c>
      <c r="Y16" s="7">
        <f t="shared" si="9"/>
        <v>14933.084827499995</v>
      </c>
    </row>
    <row r="17" spans="1:25" ht="12.75" customHeight="1">
      <c r="A17" s="93" t="s">
        <v>523</v>
      </c>
      <c r="B17" s="10" t="s">
        <v>477</v>
      </c>
      <c r="C17" s="7">
        <f>C11/1.6*1.2</f>
        <v>20685.359999999997</v>
      </c>
      <c r="D17" s="7">
        <f t="shared" si="11"/>
        <v>3102.8039999999996</v>
      </c>
      <c r="E17" s="7">
        <v>0</v>
      </c>
      <c r="F17" s="7"/>
      <c r="G17" s="7">
        <f>C17*VLOOKUP($C$2,Valores!$I$1:$J$53,2,FALSE)</f>
        <v>0</v>
      </c>
      <c r="H17" s="7">
        <f>H11/1.6*1.2</f>
        <v>13779.344999999998</v>
      </c>
      <c r="I17" s="15">
        <f t="shared" si="10"/>
        <v>37567.50899999999</v>
      </c>
      <c r="J17" s="7">
        <v>0</v>
      </c>
      <c r="K17" s="12">
        <f t="shared" si="0"/>
        <v>0</v>
      </c>
      <c r="M17" s="10"/>
      <c r="N17" s="63"/>
      <c r="O17" s="63">
        <f>O16*12*1.2</f>
        <v>10744.56</v>
      </c>
      <c r="Q17" s="7">
        <f t="shared" si="1"/>
        <v>5071.6137149999995</v>
      </c>
      <c r="R17" s="7">
        <f t="shared" si="2"/>
        <v>939.1877249999998</v>
      </c>
      <c r="S17" s="7">
        <f t="shared" si="3"/>
        <v>1690.5379049999995</v>
      </c>
      <c r="T17" s="7">
        <f t="shared" si="4"/>
        <v>6010.801439999998</v>
      </c>
      <c r="U17" s="7">
        <f t="shared" si="5"/>
        <v>375.6750899999999</v>
      </c>
      <c r="V17" s="7">
        <f t="shared" si="6"/>
        <v>939.1877249999998</v>
      </c>
      <c r="W17" s="7">
        <f t="shared" si="7"/>
        <v>1314.8628149999997</v>
      </c>
      <c r="X17" s="7">
        <f t="shared" si="8"/>
        <v>46208.03606999999</v>
      </c>
      <c r="Y17" s="7">
        <f t="shared" si="9"/>
        <v>29866.16965499999</v>
      </c>
    </row>
    <row r="18" spans="1:25" ht="12.75" customHeight="1">
      <c r="A18" s="93" t="s">
        <v>524</v>
      </c>
      <c r="B18" s="10" t="s">
        <v>478</v>
      </c>
      <c r="C18" s="7">
        <f>C6/1.6</f>
        <v>4844.30625</v>
      </c>
      <c r="D18" s="7">
        <f t="shared" si="11"/>
        <v>726.6459375</v>
      </c>
      <c r="E18" s="7">
        <v>0</v>
      </c>
      <c r="F18" s="7"/>
      <c r="G18" s="7">
        <f>C18*VLOOKUP($C$2,Valores!$I$1:$J$53,2,FALSE)</f>
        <v>0</v>
      </c>
      <c r="H18" s="7">
        <f>H6/1.6</f>
        <v>3229.5445312499996</v>
      </c>
      <c r="I18" s="15">
        <f t="shared" si="10"/>
        <v>8800.496718749999</v>
      </c>
      <c r="J18" s="7">
        <v>0</v>
      </c>
      <c r="K18" s="12">
        <f t="shared" si="0"/>
        <v>0</v>
      </c>
      <c r="M18" s="10" t="s">
        <v>506</v>
      </c>
      <c r="N18" s="63">
        <v>200.04000000000002</v>
      </c>
      <c r="O18" s="63">
        <v>16.67</v>
      </c>
      <c r="P18" s="7"/>
      <c r="Q18" s="7">
        <f t="shared" si="1"/>
        <v>1188.06705703125</v>
      </c>
      <c r="R18" s="7">
        <f t="shared" si="2"/>
        <v>220.01241796875</v>
      </c>
      <c r="S18" s="7">
        <f t="shared" si="3"/>
        <v>396.02235234374996</v>
      </c>
      <c r="T18" s="7">
        <f t="shared" si="4"/>
        <v>1408.0794749999998</v>
      </c>
      <c r="U18" s="7">
        <f t="shared" si="5"/>
        <v>88.00496718749999</v>
      </c>
      <c r="V18" s="7">
        <f t="shared" si="6"/>
        <v>220.01241796875</v>
      </c>
      <c r="W18" s="7">
        <f t="shared" si="7"/>
        <v>308.01738515625</v>
      </c>
      <c r="X18" s="7">
        <f t="shared" si="8"/>
        <v>10824.6109640625</v>
      </c>
      <c r="Y18" s="7">
        <f t="shared" si="9"/>
        <v>6996.394891406249</v>
      </c>
    </row>
    <row r="19" spans="1:25" ht="12.75" customHeight="1">
      <c r="A19" s="93" t="s">
        <v>525</v>
      </c>
      <c r="B19" s="10" t="s">
        <v>479</v>
      </c>
      <c r="C19" s="7">
        <f>C10/1.6</f>
        <v>8618.9</v>
      </c>
      <c r="D19" s="7">
        <f t="shared" si="11"/>
        <v>1292.8349999999998</v>
      </c>
      <c r="E19" s="7">
        <v>0</v>
      </c>
      <c r="F19" s="7"/>
      <c r="G19" s="7">
        <f>C19*VLOOKUP($C$2,Valores!$I$1:$J$53,2,FALSE)</f>
        <v>0</v>
      </c>
      <c r="H19" s="7">
        <f>H10/1.6</f>
        <v>5741.393749999999</v>
      </c>
      <c r="I19" s="15">
        <f t="shared" si="10"/>
        <v>15653.128749999998</v>
      </c>
      <c r="J19" s="7">
        <v>0</v>
      </c>
      <c r="K19" s="12">
        <f t="shared" si="0"/>
        <v>0</v>
      </c>
      <c r="M19" s="10" t="s">
        <v>507</v>
      </c>
      <c r="N19" s="63" t="e">
        <v>#REF!</v>
      </c>
      <c r="O19" s="63">
        <f>390/12</f>
        <v>32.5</v>
      </c>
      <c r="Q19" s="7">
        <f t="shared" si="1"/>
        <v>2113.17238125</v>
      </c>
      <c r="R19" s="7">
        <f t="shared" si="2"/>
        <v>391.32821874999996</v>
      </c>
      <c r="S19" s="7">
        <f t="shared" si="3"/>
        <v>704.3907937499998</v>
      </c>
      <c r="T19" s="7">
        <f t="shared" si="4"/>
        <v>2504.5006</v>
      </c>
      <c r="U19" s="7">
        <f t="shared" si="5"/>
        <v>156.5312875</v>
      </c>
      <c r="V19" s="7">
        <f t="shared" si="6"/>
        <v>391.32821874999996</v>
      </c>
      <c r="W19" s="7">
        <f t="shared" si="7"/>
        <v>547.85950625</v>
      </c>
      <c r="X19" s="7">
        <f t="shared" si="8"/>
        <v>19253.3483625</v>
      </c>
      <c r="Y19" s="7">
        <f t="shared" si="9"/>
        <v>12444.237356249998</v>
      </c>
    </row>
    <row r="20" spans="1:25" ht="12.75" customHeight="1">
      <c r="A20" s="93" t="s">
        <v>526</v>
      </c>
      <c r="B20" s="10" t="s">
        <v>480</v>
      </c>
      <c r="C20" s="7">
        <f>C11/1.6</f>
        <v>17237.8</v>
      </c>
      <c r="D20" s="7">
        <f t="shared" si="11"/>
        <v>2585.6699999999996</v>
      </c>
      <c r="E20" s="7">
        <v>0</v>
      </c>
      <c r="F20" s="7"/>
      <c r="G20" s="7">
        <f>C20*VLOOKUP($C$2,Valores!$I$1:$J$53,2,FALSE)</f>
        <v>0</v>
      </c>
      <c r="H20" s="7">
        <f>H11/1.6</f>
        <v>11482.787499999999</v>
      </c>
      <c r="I20" s="15">
        <f>SUM(C20:H20)</f>
        <v>31306.257499999996</v>
      </c>
      <c r="J20" s="7">
        <v>0</v>
      </c>
      <c r="K20" s="12">
        <f t="shared" si="0"/>
        <v>0</v>
      </c>
      <c r="M20" s="64" t="s">
        <v>495</v>
      </c>
      <c r="N20" s="65" t="e">
        <f>SUM(N18:N19)</f>
        <v>#REF!</v>
      </c>
      <c r="O20" s="63">
        <f>SUM(O18:O19)*12</f>
        <v>590.04</v>
      </c>
      <c r="Q20" s="7">
        <f t="shared" si="1"/>
        <v>4226.3447625</v>
      </c>
      <c r="R20" s="7">
        <f t="shared" si="2"/>
        <v>782.6564374999999</v>
      </c>
      <c r="S20" s="7">
        <f t="shared" si="3"/>
        <v>1408.7815874999997</v>
      </c>
      <c r="T20" s="7">
        <f t="shared" si="4"/>
        <v>5009.0012</v>
      </c>
      <c r="U20" s="7">
        <f t="shared" si="5"/>
        <v>313.062575</v>
      </c>
      <c r="V20" s="7">
        <f t="shared" si="6"/>
        <v>782.6564374999999</v>
      </c>
      <c r="W20" s="7">
        <f t="shared" si="7"/>
        <v>1095.7190125</v>
      </c>
      <c r="X20" s="7">
        <f t="shared" si="8"/>
        <v>38506.696725</v>
      </c>
      <c r="Y20" s="7">
        <f t="shared" si="9"/>
        <v>24888.474712499996</v>
      </c>
    </row>
    <row r="21" spans="1:25" ht="12.75" customHeight="1">
      <c r="A21" s="93" t="s">
        <v>583</v>
      </c>
      <c r="B21" s="10" t="s">
        <v>611</v>
      </c>
      <c r="C21" s="7">
        <v>688.97</v>
      </c>
      <c r="D21" s="7">
        <f t="shared" si="11"/>
        <v>103.3455</v>
      </c>
      <c r="E21" s="7">
        <v>0</v>
      </c>
      <c r="F21" s="7"/>
      <c r="G21" s="7">
        <f>C21*VLOOKUP($C$2,Valores!$I$1:$J$53,2,FALSE)</f>
        <v>0</v>
      </c>
      <c r="H21" s="7">
        <v>459.3149</v>
      </c>
      <c r="I21" s="15">
        <f>SUM(C21:H21)</f>
        <v>1251.6304</v>
      </c>
      <c r="J21" s="7">
        <v>88.67</v>
      </c>
      <c r="K21" s="12">
        <f t="shared" si="0"/>
        <v>88.67</v>
      </c>
      <c r="M21" s="64"/>
      <c r="N21" s="65"/>
      <c r="O21" s="63"/>
      <c r="Q21" s="7">
        <f t="shared" si="1"/>
        <v>168.97010400000002</v>
      </c>
      <c r="R21" s="7">
        <f t="shared" si="2"/>
        <v>31.290760000000002</v>
      </c>
      <c r="S21" s="7">
        <f t="shared" si="3"/>
        <v>56.323367999999995</v>
      </c>
      <c r="T21" s="7">
        <f t="shared" si="4"/>
        <v>200.260864</v>
      </c>
      <c r="U21" s="7">
        <f t="shared" si="5"/>
        <v>12.516304</v>
      </c>
      <c r="V21" s="7">
        <f t="shared" si="6"/>
        <v>31.290760000000002</v>
      </c>
      <c r="W21" s="7">
        <f t="shared" si="7"/>
        <v>43.807064000000004</v>
      </c>
      <c r="X21" s="7">
        <f t="shared" si="8"/>
        <v>1628.1753920000003</v>
      </c>
      <c r="Y21" s="7">
        <f t="shared" si="9"/>
        <v>995.046168</v>
      </c>
    </row>
    <row r="22" spans="1:25" ht="12.75" customHeight="1">
      <c r="A22" s="93" t="s">
        <v>583</v>
      </c>
      <c r="B22" s="10" t="s">
        <v>612</v>
      </c>
      <c r="C22" s="7">
        <v>1377.94</v>
      </c>
      <c r="D22" s="7">
        <f t="shared" si="11"/>
        <v>206.691</v>
      </c>
      <c r="E22" s="7">
        <v>0</v>
      </c>
      <c r="F22" s="7"/>
      <c r="G22" s="7">
        <f>C22*VLOOKUP($C$2,Valores!$I$1:$J$53,2,FALSE)</f>
        <v>0</v>
      </c>
      <c r="H22" s="7">
        <v>918.63</v>
      </c>
      <c r="I22" s="15">
        <f aca="true" t="shared" si="12" ref="I22:I32">SUM(C22:H22)</f>
        <v>2503.261</v>
      </c>
      <c r="J22" s="7">
        <v>177.34</v>
      </c>
      <c r="K22" s="12">
        <f aca="true" t="shared" si="13" ref="K22:K32">SUM(J22)</f>
        <v>177.34</v>
      </c>
      <c r="M22" s="64"/>
      <c r="N22" s="65"/>
      <c r="O22" s="63"/>
      <c r="Q22" s="7">
        <f t="shared" si="1"/>
        <v>337.94023500000003</v>
      </c>
      <c r="R22" s="7">
        <f t="shared" si="2"/>
        <v>62.581525</v>
      </c>
      <c r="S22" s="7">
        <f t="shared" si="3"/>
        <v>112.646745</v>
      </c>
      <c r="T22" s="7">
        <f t="shared" si="4"/>
        <v>400.52176000000003</v>
      </c>
      <c r="U22" s="7">
        <f t="shared" si="5"/>
        <v>25.032610000000002</v>
      </c>
      <c r="V22" s="7">
        <f t="shared" si="6"/>
        <v>62.581525</v>
      </c>
      <c r="W22" s="7">
        <f t="shared" si="7"/>
        <v>87.614135</v>
      </c>
      <c r="X22" s="7">
        <f t="shared" si="8"/>
        <v>3256.3510300000003</v>
      </c>
      <c r="Y22" s="7">
        <f aca="true" t="shared" si="14" ref="Y22:Y28">+I22-SUM(Q22:S22)</f>
        <v>1990.0924949999999</v>
      </c>
    </row>
    <row r="23" spans="1:25" ht="12.75" customHeight="1">
      <c r="A23" s="93" t="s">
        <v>583</v>
      </c>
      <c r="B23" s="10" t="s">
        <v>613</v>
      </c>
      <c r="C23" s="7">
        <v>2066.9</v>
      </c>
      <c r="D23" s="7">
        <f t="shared" si="11"/>
        <v>310.035</v>
      </c>
      <c r="E23" s="7">
        <v>0</v>
      </c>
      <c r="F23" s="7"/>
      <c r="G23" s="7">
        <f>C23*VLOOKUP($C$2,Valores!$I$1:$J$53,2,FALSE)</f>
        <v>0</v>
      </c>
      <c r="H23" s="7">
        <f>$H$21*3</f>
        <v>1377.9447</v>
      </c>
      <c r="I23" s="15">
        <f t="shared" si="12"/>
        <v>3754.8797</v>
      </c>
      <c r="J23" s="7">
        <v>266.01</v>
      </c>
      <c r="K23" s="12">
        <f t="shared" si="13"/>
        <v>266.01</v>
      </c>
      <c r="M23" s="64"/>
      <c r="N23" s="65"/>
      <c r="O23" s="63"/>
      <c r="Q23" s="7">
        <f t="shared" si="1"/>
        <v>506.90875950000003</v>
      </c>
      <c r="R23" s="7">
        <f t="shared" si="2"/>
        <v>93.8719925</v>
      </c>
      <c r="S23" s="7">
        <f t="shared" si="3"/>
        <v>168.9695865</v>
      </c>
      <c r="T23" s="7">
        <f t="shared" si="4"/>
        <v>600.780752</v>
      </c>
      <c r="U23" s="7">
        <f t="shared" si="5"/>
        <v>37.548797</v>
      </c>
      <c r="V23" s="7">
        <f t="shared" si="6"/>
        <v>93.8719925</v>
      </c>
      <c r="W23" s="7">
        <f t="shared" si="7"/>
        <v>131.4207895</v>
      </c>
      <c r="X23" s="7">
        <f t="shared" si="8"/>
        <v>4884.512030999999</v>
      </c>
      <c r="Y23" s="7">
        <f t="shared" si="14"/>
        <v>2985.1293615</v>
      </c>
    </row>
    <row r="24" spans="1:25" ht="12.75" customHeight="1">
      <c r="A24" s="93" t="s">
        <v>583</v>
      </c>
      <c r="B24" s="10" t="s">
        <v>614</v>
      </c>
      <c r="C24" s="7">
        <v>2755.87</v>
      </c>
      <c r="D24" s="7">
        <f t="shared" si="11"/>
        <v>413.3805</v>
      </c>
      <c r="E24" s="7">
        <v>0</v>
      </c>
      <c r="F24" s="7"/>
      <c r="G24" s="7">
        <f>C24*VLOOKUP($C$2,Valores!$I$1:$J$53,2,FALSE)</f>
        <v>0</v>
      </c>
      <c r="H24" s="7">
        <v>1837.25</v>
      </c>
      <c r="I24" s="15">
        <f t="shared" si="12"/>
        <v>5006.5005</v>
      </c>
      <c r="J24" s="7">
        <v>354.68</v>
      </c>
      <c r="K24" s="12">
        <f t="shared" si="13"/>
        <v>354.68</v>
      </c>
      <c r="M24" s="64"/>
      <c r="N24" s="65"/>
      <c r="O24" s="63"/>
      <c r="Q24" s="7">
        <f t="shared" si="1"/>
        <v>675.8775675</v>
      </c>
      <c r="R24" s="7">
        <f t="shared" si="2"/>
        <v>125.1625125</v>
      </c>
      <c r="S24" s="7">
        <f t="shared" si="3"/>
        <v>225.2925225</v>
      </c>
      <c r="T24" s="7">
        <f t="shared" si="4"/>
        <v>801.04008</v>
      </c>
      <c r="U24" s="7">
        <f t="shared" si="5"/>
        <v>50.065005</v>
      </c>
      <c r="V24" s="7">
        <f t="shared" si="6"/>
        <v>125.1625125</v>
      </c>
      <c r="W24" s="7">
        <f t="shared" si="7"/>
        <v>175.22751750000003</v>
      </c>
      <c r="X24" s="7">
        <f t="shared" si="8"/>
        <v>6512.675615000001</v>
      </c>
      <c r="Y24" s="7">
        <f t="shared" si="14"/>
        <v>3980.1678975</v>
      </c>
    </row>
    <row r="25" spans="1:25" ht="12.75" customHeight="1">
      <c r="A25" s="93" t="s">
        <v>583</v>
      </c>
      <c r="B25" s="10" t="s">
        <v>615</v>
      </c>
      <c r="C25" s="7">
        <v>3444.84</v>
      </c>
      <c r="D25" s="7">
        <f t="shared" si="11"/>
        <v>516.726</v>
      </c>
      <c r="E25" s="7">
        <v>0</v>
      </c>
      <c r="F25" s="7"/>
      <c r="G25" s="7">
        <f>C25*VLOOKUP($C$2,Valores!$I$1:$J$53,2,FALSE)</f>
        <v>0</v>
      </c>
      <c r="H25" s="7">
        <v>2296.57</v>
      </c>
      <c r="I25" s="15">
        <f t="shared" si="12"/>
        <v>6258.136</v>
      </c>
      <c r="J25" s="7">
        <v>443.35</v>
      </c>
      <c r="K25" s="12">
        <f t="shared" si="13"/>
        <v>443.35</v>
      </c>
      <c r="M25" s="64"/>
      <c r="N25" s="65"/>
      <c r="O25" s="63"/>
      <c r="Q25" s="7">
        <f t="shared" si="1"/>
        <v>844.8483600000001</v>
      </c>
      <c r="R25" s="7">
        <f t="shared" si="2"/>
        <v>156.45340000000002</v>
      </c>
      <c r="S25" s="7">
        <f t="shared" si="3"/>
        <v>281.61612</v>
      </c>
      <c r="T25" s="7">
        <f t="shared" si="4"/>
        <v>1001.3017600000001</v>
      </c>
      <c r="U25" s="7">
        <f t="shared" si="5"/>
        <v>62.581360000000004</v>
      </c>
      <c r="V25" s="7">
        <f t="shared" si="6"/>
        <v>156.45340000000002</v>
      </c>
      <c r="W25" s="7">
        <f t="shared" si="7"/>
        <v>219.03476000000003</v>
      </c>
      <c r="X25" s="7">
        <f t="shared" si="8"/>
        <v>8140.857280000002</v>
      </c>
      <c r="Y25" s="7">
        <f t="shared" si="14"/>
        <v>4975.21812</v>
      </c>
    </row>
    <row r="26" spans="1:25" ht="12.75" customHeight="1">
      <c r="A26" s="93" t="s">
        <v>583</v>
      </c>
      <c r="B26" s="10" t="s">
        <v>616</v>
      </c>
      <c r="C26" s="7">
        <v>4133.81</v>
      </c>
      <c r="D26" s="7">
        <f t="shared" si="11"/>
        <v>620.0715</v>
      </c>
      <c r="E26" s="7">
        <v>0</v>
      </c>
      <c r="F26" s="7"/>
      <c r="G26" s="7">
        <f>C26*VLOOKUP($C$2,Valores!$I$1:$J$53,2,FALSE)</f>
        <v>0</v>
      </c>
      <c r="H26" s="7">
        <v>2755.88</v>
      </c>
      <c r="I26" s="15">
        <f t="shared" si="12"/>
        <v>7509.7615000000005</v>
      </c>
      <c r="J26" s="7">
        <v>532.01</v>
      </c>
      <c r="K26" s="12">
        <f t="shared" si="13"/>
        <v>532.01</v>
      </c>
      <c r="M26" s="64"/>
      <c r="N26" s="65"/>
      <c r="O26" s="63"/>
      <c r="Q26" s="7">
        <f t="shared" si="1"/>
        <v>1013.8178025000001</v>
      </c>
      <c r="R26" s="7">
        <f t="shared" si="2"/>
        <v>187.74403750000002</v>
      </c>
      <c r="S26" s="7">
        <f t="shared" si="3"/>
        <v>337.9392675</v>
      </c>
      <c r="T26" s="7">
        <f t="shared" si="4"/>
        <v>1201.56184</v>
      </c>
      <c r="U26" s="7">
        <f t="shared" si="5"/>
        <v>75.097615</v>
      </c>
      <c r="V26" s="7">
        <f t="shared" si="6"/>
        <v>187.74403750000002</v>
      </c>
      <c r="W26" s="7">
        <f t="shared" si="7"/>
        <v>262.84165250000007</v>
      </c>
      <c r="X26" s="7">
        <f t="shared" si="8"/>
        <v>9769.016645000002</v>
      </c>
      <c r="Y26" s="7">
        <f t="shared" si="14"/>
        <v>5970.2603925</v>
      </c>
    </row>
    <row r="27" spans="1:25" ht="12.75" customHeight="1">
      <c r="A27" s="93" t="s">
        <v>583</v>
      </c>
      <c r="B27" s="10" t="s">
        <v>617</v>
      </c>
      <c r="C27" s="7">
        <v>4822.78</v>
      </c>
      <c r="D27" s="7">
        <f t="shared" si="11"/>
        <v>723.4169999999999</v>
      </c>
      <c r="E27" s="7">
        <v>0</v>
      </c>
      <c r="F27" s="7"/>
      <c r="G27" s="7">
        <f>C27*VLOOKUP($C$2,Valores!$I$1:$J$53,2,FALSE)</f>
        <v>0</v>
      </c>
      <c r="H27" s="7">
        <v>3215.19</v>
      </c>
      <c r="I27" s="15">
        <f t="shared" si="12"/>
        <v>8761.387</v>
      </c>
      <c r="J27" s="7">
        <v>620.68</v>
      </c>
      <c r="K27" s="12">
        <f t="shared" si="13"/>
        <v>620.68</v>
      </c>
      <c r="M27" s="64"/>
      <c r="N27" s="65"/>
      <c r="O27" s="63"/>
      <c r="Q27" s="7">
        <f t="shared" si="1"/>
        <v>1182.7872450000002</v>
      </c>
      <c r="R27" s="7">
        <f t="shared" si="2"/>
        <v>219.03467500000002</v>
      </c>
      <c r="S27" s="7">
        <f t="shared" si="3"/>
        <v>394.26241500000003</v>
      </c>
      <c r="T27" s="7">
        <f t="shared" si="4"/>
        <v>1401.82192</v>
      </c>
      <c r="U27" s="7">
        <f t="shared" si="5"/>
        <v>87.61387</v>
      </c>
      <c r="V27" s="7">
        <f t="shared" si="6"/>
        <v>219.03467500000002</v>
      </c>
      <c r="W27" s="7">
        <f t="shared" si="7"/>
        <v>306.64854500000007</v>
      </c>
      <c r="X27" s="7">
        <f t="shared" si="8"/>
        <v>11397.186010000001</v>
      </c>
      <c r="Y27" s="7">
        <f t="shared" si="14"/>
        <v>6965.302665</v>
      </c>
    </row>
    <row r="28" spans="1:25" ht="12.75" customHeight="1">
      <c r="A28" s="93" t="s">
        <v>583</v>
      </c>
      <c r="B28" s="10" t="s">
        <v>618</v>
      </c>
      <c r="C28" s="7">
        <v>5511.75</v>
      </c>
      <c r="D28" s="7">
        <f t="shared" si="11"/>
        <v>826.7624999999999</v>
      </c>
      <c r="E28" s="7">
        <v>0</v>
      </c>
      <c r="F28" s="7"/>
      <c r="G28" s="7">
        <f>C28*VLOOKUP($C$2,Valores!$I$1:$J$53,2,FALSE)</f>
        <v>0</v>
      </c>
      <c r="H28" s="7">
        <v>3674.5</v>
      </c>
      <c r="I28" s="15">
        <f t="shared" si="12"/>
        <v>10013.0125</v>
      </c>
      <c r="J28" s="7">
        <v>709.35</v>
      </c>
      <c r="K28" s="12">
        <f t="shared" si="13"/>
        <v>709.35</v>
      </c>
      <c r="M28" s="64"/>
      <c r="N28" s="65"/>
      <c r="O28" s="63"/>
      <c r="Q28" s="7">
        <f t="shared" si="1"/>
        <v>1351.7566875000002</v>
      </c>
      <c r="R28" s="7">
        <f t="shared" si="2"/>
        <v>250.32531250000002</v>
      </c>
      <c r="S28" s="7">
        <f t="shared" si="3"/>
        <v>450.58556250000004</v>
      </c>
      <c r="T28" s="7">
        <f t="shared" si="4"/>
        <v>1602.082</v>
      </c>
      <c r="U28" s="7">
        <f t="shared" si="5"/>
        <v>100.130125</v>
      </c>
      <c r="V28" s="7">
        <f t="shared" si="6"/>
        <v>250.32531250000002</v>
      </c>
      <c r="W28" s="7">
        <f t="shared" si="7"/>
        <v>350.4554375000001</v>
      </c>
      <c r="X28" s="7">
        <f t="shared" si="8"/>
        <v>13025.355375000001</v>
      </c>
      <c r="Y28" s="7">
        <f t="shared" si="14"/>
        <v>7960.3449375</v>
      </c>
    </row>
    <row r="29" spans="1:25" ht="12.75" customHeight="1">
      <c r="A29" s="93" t="s">
        <v>583</v>
      </c>
      <c r="B29" s="10" t="s">
        <v>633</v>
      </c>
      <c r="C29" s="7">
        <v>6200.71</v>
      </c>
      <c r="D29" s="7">
        <f t="shared" si="11"/>
        <v>930.1065</v>
      </c>
      <c r="E29" s="7"/>
      <c r="F29" s="7"/>
      <c r="G29" s="7">
        <f>C29*VLOOKUP($C$2,Valores!$I$1:$J$53,2,FALSE)</f>
        <v>0</v>
      </c>
      <c r="H29" s="7">
        <v>4133.82</v>
      </c>
      <c r="I29" s="15">
        <f t="shared" si="12"/>
        <v>11264.6365</v>
      </c>
      <c r="J29" s="7">
        <v>798.02</v>
      </c>
      <c r="K29" s="12">
        <f t="shared" si="13"/>
        <v>798.02</v>
      </c>
      <c r="M29" s="64"/>
      <c r="N29" s="65"/>
      <c r="O29" s="63"/>
      <c r="Q29" s="7"/>
      <c r="R29" s="7"/>
      <c r="S29" s="7"/>
      <c r="T29" s="7"/>
      <c r="U29" s="7"/>
      <c r="V29" s="7"/>
      <c r="W29" s="7"/>
      <c r="X29" s="7"/>
      <c r="Y29" s="7"/>
    </row>
    <row r="30" spans="1:25" ht="12.75" customHeight="1">
      <c r="A30" s="93" t="s">
        <v>583</v>
      </c>
      <c r="B30" s="10" t="s">
        <v>634</v>
      </c>
      <c r="C30" s="7">
        <v>6889.68</v>
      </c>
      <c r="D30" s="7">
        <f t="shared" si="11"/>
        <v>1033.452</v>
      </c>
      <c r="E30" s="7"/>
      <c r="F30" s="7"/>
      <c r="G30" s="7">
        <f>C30*VLOOKUP($C$2,Valores!$I$1:$J$53,2,FALSE)</f>
        <v>0</v>
      </c>
      <c r="H30" s="7">
        <v>4593.13</v>
      </c>
      <c r="I30" s="15">
        <f t="shared" si="12"/>
        <v>12516.262</v>
      </c>
      <c r="J30" s="7">
        <v>886.69</v>
      </c>
      <c r="K30" s="12">
        <f t="shared" si="13"/>
        <v>886.69</v>
      </c>
      <c r="M30" s="64"/>
      <c r="N30" s="65"/>
      <c r="O30" s="63"/>
      <c r="Q30" s="7"/>
      <c r="R30" s="7"/>
      <c r="S30" s="7"/>
      <c r="T30" s="7"/>
      <c r="U30" s="7"/>
      <c r="V30" s="7"/>
      <c r="W30" s="7"/>
      <c r="X30" s="7"/>
      <c r="Y30" s="7"/>
    </row>
    <row r="31" spans="1:25" ht="12.75" customHeight="1">
      <c r="A31" s="93" t="s">
        <v>583</v>
      </c>
      <c r="B31" s="10" t="s">
        <v>635</v>
      </c>
      <c r="C31" s="7">
        <v>7878.65</v>
      </c>
      <c r="D31" s="7">
        <f t="shared" si="11"/>
        <v>1181.7975</v>
      </c>
      <c r="E31" s="7"/>
      <c r="F31" s="7"/>
      <c r="G31" s="7">
        <f>C31*VLOOKUP($C$2,Valores!$I$1:$J$53,2,FALSE)</f>
        <v>0</v>
      </c>
      <c r="H31" s="7">
        <v>5052.44</v>
      </c>
      <c r="I31" s="15">
        <f t="shared" si="12"/>
        <v>14112.8875</v>
      </c>
      <c r="J31" s="7">
        <v>975.36</v>
      </c>
      <c r="K31" s="12">
        <f t="shared" si="13"/>
        <v>975.36</v>
      </c>
      <c r="M31" s="64"/>
      <c r="N31" s="65"/>
      <c r="O31" s="63"/>
      <c r="Q31" s="7"/>
      <c r="R31" s="7"/>
      <c r="S31" s="7"/>
      <c r="T31" s="7"/>
      <c r="U31" s="7"/>
      <c r="V31" s="7"/>
      <c r="W31" s="7"/>
      <c r="X31" s="7"/>
      <c r="Y31" s="7"/>
    </row>
    <row r="32" spans="1:25" ht="12.75" customHeight="1">
      <c r="A32" s="93" t="s">
        <v>583</v>
      </c>
      <c r="B32" s="10" t="s">
        <v>636</v>
      </c>
      <c r="C32" s="7">
        <v>8567.62</v>
      </c>
      <c r="D32" s="7">
        <f t="shared" si="11"/>
        <v>1285.143</v>
      </c>
      <c r="E32" s="7"/>
      <c r="F32" s="7"/>
      <c r="G32" s="7">
        <f>C32*VLOOKUP($C$2,Valores!$I$1:$J$53,2,FALSE)</f>
        <v>0</v>
      </c>
      <c r="H32" s="7">
        <v>5511.75</v>
      </c>
      <c r="I32" s="15">
        <f t="shared" si="12"/>
        <v>15364.513</v>
      </c>
      <c r="J32" s="7">
        <v>1064.03</v>
      </c>
      <c r="K32" s="12">
        <f t="shared" si="13"/>
        <v>1064.03</v>
      </c>
      <c r="M32" s="64"/>
      <c r="N32" s="65"/>
      <c r="O32" s="63"/>
      <c r="Q32" s="7"/>
      <c r="R32" s="7"/>
      <c r="S32" s="7"/>
      <c r="T32" s="7"/>
      <c r="U32" s="7"/>
      <c r="V32" s="7"/>
      <c r="W32" s="7"/>
      <c r="X32" s="7"/>
      <c r="Y32" s="7"/>
    </row>
    <row r="33" spans="1:25" ht="12.75" customHeight="1">
      <c r="A33" s="93"/>
      <c r="B33" s="10"/>
      <c r="C33" s="7"/>
      <c r="D33" s="7"/>
      <c r="E33" s="7"/>
      <c r="F33" s="7"/>
      <c r="G33" s="7"/>
      <c r="H33" s="7"/>
      <c r="I33" s="15"/>
      <c r="J33" s="7"/>
      <c r="K33" s="12"/>
      <c r="M33" s="64"/>
      <c r="N33" s="65"/>
      <c r="O33" s="63"/>
      <c r="Q33" s="7"/>
      <c r="R33" s="7"/>
      <c r="S33" s="7"/>
      <c r="T33" s="7"/>
      <c r="U33" s="7"/>
      <c r="V33" s="7"/>
      <c r="W33" s="7"/>
      <c r="X33" s="7">
        <f>I33+K33+T33+U33+V33+W33</f>
        <v>0</v>
      </c>
      <c r="Y33" s="7">
        <f>+I33-SUM(Q33:S33)</f>
        <v>0</v>
      </c>
    </row>
    <row r="34" spans="1:25" ht="12.75" customHeight="1">
      <c r="A34" s="165"/>
      <c r="B34" s="166"/>
      <c r="C34" s="167"/>
      <c r="D34" s="167"/>
      <c r="E34" s="167"/>
      <c r="F34" s="167"/>
      <c r="G34" s="167"/>
      <c r="H34" s="167"/>
      <c r="I34" s="168"/>
      <c r="J34" s="167"/>
      <c r="K34" s="169"/>
      <c r="M34" s="64"/>
      <c r="N34" s="65"/>
      <c r="O34" s="63"/>
      <c r="Q34" s="164">
        <v>0.11</v>
      </c>
      <c r="R34" s="164">
        <v>0.05</v>
      </c>
      <c r="S34" s="163">
        <v>0.045</v>
      </c>
      <c r="T34" s="160">
        <v>0.16</v>
      </c>
      <c r="U34" s="161">
        <v>0</v>
      </c>
      <c r="V34" s="162">
        <v>0</v>
      </c>
      <c r="W34" s="162">
        <v>0.035</v>
      </c>
      <c r="X34" s="7" t="s">
        <v>619</v>
      </c>
      <c r="Y34" s="7"/>
    </row>
    <row r="35" spans="1:25" ht="12.75" customHeight="1">
      <c r="A35" s="93" t="s">
        <v>533</v>
      </c>
      <c r="B35" s="10" t="s">
        <v>534</v>
      </c>
      <c r="C35" s="7">
        <v>51328.46</v>
      </c>
      <c r="D35" s="7">
        <v>0</v>
      </c>
      <c r="E35" s="7">
        <v>574.89</v>
      </c>
      <c r="F35" s="7">
        <v>4043.48</v>
      </c>
      <c r="G35" s="7">
        <f>C35*0.0225*$C$2</f>
        <v>0</v>
      </c>
      <c r="H35" s="7">
        <v>0</v>
      </c>
      <c r="I35" s="15">
        <f>SUM(C35:H35)</f>
        <v>55946.83</v>
      </c>
      <c r="J35" s="7">
        <v>0</v>
      </c>
      <c r="K35" s="7">
        <f>SUM(J35)</f>
        <v>0</v>
      </c>
      <c r="L35" s="109" t="s">
        <v>554</v>
      </c>
      <c r="Q35" s="7">
        <f>I35*$Q$5</f>
        <v>7552.822050000001</v>
      </c>
      <c r="R35" s="7">
        <f>I35*$R$5</f>
        <v>1398.6707500000002</v>
      </c>
      <c r="S35" s="7">
        <f aca="true" t="shared" si="15" ref="S35:S47">I35*$S$5</f>
        <v>2517.6073499999998</v>
      </c>
      <c r="T35" s="7">
        <f aca="true" t="shared" si="16" ref="T35:T47">I35*$T$34</f>
        <v>8951.4928</v>
      </c>
      <c r="U35" s="7">
        <f aca="true" t="shared" si="17" ref="U35:U47">I35*$U$34</f>
        <v>0</v>
      </c>
      <c r="V35" s="7">
        <f aca="true" t="shared" si="18" ref="V35:V47">I35*$V$34</f>
        <v>0</v>
      </c>
      <c r="W35" s="7">
        <f aca="true" t="shared" si="19" ref="W35:W47">I35*$W$34</f>
        <v>1958.1390500000002</v>
      </c>
      <c r="X35" s="7">
        <f aca="true" t="shared" si="20" ref="X35:X47">I35+K35+T35+U35+V35+W35</f>
        <v>66856.46185</v>
      </c>
      <c r="Y35" s="7">
        <f aca="true" t="shared" si="21" ref="Y35:Y47">+I35-SUM(Q35:S35)</f>
        <v>44477.72985</v>
      </c>
    </row>
    <row r="36" spans="1:25" ht="12.75" customHeight="1">
      <c r="A36" s="93" t="s">
        <v>527</v>
      </c>
      <c r="B36" s="10" t="s">
        <v>528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5">
        <f aca="true" t="shared" si="22" ref="I36:I47">SUM(C36:H36)</f>
        <v>0</v>
      </c>
      <c r="J36" s="7">
        <v>0</v>
      </c>
      <c r="K36" s="7">
        <f>SUM(J36)</f>
        <v>0</v>
      </c>
      <c r="L36" s="109" t="s">
        <v>552</v>
      </c>
      <c r="M36" s="10" t="s">
        <v>508</v>
      </c>
      <c r="N36" s="63">
        <v>5314.29</v>
      </c>
      <c r="O36" s="63">
        <v>3542.86</v>
      </c>
      <c r="Q36" s="7">
        <f>I36*$Q$5</f>
        <v>0</v>
      </c>
      <c r="R36" s="7">
        <f>I36*$R$5</f>
        <v>0</v>
      </c>
      <c r="S36" s="7">
        <f t="shared" si="15"/>
        <v>0</v>
      </c>
      <c r="T36" s="7">
        <f t="shared" si="16"/>
        <v>0</v>
      </c>
      <c r="U36" s="7">
        <f t="shared" si="17"/>
        <v>0</v>
      </c>
      <c r="V36" s="7">
        <f t="shared" si="18"/>
        <v>0</v>
      </c>
      <c r="W36" s="7">
        <f t="shared" si="19"/>
        <v>0</v>
      </c>
      <c r="X36" s="7">
        <f t="shared" si="20"/>
        <v>0</v>
      </c>
      <c r="Y36" s="7">
        <f t="shared" si="21"/>
        <v>0</v>
      </c>
    </row>
    <row r="37" spans="1:25" ht="12.75" customHeight="1">
      <c r="A37" s="93" t="s">
        <v>529</v>
      </c>
      <c r="B37" s="10" t="s">
        <v>530</v>
      </c>
      <c r="C37" s="7">
        <v>140966.51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5">
        <f t="shared" si="22"/>
        <v>140966.51</v>
      </c>
      <c r="J37" s="7">
        <v>0</v>
      </c>
      <c r="K37" s="7">
        <f>SUM(J37)</f>
        <v>0</v>
      </c>
      <c r="L37" s="109" t="s">
        <v>551</v>
      </c>
      <c r="M37" s="10" t="s">
        <v>509</v>
      </c>
      <c r="N37" s="63">
        <v>10628.58</v>
      </c>
      <c r="O37" s="63">
        <v>7085.72</v>
      </c>
      <c r="Q37" s="7">
        <f>I37*0.088</f>
        <v>12405.05288</v>
      </c>
      <c r="R37" s="7">
        <f>I37*0.07203875</f>
        <v>10155.0511722625</v>
      </c>
      <c r="S37" s="7">
        <f t="shared" si="15"/>
        <v>6343.49295</v>
      </c>
      <c r="T37" s="7">
        <f t="shared" si="16"/>
        <v>22554.641600000003</v>
      </c>
      <c r="U37" s="7">
        <f t="shared" si="17"/>
        <v>0</v>
      </c>
      <c r="V37" s="7">
        <f t="shared" si="18"/>
        <v>0</v>
      </c>
      <c r="W37" s="7">
        <f t="shared" si="19"/>
        <v>4933.827850000001</v>
      </c>
      <c r="X37" s="7">
        <f t="shared" si="20"/>
        <v>168454.97945</v>
      </c>
      <c r="Y37" s="7">
        <f t="shared" si="21"/>
        <v>112062.91299773751</v>
      </c>
    </row>
    <row r="38" spans="1:25" ht="12.75" customHeight="1">
      <c r="A38" s="93" t="s">
        <v>562</v>
      </c>
      <c r="B38" s="10" t="s">
        <v>561</v>
      </c>
      <c r="C38" s="7">
        <v>122846.6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5">
        <f t="shared" si="22"/>
        <v>122846.6</v>
      </c>
      <c r="J38" s="7"/>
      <c r="K38" s="7"/>
      <c r="L38" s="109"/>
      <c r="Q38" s="7">
        <f>I38*0.0826645</f>
        <v>10155.0527657</v>
      </c>
      <c r="R38" s="7">
        <f>I38*0.0773355</f>
        <v>9500.4032343</v>
      </c>
      <c r="S38" s="7">
        <f t="shared" si="15"/>
        <v>5528.097</v>
      </c>
      <c r="T38" s="7">
        <f t="shared" si="16"/>
        <v>19655.456000000002</v>
      </c>
      <c r="U38" s="7">
        <f t="shared" si="17"/>
        <v>0</v>
      </c>
      <c r="V38" s="7">
        <f t="shared" si="18"/>
        <v>0</v>
      </c>
      <c r="W38" s="7">
        <f t="shared" si="19"/>
        <v>4299.631</v>
      </c>
      <c r="X38" s="7">
        <f t="shared" si="20"/>
        <v>146801.687</v>
      </c>
      <c r="Y38" s="7">
        <f t="shared" si="21"/>
        <v>97663.047</v>
      </c>
    </row>
    <row r="39" spans="1:25" ht="12.75" customHeight="1">
      <c r="A39" s="93" t="s">
        <v>531</v>
      </c>
      <c r="B39" s="10" t="s">
        <v>532</v>
      </c>
      <c r="C39" s="7">
        <v>91295.03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5">
        <f t="shared" si="22"/>
        <v>91295.03</v>
      </c>
      <c r="J39" s="7">
        <v>0</v>
      </c>
      <c r="K39" s="7">
        <f aca="true" t="shared" si="23" ref="K39:K47">SUM(J39)</f>
        <v>0</v>
      </c>
      <c r="L39" s="109" t="s">
        <v>554</v>
      </c>
      <c r="Q39" s="7">
        <f>I39*$Q$34</f>
        <v>10042.4533</v>
      </c>
      <c r="R39" s="7">
        <f>I39*$R$34</f>
        <v>4564.7515</v>
      </c>
      <c r="S39" s="7">
        <f t="shared" si="15"/>
        <v>4108.27635</v>
      </c>
      <c r="T39" s="7">
        <f t="shared" si="16"/>
        <v>14607.2048</v>
      </c>
      <c r="U39" s="7">
        <f t="shared" si="17"/>
        <v>0</v>
      </c>
      <c r="V39" s="7">
        <f t="shared" si="18"/>
        <v>0</v>
      </c>
      <c r="W39" s="7">
        <f t="shared" si="19"/>
        <v>3195.32605</v>
      </c>
      <c r="X39" s="7">
        <f t="shared" si="20"/>
        <v>109097.56085000001</v>
      </c>
      <c r="Y39" s="7">
        <f t="shared" si="21"/>
        <v>72579.54884999999</v>
      </c>
    </row>
    <row r="40" spans="1:25" ht="12.75" customHeight="1">
      <c r="A40" s="93" t="s">
        <v>535</v>
      </c>
      <c r="B40" s="10" t="s">
        <v>536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5">
        <f t="shared" si="22"/>
        <v>0</v>
      </c>
      <c r="J40" s="7">
        <v>0</v>
      </c>
      <c r="K40" s="7">
        <f t="shared" si="23"/>
        <v>0</v>
      </c>
      <c r="L40" s="109" t="s">
        <v>554</v>
      </c>
      <c r="Q40" s="7">
        <f>I40*$Q$5</f>
        <v>0</v>
      </c>
      <c r="R40" s="7">
        <f>I40*$R$5</f>
        <v>0</v>
      </c>
      <c r="S40" s="7">
        <f t="shared" si="15"/>
        <v>0</v>
      </c>
      <c r="T40" s="7">
        <f t="shared" si="16"/>
        <v>0</v>
      </c>
      <c r="U40" s="7">
        <f t="shared" si="17"/>
        <v>0</v>
      </c>
      <c r="V40" s="7">
        <f t="shared" si="18"/>
        <v>0</v>
      </c>
      <c r="W40" s="7">
        <f t="shared" si="19"/>
        <v>0</v>
      </c>
      <c r="X40" s="7">
        <f t="shared" si="20"/>
        <v>0</v>
      </c>
      <c r="Y40" s="7">
        <f t="shared" si="21"/>
        <v>0</v>
      </c>
    </row>
    <row r="41" spans="1:25" ht="12.75">
      <c r="A41" s="93" t="s">
        <v>537</v>
      </c>
      <c r="B41" s="10" t="s">
        <v>538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5">
        <f t="shared" si="22"/>
        <v>0</v>
      </c>
      <c r="J41" s="7">
        <v>0</v>
      </c>
      <c r="K41" s="7">
        <f t="shared" si="23"/>
        <v>0</v>
      </c>
      <c r="L41" s="109" t="s">
        <v>554</v>
      </c>
      <c r="Q41" s="7">
        <f>I41*$Q$5</f>
        <v>0</v>
      </c>
      <c r="R41" s="7">
        <f>I41*$R$5</f>
        <v>0</v>
      </c>
      <c r="S41" s="7">
        <f t="shared" si="15"/>
        <v>0</v>
      </c>
      <c r="T41" s="7">
        <f t="shared" si="16"/>
        <v>0</v>
      </c>
      <c r="U41" s="7">
        <f t="shared" si="17"/>
        <v>0</v>
      </c>
      <c r="V41" s="7">
        <f t="shared" si="18"/>
        <v>0</v>
      </c>
      <c r="W41" s="7">
        <f t="shared" si="19"/>
        <v>0</v>
      </c>
      <c r="X41" s="7">
        <f t="shared" si="20"/>
        <v>0</v>
      </c>
      <c r="Y41" s="7">
        <f t="shared" si="21"/>
        <v>0</v>
      </c>
    </row>
    <row r="42" spans="1:25" ht="12.75">
      <c r="A42" s="93" t="s">
        <v>539</v>
      </c>
      <c r="B42" s="10" t="s">
        <v>540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5">
        <f t="shared" si="22"/>
        <v>0</v>
      </c>
      <c r="J42" s="7">
        <v>0</v>
      </c>
      <c r="K42" s="7">
        <f t="shared" si="23"/>
        <v>0</v>
      </c>
      <c r="L42" s="109" t="s">
        <v>554</v>
      </c>
      <c r="Q42" s="7">
        <f>I42*$Q$5</f>
        <v>0</v>
      </c>
      <c r="R42" s="7">
        <f>I42*$R$5</f>
        <v>0</v>
      </c>
      <c r="S42" s="7">
        <f t="shared" si="15"/>
        <v>0</v>
      </c>
      <c r="T42" s="7">
        <f t="shared" si="16"/>
        <v>0</v>
      </c>
      <c r="U42" s="7">
        <f t="shared" si="17"/>
        <v>0</v>
      </c>
      <c r="V42" s="7">
        <f t="shared" si="18"/>
        <v>0</v>
      </c>
      <c r="W42" s="7">
        <f t="shared" si="19"/>
        <v>0</v>
      </c>
      <c r="X42" s="7">
        <f t="shared" si="20"/>
        <v>0</v>
      </c>
      <c r="Y42" s="7">
        <f t="shared" si="21"/>
        <v>0</v>
      </c>
    </row>
    <row r="43" spans="1:25" ht="12.75">
      <c r="A43" s="93" t="s">
        <v>563</v>
      </c>
      <c r="B43" s="10" t="s">
        <v>564</v>
      </c>
      <c r="C43" s="7">
        <v>51328.46</v>
      </c>
      <c r="D43" s="7">
        <v>0</v>
      </c>
      <c r="E43" s="7">
        <v>574.89</v>
      </c>
      <c r="F43" s="7">
        <v>4043.48</v>
      </c>
      <c r="G43" s="7">
        <f>C43*0.0225*$C$2</f>
        <v>0</v>
      </c>
      <c r="H43" s="7">
        <v>0</v>
      </c>
      <c r="I43" s="15">
        <f t="shared" si="22"/>
        <v>55946.83</v>
      </c>
      <c r="J43" s="7">
        <v>0</v>
      </c>
      <c r="K43" s="7">
        <f t="shared" si="23"/>
        <v>0</v>
      </c>
      <c r="L43" s="109"/>
      <c r="Q43" s="7">
        <f>I43*$Q$34</f>
        <v>6154.1513</v>
      </c>
      <c r="R43" s="7">
        <f>I43*$R$34</f>
        <v>2797.3415000000005</v>
      </c>
      <c r="S43" s="7">
        <f t="shared" si="15"/>
        <v>2517.6073499999998</v>
      </c>
      <c r="T43" s="7">
        <f t="shared" si="16"/>
        <v>8951.4928</v>
      </c>
      <c r="U43" s="7">
        <f t="shared" si="17"/>
        <v>0</v>
      </c>
      <c r="V43" s="7">
        <f t="shared" si="18"/>
        <v>0</v>
      </c>
      <c r="W43" s="7">
        <f t="shared" si="19"/>
        <v>1958.1390500000002</v>
      </c>
      <c r="X43" s="7">
        <f t="shared" si="20"/>
        <v>66856.46185</v>
      </c>
      <c r="Y43" s="7">
        <f t="shared" si="21"/>
        <v>44477.72985</v>
      </c>
    </row>
    <row r="44" spans="1:25" ht="12.75" customHeight="1">
      <c r="A44" s="93" t="s">
        <v>541</v>
      </c>
      <c r="B44" s="10" t="s">
        <v>542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5">
        <f t="shared" si="22"/>
        <v>0</v>
      </c>
      <c r="J44" s="7">
        <v>0</v>
      </c>
      <c r="K44" s="7">
        <f t="shared" si="23"/>
        <v>0</v>
      </c>
      <c r="L44" s="109" t="s">
        <v>552</v>
      </c>
      <c r="Q44" s="7">
        <f>I44*$Q$5</f>
        <v>0</v>
      </c>
      <c r="R44" s="7">
        <f>I44*$R$5</f>
        <v>0</v>
      </c>
      <c r="S44" s="7">
        <f t="shared" si="15"/>
        <v>0</v>
      </c>
      <c r="T44" s="7">
        <f t="shared" si="16"/>
        <v>0</v>
      </c>
      <c r="U44" s="7">
        <f t="shared" si="17"/>
        <v>0</v>
      </c>
      <c r="V44" s="7">
        <f t="shared" si="18"/>
        <v>0</v>
      </c>
      <c r="W44" s="7">
        <f t="shared" si="19"/>
        <v>0</v>
      </c>
      <c r="X44" s="7">
        <f t="shared" si="20"/>
        <v>0</v>
      </c>
      <c r="Y44" s="7">
        <f t="shared" si="21"/>
        <v>0</v>
      </c>
    </row>
    <row r="45" spans="1:25" ht="12.75" customHeight="1">
      <c r="A45" s="93" t="s">
        <v>543</v>
      </c>
      <c r="B45" s="10" t="s">
        <v>544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15">
        <f t="shared" si="22"/>
        <v>0</v>
      </c>
      <c r="J45" s="7">
        <v>0</v>
      </c>
      <c r="K45" s="7">
        <f t="shared" si="23"/>
        <v>0</v>
      </c>
      <c r="L45" s="109" t="s">
        <v>552</v>
      </c>
      <c r="Q45" s="7">
        <f>I45*$Q$5</f>
        <v>0</v>
      </c>
      <c r="R45" s="7">
        <f>I45*$R$5</f>
        <v>0</v>
      </c>
      <c r="S45" s="7">
        <f t="shared" si="15"/>
        <v>0</v>
      </c>
      <c r="T45" s="7">
        <f t="shared" si="16"/>
        <v>0</v>
      </c>
      <c r="U45" s="7">
        <f t="shared" si="17"/>
        <v>0</v>
      </c>
      <c r="V45" s="7">
        <f t="shared" si="18"/>
        <v>0</v>
      </c>
      <c r="W45" s="7">
        <f t="shared" si="19"/>
        <v>0</v>
      </c>
      <c r="X45" s="7">
        <f t="shared" si="20"/>
        <v>0</v>
      </c>
      <c r="Y45" s="7">
        <f t="shared" si="21"/>
        <v>0</v>
      </c>
    </row>
    <row r="46" spans="1:25" ht="12.75" customHeight="1">
      <c r="A46" s="93" t="s">
        <v>545</v>
      </c>
      <c r="B46" s="10" t="s">
        <v>546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5">
        <f t="shared" si="22"/>
        <v>0</v>
      </c>
      <c r="J46" s="7">
        <v>0</v>
      </c>
      <c r="K46" s="7">
        <f t="shared" si="23"/>
        <v>0</v>
      </c>
      <c r="L46" s="109" t="s">
        <v>552</v>
      </c>
      <c r="Q46" s="7">
        <f>I46*$Q$5</f>
        <v>0</v>
      </c>
      <c r="R46" s="7">
        <f>I46*$R$5</f>
        <v>0</v>
      </c>
      <c r="S46" s="7">
        <f t="shared" si="15"/>
        <v>0</v>
      </c>
      <c r="T46" s="7">
        <f t="shared" si="16"/>
        <v>0</v>
      </c>
      <c r="U46" s="7">
        <f t="shared" si="17"/>
        <v>0</v>
      </c>
      <c r="V46" s="7">
        <f t="shared" si="18"/>
        <v>0</v>
      </c>
      <c r="W46" s="7">
        <f t="shared" si="19"/>
        <v>0</v>
      </c>
      <c r="X46" s="7">
        <f t="shared" si="20"/>
        <v>0</v>
      </c>
      <c r="Y46" s="7">
        <f t="shared" si="21"/>
        <v>0</v>
      </c>
    </row>
    <row r="47" spans="1:25" ht="12.75" customHeight="1">
      <c r="A47" s="93" t="s">
        <v>547</v>
      </c>
      <c r="B47" s="10" t="s">
        <v>548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5">
        <f t="shared" si="22"/>
        <v>0</v>
      </c>
      <c r="J47" s="7">
        <v>0</v>
      </c>
      <c r="K47" s="7">
        <f t="shared" si="23"/>
        <v>0</v>
      </c>
      <c r="L47" s="109" t="s">
        <v>552</v>
      </c>
      <c r="Q47" s="7">
        <f>I47*$Q$5</f>
        <v>0</v>
      </c>
      <c r="R47" s="7">
        <f>I47*$R$5</f>
        <v>0</v>
      </c>
      <c r="S47" s="7">
        <f t="shared" si="15"/>
        <v>0</v>
      </c>
      <c r="T47" s="7">
        <f t="shared" si="16"/>
        <v>0</v>
      </c>
      <c r="U47" s="7">
        <f t="shared" si="17"/>
        <v>0</v>
      </c>
      <c r="V47" s="7">
        <f t="shared" si="18"/>
        <v>0</v>
      </c>
      <c r="W47" s="7">
        <f t="shared" si="19"/>
        <v>0</v>
      </c>
      <c r="X47" s="7">
        <f t="shared" si="20"/>
        <v>0</v>
      </c>
      <c r="Y47" s="7">
        <f t="shared" si="21"/>
        <v>0</v>
      </c>
    </row>
  </sheetData>
  <autoFilter ref="A5:K37"/>
  <mergeCells count="4">
    <mergeCell ref="A2:B2"/>
    <mergeCell ref="A1:J1"/>
    <mergeCell ref="Q3:S3"/>
    <mergeCell ref="T3:W3"/>
  </mergeCells>
  <printOptions/>
  <pageMargins left="1" right="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Ruben Godoy</cp:lastModifiedBy>
  <cp:lastPrinted>2018-10-23T22:22:12Z</cp:lastPrinted>
  <dcterms:created xsi:type="dcterms:W3CDTF">2005-08-10T23:49:01Z</dcterms:created>
  <dcterms:modified xsi:type="dcterms:W3CDTF">2018-11-06T11:36:19Z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a6233bce-2774-4ad5-a7b4-2ab968ab89b0</vt:lpwstr>
  </property>
</Properties>
</file>