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23342268\Desktop\Archivos PDF\"/>
    </mc:Choice>
  </mc:AlternateContent>
  <bookViews>
    <workbookView xWindow="9045" yWindow="-45" windowWidth="11445" windowHeight="8100" tabRatio="767" firstSheet="1" activeTab="1"/>
  </bookViews>
  <sheets>
    <sheet name="Valores" sheetId="2273" state="hidden" r:id="rId1"/>
    <sheet name="Escala Docente" sheetId="2262" r:id="rId2"/>
    <sheet name="UPC" sheetId="2274" state="hidden" r:id="rId3"/>
  </sheets>
  <definedNames>
    <definedName name="_xlnm._FilterDatabase" localSheetId="1" hidden="1">'Escala Docente'!$A$6:$BD$327</definedName>
    <definedName name="_xlnm._FilterDatabase" localSheetId="2" hidden="1">UPC!$A$5:$K$37</definedName>
    <definedName name="_xlnm.Print_Area" localSheetId="1">'Escala Docente'!$C$1:$AM$327</definedName>
    <definedName name="_xlnm.Print_Area" localSheetId="2">UPC!$A$2:$J$37</definedName>
    <definedName name="_xlnm.Print_Titles" localSheetId="1">'Escala Docente'!$C:$E,'Escala Docente'!$5:$6</definedName>
    <definedName name="wrn.Planilla._.de._.Sueldos._.Docentes." localSheetId="1" hidden="1">{#N/A,#N/A,TRUE,"CARGOS"}</definedName>
    <definedName name="wrn.Planilla._.de._.Sueldos._.Docentes." hidden="1">{#N/A,#N/A,TRUE,"CARGOS"}</definedName>
  </definedNames>
  <calcPr calcId="152511" calcMode="manual" calcCompleted="0" calcOnSave="0"/>
</workbook>
</file>

<file path=xl/calcChain.xml><?xml version="1.0" encoding="utf-8"?>
<calcChain xmlns="http://schemas.openxmlformats.org/spreadsheetml/2006/main">
  <c r="E195" i="2262" l="1"/>
  <c r="J3" i="2262" l="1"/>
  <c r="F30" i="2273" l="1"/>
  <c r="F33" i="2273" s="1"/>
  <c r="F29" i="2273"/>
  <c r="F32" i="2273" s="1"/>
  <c r="AC192" i="2262"/>
  <c r="AC191" i="2262"/>
  <c r="AC190" i="2262"/>
  <c r="AC189" i="2262"/>
  <c r="AC188" i="2262"/>
  <c r="AC187" i="2262"/>
  <c r="AC186" i="2262"/>
  <c r="AC185" i="2262"/>
  <c r="AC184" i="2262"/>
  <c r="AC183" i="2262"/>
  <c r="AC182" i="2262"/>
  <c r="AC181" i="2262"/>
  <c r="AC180" i="2262"/>
  <c r="AC179" i="2262"/>
  <c r="AC178" i="2262"/>
  <c r="AC177" i="2262"/>
  <c r="AC176" i="2262"/>
  <c r="AC175" i="2262"/>
  <c r="AC174" i="2262"/>
  <c r="AC173" i="2262"/>
  <c r="AC172" i="2262"/>
  <c r="AC171" i="2262"/>
  <c r="AC170" i="2262"/>
  <c r="AC169" i="2262"/>
  <c r="AC168" i="2262"/>
  <c r="AC167" i="2262"/>
  <c r="AC166" i="2262"/>
  <c r="AC165" i="2262"/>
  <c r="AC164" i="2262"/>
  <c r="AC163" i="2262"/>
  <c r="AC162" i="2262"/>
  <c r="AC161" i="2262"/>
  <c r="AC160" i="2262"/>
  <c r="AC159" i="2262"/>
  <c r="AC158" i="2262"/>
  <c r="AC157" i="2262"/>
  <c r="AC156" i="2262"/>
  <c r="AC155" i="2262"/>
  <c r="AC154" i="2262"/>
  <c r="AC153" i="2262"/>
  <c r="AC152" i="2262"/>
  <c r="AC151" i="2262"/>
  <c r="AC150" i="2262"/>
  <c r="AC149" i="2262"/>
  <c r="AC148" i="2262"/>
  <c r="AC147" i="2262"/>
  <c r="AC146" i="2262"/>
  <c r="AC145" i="2262"/>
  <c r="AC144" i="2262"/>
  <c r="AC143" i="2262"/>
  <c r="AC142" i="2262"/>
  <c r="AC141" i="2262"/>
  <c r="AC140" i="2262"/>
  <c r="AC139" i="2262"/>
  <c r="AC138" i="2262"/>
  <c r="AC137" i="2262"/>
  <c r="AC136" i="2262"/>
  <c r="AC135" i="2262"/>
  <c r="AC134" i="2262"/>
  <c r="AC133" i="2262"/>
  <c r="AC132" i="2262"/>
  <c r="AC131" i="2262"/>
  <c r="AC130" i="2262"/>
  <c r="AC129" i="2262"/>
  <c r="AC128" i="2262"/>
  <c r="AC127" i="2262"/>
  <c r="AC126" i="2262"/>
  <c r="AC125" i="2262"/>
  <c r="AC124" i="2262"/>
  <c r="AC123" i="2262"/>
  <c r="AC122" i="2262"/>
  <c r="AC121" i="2262"/>
  <c r="AC120" i="2262"/>
  <c r="AC119" i="2262"/>
  <c r="AC118" i="2262"/>
  <c r="AC117" i="2262"/>
  <c r="AC116" i="2262"/>
  <c r="AC115" i="2262"/>
  <c r="AC114" i="2262"/>
  <c r="AC113" i="2262"/>
  <c r="AC112" i="2262"/>
  <c r="AC111" i="2262"/>
  <c r="AC110" i="2262"/>
  <c r="AC109" i="2262"/>
  <c r="AC108" i="2262"/>
  <c r="AC107" i="2262"/>
  <c r="AC106" i="2262"/>
  <c r="AC105" i="2262"/>
  <c r="AC104" i="2262"/>
  <c r="AC103" i="2262"/>
  <c r="AC102" i="2262"/>
  <c r="AC101" i="2262"/>
  <c r="AC100" i="2262"/>
  <c r="AC99" i="2262"/>
  <c r="AC98" i="2262"/>
  <c r="AC97" i="2262"/>
  <c r="AC96" i="2262"/>
  <c r="AC95" i="2262"/>
  <c r="AC94" i="2262"/>
  <c r="AC93" i="2262"/>
  <c r="AC92" i="2262"/>
  <c r="AC91" i="2262"/>
  <c r="AC90" i="2262"/>
  <c r="AC89" i="2262"/>
  <c r="AC88" i="2262"/>
  <c r="AC87" i="2262"/>
  <c r="AC86" i="2262"/>
  <c r="AC85" i="2262"/>
  <c r="AC84" i="2262"/>
  <c r="AC83" i="2262"/>
  <c r="AC82" i="2262"/>
  <c r="AC81" i="2262"/>
  <c r="AC80" i="2262"/>
  <c r="AC79" i="2262"/>
  <c r="AC78" i="2262"/>
  <c r="AC77" i="2262"/>
  <c r="AC76" i="2262"/>
  <c r="AC75" i="2262"/>
  <c r="AC74" i="2262"/>
  <c r="AC73" i="2262"/>
  <c r="AC72" i="2262"/>
  <c r="AC71" i="2262"/>
  <c r="AC70" i="2262"/>
  <c r="AC69" i="2262"/>
  <c r="AC68" i="2262"/>
  <c r="AC67" i="2262"/>
  <c r="AC66" i="2262"/>
  <c r="AC65" i="2262"/>
  <c r="AC64" i="2262"/>
  <c r="AC63" i="2262"/>
  <c r="AC62" i="2262"/>
  <c r="AC61" i="2262"/>
  <c r="AC60" i="2262"/>
  <c r="AC59" i="2262"/>
  <c r="AC58" i="2262"/>
  <c r="AC57" i="2262"/>
  <c r="AC56" i="2262"/>
  <c r="AC55" i="2262"/>
  <c r="AC54" i="2262"/>
  <c r="AC53" i="2262"/>
  <c r="AC52" i="2262"/>
  <c r="AC51" i="2262"/>
  <c r="AC50" i="2262"/>
  <c r="AC49" i="2262"/>
  <c r="AC48" i="2262"/>
  <c r="AC47" i="2262"/>
  <c r="AC46" i="2262"/>
  <c r="AC45" i="2262"/>
  <c r="AC44" i="2262"/>
  <c r="AC43" i="2262"/>
  <c r="AC42" i="2262"/>
  <c r="AC41" i="2262"/>
  <c r="AC40" i="2262"/>
  <c r="AC39" i="2262"/>
  <c r="AC38" i="2262"/>
  <c r="AC37" i="2262"/>
  <c r="AC36" i="2262"/>
  <c r="AC35" i="2262"/>
  <c r="AC34" i="2262"/>
  <c r="AC33" i="2262"/>
  <c r="AC32" i="2262"/>
  <c r="AC31" i="2262"/>
  <c r="AC30" i="2262"/>
  <c r="AC29" i="2262"/>
  <c r="AC28" i="2262"/>
  <c r="AC27" i="2262"/>
  <c r="AC26" i="2262"/>
  <c r="AC25" i="2262"/>
  <c r="AC24" i="2262"/>
  <c r="AC23" i="2262"/>
  <c r="AC22" i="2262"/>
  <c r="AC21" i="2262"/>
  <c r="AC20" i="2262"/>
  <c r="AC19" i="2262"/>
  <c r="AC18" i="2262"/>
  <c r="AC17" i="2262"/>
  <c r="AC16" i="2262"/>
  <c r="AC15" i="2262"/>
  <c r="AC14" i="2262"/>
  <c r="AC13" i="2262"/>
  <c r="AC12" i="2262"/>
  <c r="AC11" i="2262"/>
  <c r="AC10" i="2262"/>
  <c r="AC9" i="2262"/>
  <c r="AC8" i="2262"/>
  <c r="AC7" i="2262"/>
  <c r="C1" i="2262"/>
  <c r="AM161" i="2262" l="1"/>
  <c r="G35" i="2274" l="1"/>
  <c r="K32" i="2274"/>
  <c r="K31" i="2274"/>
  <c r="K30" i="2274"/>
  <c r="K29" i="2274"/>
  <c r="G32" i="2274"/>
  <c r="G31" i="2274"/>
  <c r="G30" i="2274"/>
  <c r="G29" i="2274"/>
  <c r="D32" i="2274"/>
  <c r="I32" i="2274" s="1"/>
  <c r="D31" i="2274"/>
  <c r="D30" i="2274"/>
  <c r="D29" i="2274"/>
  <c r="I29" i="2274" s="1"/>
  <c r="I30" i="2274" l="1"/>
  <c r="I31" i="2274"/>
  <c r="AK300" i="2262"/>
  <c r="AM300" i="2262" s="1"/>
  <c r="AK299" i="2262"/>
  <c r="AM299" i="2262" s="1"/>
  <c r="AK228" i="2262"/>
  <c r="AM228" i="2262" s="1"/>
  <c r="D20" i="2273" l="1"/>
  <c r="D19" i="2273"/>
  <c r="D18" i="2273"/>
  <c r="D17" i="2273"/>
  <c r="D16" i="2273"/>
  <c r="D15" i="2273"/>
  <c r="AA301" i="2262" l="1"/>
  <c r="AA300" i="2262"/>
  <c r="AA299" i="2262"/>
  <c r="AA298" i="2262"/>
  <c r="AA297" i="2262"/>
  <c r="AA296" i="2262"/>
  <c r="AA295" i="2262"/>
  <c r="AA294" i="2262"/>
  <c r="AA293" i="2262"/>
  <c r="AA292" i="2262"/>
  <c r="AA291" i="2262"/>
  <c r="AA290" i="2262"/>
  <c r="AA289" i="2262"/>
  <c r="AA288" i="2262"/>
  <c r="AA287" i="2262"/>
  <c r="AA286" i="2262"/>
  <c r="AA285" i="2262"/>
  <c r="AA284" i="2262"/>
  <c r="AA283" i="2262"/>
  <c r="AA282" i="2262"/>
  <c r="AA281" i="2262"/>
  <c r="AA280" i="2262"/>
  <c r="AA279" i="2262"/>
  <c r="AA278" i="2262"/>
  <c r="AA277" i="2262"/>
  <c r="AA276" i="2262"/>
  <c r="AA275" i="2262"/>
  <c r="AA274" i="2262"/>
  <c r="AA273" i="2262"/>
  <c r="AA272" i="2262"/>
  <c r="AA271" i="2262"/>
  <c r="AA270" i="2262"/>
  <c r="AA269" i="2262"/>
  <c r="AA268" i="2262"/>
  <c r="AA267" i="2262"/>
  <c r="AA266" i="2262"/>
  <c r="AA265" i="2262"/>
  <c r="AA264" i="2262"/>
  <c r="AA263" i="2262"/>
  <c r="AA262" i="2262"/>
  <c r="AA261" i="2262"/>
  <c r="AA260" i="2262"/>
  <c r="AA259" i="2262"/>
  <c r="AA258" i="2262"/>
  <c r="AA257" i="2262"/>
  <c r="AA256" i="2262"/>
  <c r="AA255" i="2262"/>
  <c r="AA254" i="2262"/>
  <c r="AA253" i="2262"/>
  <c r="AA252" i="2262"/>
  <c r="AA251" i="2262"/>
  <c r="AA250" i="2262"/>
  <c r="AA249" i="2262"/>
  <c r="AA248" i="2262"/>
  <c r="AA247" i="2262"/>
  <c r="AA246" i="2262"/>
  <c r="AA245" i="2262"/>
  <c r="AA244" i="2262"/>
  <c r="AA243" i="2262"/>
  <c r="AA242" i="2262"/>
  <c r="AA241" i="2262"/>
  <c r="AA240" i="2262"/>
  <c r="AA239" i="2262"/>
  <c r="AA238" i="2262"/>
  <c r="AA237" i="2262"/>
  <c r="AA236" i="2262"/>
  <c r="AA235" i="2262"/>
  <c r="AA234" i="2262"/>
  <c r="AA233" i="2262"/>
  <c r="AA232" i="2262"/>
  <c r="AA231" i="2262"/>
  <c r="AA230" i="2262"/>
  <c r="AA229" i="2262"/>
  <c r="AA228" i="2262"/>
  <c r="AA227" i="2262"/>
  <c r="AA226" i="2262"/>
  <c r="AA225" i="2262"/>
  <c r="AA224" i="2262"/>
  <c r="AA223" i="2262"/>
  <c r="AA222" i="2262"/>
  <c r="AA221" i="2262"/>
  <c r="AA220" i="2262"/>
  <c r="AA219" i="2262"/>
  <c r="AA218" i="2262"/>
  <c r="AA217" i="2262"/>
  <c r="AA216" i="2262"/>
  <c r="AA215" i="2262"/>
  <c r="AA214" i="2262"/>
  <c r="AA213" i="2262"/>
  <c r="AA212" i="2262"/>
  <c r="AA211" i="2262"/>
  <c r="AA210" i="2262"/>
  <c r="AA209" i="2262"/>
  <c r="AA208" i="2262"/>
  <c r="AA207" i="2262"/>
  <c r="AA206" i="2262"/>
  <c r="AA205" i="2262"/>
  <c r="AA204" i="2262"/>
  <c r="AA203" i="2262"/>
  <c r="AA202" i="2262"/>
  <c r="AA201" i="2262"/>
  <c r="AA200" i="2262"/>
  <c r="AA199" i="2262"/>
  <c r="AA198" i="2262"/>
  <c r="AA197" i="2262"/>
  <c r="AA196" i="2262"/>
  <c r="AA195" i="2262"/>
  <c r="AA194" i="2262"/>
  <c r="AA193" i="2262"/>
  <c r="AA192" i="2262" l="1"/>
  <c r="AA191" i="2262"/>
  <c r="AA190" i="2262"/>
  <c r="AA189" i="2262"/>
  <c r="AA188" i="2262"/>
  <c r="AA187" i="2262"/>
  <c r="AA186" i="2262"/>
  <c r="AA185" i="2262"/>
  <c r="AA184" i="2262"/>
  <c r="AA183" i="2262"/>
  <c r="AA182" i="2262"/>
  <c r="AA181" i="2262"/>
  <c r="AA180" i="2262"/>
  <c r="AA179" i="2262"/>
  <c r="AA178" i="2262"/>
  <c r="AA177" i="2262"/>
  <c r="AA176" i="2262"/>
  <c r="AA175" i="2262"/>
  <c r="AA174" i="2262"/>
  <c r="AA173" i="2262"/>
  <c r="AA172" i="2262"/>
  <c r="AA171" i="2262"/>
  <c r="AA170" i="2262"/>
  <c r="AA169" i="2262"/>
  <c r="AA168" i="2262"/>
  <c r="AA167" i="2262"/>
  <c r="AA166" i="2262"/>
  <c r="AA165" i="2262"/>
  <c r="AA164" i="2262"/>
  <c r="AA163" i="2262"/>
  <c r="AA162" i="2262"/>
  <c r="AA161" i="2262"/>
  <c r="AA160" i="2262"/>
  <c r="AA159" i="2262"/>
  <c r="AA158" i="2262"/>
  <c r="AA157" i="2262"/>
  <c r="AA156" i="2262"/>
  <c r="AA155" i="2262"/>
  <c r="AA154" i="2262"/>
  <c r="AA153" i="2262"/>
  <c r="AA152" i="2262"/>
  <c r="AA151" i="2262"/>
  <c r="AA150" i="2262"/>
  <c r="AA149" i="2262"/>
  <c r="AA148" i="2262"/>
  <c r="AA147" i="2262"/>
  <c r="AA146" i="2262"/>
  <c r="AA145" i="2262"/>
  <c r="AA144" i="2262"/>
  <c r="AA143" i="2262"/>
  <c r="AA142" i="2262"/>
  <c r="AA141" i="2262"/>
  <c r="AA140" i="2262"/>
  <c r="AA139" i="2262"/>
  <c r="AA138" i="2262"/>
  <c r="AA137" i="2262"/>
  <c r="AA136" i="2262"/>
  <c r="AA135" i="2262"/>
  <c r="AA134" i="2262"/>
  <c r="AA133" i="2262"/>
  <c r="AA132" i="2262"/>
  <c r="AA131" i="2262"/>
  <c r="AA130" i="2262"/>
  <c r="AA129" i="2262"/>
  <c r="AA128" i="2262"/>
  <c r="AA127" i="2262"/>
  <c r="AA126" i="2262"/>
  <c r="AA125" i="2262"/>
  <c r="AA124" i="2262"/>
  <c r="AA123" i="2262"/>
  <c r="AA122" i="2262"/>
  <c r="AA121" i="2262"/>
  <c r="AA120" i="2262"/>
  <c r="AA119" i="2262"/>
  <c r="AA118" i="2262"/>
  <c r="AA117" i="2262"/>
  <c r="AA116" i="2262"/>
  <c r="AA115" i="2262"/>
  <c r="AA114" i="2262"/>
  <c r="AA113" i="2262"/>
  <c r="AA112" i="2262"/>
  <c r="AA111" i="2262"/>
  <c r="AA110" i="2262"/>
  <c r="AA109" i="2262"/>
  <c r="AA108" i="2262"/>
  <c r="AA107" i="2262"/>
  <c r="AA106" i="2262"/>
  <c r="AA105" i="2262"/>
  <c r="AA104" i="2262"/>
  <c r="AA103" i="2262"/>
  <c r="AA102" i="2262"/>
  <c r="AA101" i="2262"/>
  <c r="AA100" i="2262"/>
  <c r="AA99" i="2262"/>
  <c r="AA98" i="2262"/>
  <c r="AA97" i="2262"/>
  <c r="AA96" i="2262"/>
  <c r="AA95" i="2262"/>
  <c r="AA94" i="2262"/>
  <c r="AA93" i="2262"/>
  <c r="AA92" i="2262"/>
  <c r="AA91" i="2262"/>
  <c r="AA90" i="2262"/>
  <c r="AA89" i="2262"/>
  <c r="AA88" i="2262"/>
  <c r="AA87" i="2262"/>
  <c r="AA86" i="2262"/>
  <c r="AA85" i="2262"/>
  <c r="AA84" i="2262"/>
  <c r="AA83" i="2262"/>
  <c r="AA82" i="2262"/>
  <c r="AA81" i="2262"/>
  <c r="AA80" i="2262"/>
  <c r="AA79" i="2262"/>
  <c r="AA78" i="2262"/>
  <c r="AA77" i="2262"/>
  <c r="AA76" i="2262"/>
  <c r="AA75" i="2262"/>
  <c r="AA74" i="2262"/>
  <c r="AA73" i="2262"/>
  <c r="AA72" i="2262"/>
  <c r="AA71" i="2262"/>
  <c r="AA70" i="2262"/>
  <c r="AA69" i="2262"/>
  <c r="AA68" i="2262"/>
  <c r="AA67" i="2262"/>
  <c r="AA66" i="2262"/>
  <c r="AA65" i="2262"/>
  <c r="AA64" i="2262"/>
  <c r="AA63" i="2262"/>
  <c r="AA62" i="2262"/>
  <c r="AA61" i="2262"/>
  <c r="AA60" i="2262"/>
  <c r="AA59" i="2262"/>
  <c r="AA58" i="2262"/>
  <c r="AA57" i="2262"/>
  <c r="AA56" i="2262"/>
  <c r="AA55" i="2262"/>
  <c r="AA54" i="2262"/>
  <c r="AA46" i="2262" s="1"/>
  <c r="AA53" i="2262"/>
  <c r="AA52" i="2262"/>
  <c r="AA51" i="2262"/>
  <c r="AA50" i="2262"/>
  <c r="AA49" i="2262"/>
  <c r="AA48" i="2262"/>
  <c r="AA47" i="2262"/>
  <c r="AA45" i="2262"/>
  <c r="AA44" i="2262"/>
  <c r="AA43" i="2262"/>
  <c r="AA42" i="2262"/>
  <c r="AA41" i="2262"/>
  <c r="AA40" i="2262"/>
  <c r="AA39" i="2262"/>
  <c r="AA38" i="2262"/>
  <c r="AA37" i="2262"/>
  <c r="AA36" i="2262"/>
  <c r="AA35" i="2262"/>
  <c r="AA34" i="2262"/>
  <c r="AA33" i="2262"/>
  <c r="AA32" i="2262"/>
  <c r="AA31" i="2262"/>
  <c r="AA30" i="2262"/>
  <c r="AA29" i="2262"/>
  <c r="AA28" i="2262"/>
  <c r="AA27" i="2262"/>
  <c r="AA26" i="2262"/>
  <c r="AA25" i="2262"/>
  <c r="AA24" i="2262"/>
  <c r="AA23" i="2262"/>
  <c r="AA22" i="2262"/>
  <c r="AA21" i="2262"/>
  <c r="AA20" i="2262"/>
  <c r="AA19" i="2262"/>
  <c r="AA18" i="2262"/>
  <c r="AA17" i="2262"/>
  <c r="AA16" i="2262"/>
  <c r="AA15" i="2262"/>
  <c r="AA14" i="2262"/>
  <c r="AA13" i="2262"/>
  <c r="AA12" i="2262"/>
  <c r="AA11" i="2262"/>
  <c r="AA10" i="2262"/>
  <c r="AA9" i="2262"/>
  <c r="AA8" i="2262"/>
  <c r="AA7" i="2262"/>
  <c r="G10" i="2274" l="1"/>
  <c r="G9" i="2274"/>
  <c r="K47" i="2274"/>
  <c r="I47" i="2274"/>
  <c r="T47" i="2274" s="1"/>
  <c r="K46" i="2274"/>
  <c r="I46" i="2274"/>
  <c r="W46" i="2274" s="1"/>
  <c r="K45" i="2274"/>
  <c r="I45" i="2274"/>
  <c r="V45" i="2274" s="1"/>
  <c r="K44" i="2274"/>
  <c r="I44" i="2274"/>
  <c r="U44" i="2274" s="1"/>
  <c r="K43" i="2274"/>
  <c r="G43" i="2274"/>
  <c r="I43" i="2274" s="1"/>
  <c r="V43" i="2274" s="1"/>
  <c r="K42" i="2274"/>
  <c r="I42" i="2274"/>
  <c r="V42" i="2274" s="1"/>
  <c r="K41" i="2274"/>
  <c r="I41" i="2274"/>
  <c r="S41" i="2274" s="1"/>
  <c r="K40" i="2274"/>
  <c r="I40" i="2274"/>
  <c r="T40" i="2274" s="1"/>
  <c r="K39" i="2274"/>
  <c r="I39" i="2274"/>
  <c r="U39" i="2274" s="1"/>
  <c r="I38" i="2274"/>
  <c r="R38" i="2274" s="1"/>
  <c r="K37" i="2274"/>
  <c r="I37" i="2274"/>
  <c r="V37" i="2274" s="1"/>
  <c r="K36" i="2274"/>
  <c r="I36" i="2274"/>
  <c r="U36" i="2274" s="1"/>
  <c r="K35" i="2274"/>
  <c r="I35" i="2274"/>
  <c r="V35" i="2274" s="1"/>
  <c r="Y33" i="2274"/>
  <c r="X33" i="2274"/>
  <c r="H23" i="2274"/>
  <c r="G21" i="2274"/>
  <c r="N20" i="2274"/>
  <c r="K20" i="2274"/>
  <c r="O19" i="2274"/>
  <c r="O20" i="2274" s="1"/>
  <c r="K19" i="2274"/>
  <c r="H19" i="2274"/>
  <c r="C19" i="2274"/>
  <c r="G19" i="2274" s="1"/>
  <c r="K18" i="2274"/>
  <c r="K17" i="2274"/>
  <c r="O16" i="2274"/>
  <c r="O17" i="2274" s="1"/>
  <c r="N16" i="2274"/>
  <c r="K16" i="2274"/>
  <c r="H16" i="2274"/>
  <c r="C16" i="2274"/>
  <c r="G16" i="2274" s="1"/>
  <c r="K15" i="2274"/>
  <c r="H15" i="2274"/>
  <c r="C15" i="2274"/>
  <c r="D15" i="2274" s="1"/>
  <c r="K14" i="2274"/>
  <c r="K13" i="2274"/>
  <c r="H13" i="2274"/>
  <c r="C13" i="2274"/>
  <c r="D13" i="2274" s="1"/>
  <c r="K12" i="2274"/>
  <c r="H12" i="2274"/>
  <c r="C12" i="2274"/>
  <c r="G12" i="2274" s="1"/>
  <c r="K11" i="2274"/>
  <c r="H11" i="2274"/>
  <c r="H17" i="2274" s="1"/>
  <c r="C11" i="2274"/>
  <c r="G11" i="2274" s="1"/>
  <c r="K10" i="2274"/>
  <c r="D10" i="2274"/>
  <c r="K9" i="2274"/>
  <c r="D9" i="2274"/>
  <c r="K8" i="2274"/>
  <c r="K7" i="2274"/>
  <c r="H7" i="2274"/>
  <c r="C7" i="2274"/>
  <c r="D7" i="2274" s="1"/>
  <c r="K6" i="2274"/>
  <c r="H6" i="2274"/>
  <c r="H18" i="2274" s="1"/>
  <c r="C6" i="2274"/>
  <c r="C18" i="2274" s="1"/>
  <c r="D12" i="2274" l="1"/>
  <c r="I12" i="2274" s="1"/>
  <c r="D6" i="2274"/>
  <c r="D16" i="2274"/>
  <c r="I16" i="2274" s="1"/>
  <c r="D19" i="2274"/>
  <c r="I19" i="2274" s="1"/>
  <c r="H8" i="2274"/>
  <c r="T42" i="2274"/>
  <c r="T37" i="2274"/>
  <c r="W41" i="2274"/>
  <c r="D18" i="2274"/>
  <c r="G18" i="2274"/>
  <c r="C17" i="2274"/>
  <c r="H20" i="2274"/>
  <c r="V38" i="2274"/>
  <c r="R40" i="2274"/>
  <c r="V40" i="2274"/>
  <c r="T45" i="2274"/>
  <c r="S46" i="2274"/>
  <c r="R47" i="2274"/>
  <c r="V47" i="2274"/>
  <c r="G6" i="2274"/>
  <c r="I6" i="2274" s="1"/>
  <c r="H14" i="2274"/>
  <c r="R37" i="2274"/>
  <c r="R42" i="2274"/>
  <c r="R45" i="2274"/>
  <c r="G25" i="2274"/>
  <c r="G7" i="2274"/>
  <c r="I7" i="2274" s="1"/>
  <c r="G13" i="2274"/>
  <c r="I13" i="2274" s="1"/>
  <c r="G15" i="2274"/>
  <c r="I15" i="2274" s="1"/>
  <c r="I10" i="2274"/>
  <c r="U10" i="2274" s="1"/>
  <c r="I9" i="2274"/>
  <c r="T9" i="2274" s="1"/>
  <c r="C20" i="2274"/>
  <c r="G20" i="2274" s="1"/>
  <c r="C14" i="2274"/>
  <c r="G14" i="2274" s="1"/>
  <c r="D11" i="2274"/>
  <c r="I11" i="2274" s="1"/>
  <c r="C8" i="2274"/>
  <c r="G8" i="2274" s="1"/>
  <c r="G28" i="2274"/>
  <c r="G26" i="2274"/>
  <c r="G24" i="2274"/>
  <c r="G23" i="2274"/>
  <c r="G22" i="2274"/>
  <c r="D21" i="2274"/>
  <c r="I21" i="2274" s="1"/>
  <c r="K28" i="2274"/>
  <c r="K27" i="2274"/>
  <c r="K26" i="2274"/>
  <c r="K21" i="2274"/>
  <c r="K22" i="2274"/>
  <c r="K23" i="2274"/>
  <c r="K24" i="2274"/>
  <c r="K25" i="2274"/>
  <c r="G27" i="2274"/>
  <c r="W35" i="2274"/>
  <c r="U35" i="2274"/>
  <c r="S35" i="2274"/>
  <c r="Q35" i="2274"/>
  <c r="T35" i="2274"/>
  <c r="R35" i="2274"/>
  <c r="V36" i="2274"/>
  <c r="T36" i="2274"/>
  <c r="R36" i="2274"/>
  <c r="W36" i="2274"/>
  <c r="S36" i="2274"/>
  <c r="Q36" i="2274"/>
  <c r="V39" i="2274"/>
  <c r="T39" i="2274"/>
  <c r="R39" i="2274"/>
  <c r="W39" i="2274"/>
  <c r="S39" i="2274"/>
  <c r="Q39" i="2274"/>
  <c r="W43" i="2274"/>
  <c r="U43" i="2274"/>
  <c r="S43" i="2274"/>
  <c r="Q43" i="2274"/>
  <c r="T43" i="2274"/>
  <c r="R43" i="2274"/>
  <c r="V44" i="2274"/>
  <c r="T44" i="2274"/>
  <c r="R44" i="2274"/>
  <c r="W44" i="2274"/>
  <c r="S44" i="2274"/>
  <c r="Q44" i="2274"/>
  <c r="W38" i="2274"/>
  <c r="U38" i="2274"/>
  <c r="S38" i="2274"/>
  <c r="Q38" i="2274"/>
  <c r="T38" i="2274"/>
  <c r="V41" i="2274"/>
  <c r="T41" i="2274"/>
  <c r="R41" i="2274"/>
  <c r="Q41" i="2274"/>
  <c r="U41" i="2274"/>
  <c r="V46" i="2274"/>
  <c r="T46" i="2274"/>
  <c r="R46" i="2274"/>
  <c r="Q46" i="2274"/>
  <c r="U46" i="2274"/>
  <c r="Q37" i="2274"/>
  <c r="S37" i="2274"/>
  <c r="U37" i="2274"/>
  <c r="W37" i="2274"/>
  <c r="Q40" i="2274"/>
  <c r="S40" i="2274"/>
  <c r="U40" i="2274"/>
  <c r="W40" i="2274"/>
  <c r="Q42" i="2274"/>
  <c r="S42" i="2274"/>
  <c r="U42" i="2274"/>
  <c r="W42" i="2274"/>
  <c r="Q45" i="2274"/>
  <c r="S45" i="2274"/>
  <c r="U45" i="2274"/>
  <c r="W45" i="2274"/>
  <c r="Q47" i="2274"/>
  <c r="S47" i="2274"/>
  <c r="U47" i="2274"/>
  <c r="W47" i="2274"/>
  <c r="X43" i="2274" l="1"/>
  <c r="Y46" i="2274"/>
  <c r="X38" i="2274"/>
  <c r="S10" i="2274"/>
  <c r="Q9" i="2274"/>
  <c r="I18" i="2274"/>
  <c r="T18" i="2274" s="1"/>
  <c r="T13" i="2274"/>
  <c r="V13" i="2274"/>
  <c r="W13" i="2274"/>
  <c r="U13" i="2274"/>
  <c r="R13" i="2274"/>
  <c r="S13" i="2274"/>
  <c r="Q13" i="2274"/>
  <c r="X47" i="2274"/>
  <c r="X45" i="2274"/>
  <c r="Y45" i="2274"/>
  <c r="Y40" i="2274"/>
  <c r="Y37" i="2274"/>
  <c r="Y41" i="2274"/>
  <c r="Y44" i="2274"/>
  <c r="X35" i="2274"/>
  <c r="V10" i="2274"/>
  <c r="T10" i="2274"/>
  <c r="W10" i="2274"/>
  <c r="V9" i="2274"/>
  <c r="X44" i="2274"/>
  <c r="Y47" i="2274"/>
  <c r="X42" i="2274"/>
  <c r="Y42" i="2274"/>
  <c r="X40" i="2274"/>
  <c r="X37" i="2274"/>
  <c r="X46" i="2274"/>
  <c r="X41" i="2274"/>
  <c r="Y38" i="2274"/>
  <c r="Y39" i="2274"/>
  <c r="X39" i="2274"/>
  <c r="Y36" i="2274"/>
  <c r="X36" i="2274"/>
  <c r="D17" i="2274"/>
  <c r="G17" i="2274"/>
  <c r="Y43" i="2274"/>
  <c r="Y35" i="2274"/>
  <c r="R10" i="2274"/>
  <c r="Q10" i="2274"/>
  <c r="S9" i="2274"/>
  <c r="R9" i="2274"/>
  <c r="W9" i="2274"/>
  <c r="U9" i="2274"/>
  <c r="V19" i="2274"/>
  <c r="T19" i="2274"/>
  <c r="R19" i="2274"/>
  <c r="U19" i="2274"/>
  <c r="Q19" i="2274"/>
  <c r="W19" i="2274"/>
  <c r="S19" i="2274"/>
  <c r="W12" i="2274"/>
  <c r="U12" i="2274"/>
  <c r="S12" i="2274"/>
  <c r="Q12" i="2274"/>
  <c r="V12" i="2274"/>
  <c r="R12" i="2274"/>
  <c r="T12" i="2274"/>
  <c r="V7" i="2274"/>
  <c r="T7" i="2274"/>
  <c r="R7" i="2274"/>
  <c r="U7" i="2274"/>
  <c r="Q7" i="2274"/>
  <c r="W7" i="2274"/>
  <c r="S7" i="2274"/>
  <c r="W16" i="2274"/>
  <c r="U16" i="2274"/>
  <c r="S16" i="2274"/>
  <c r="Q16" i="2274"/>
  <c r="T16" i="2274"/>
  <c r="V16" i="2274"/>
  <c r="R16" i="2274"/>
  <c r="W6" i="2274"/>
  <c r="U6" i="2274"/>
  <c r="S6" i="2274"/>
  <c r="Q6" i="2274"/>
  <c r="T6" i="2274"/>
  <c r="V6" i="2274"/>
  <c r="R6" i="2274"/>
  <c r="V21" i="2274"/>
  <c r="T21" i="2274"/>
  <c r="R21" i="2274"/>
  <c r="W21" i="2274"/>
  <c r="S21" i="2274"/>
  <c r="U21" i="2274"/>
  <c r="Q21" i="2274"/>
  <c r="D22" i="2274"/>
  <c r="I22" i="2274" s="1"/>
  <c r="D24" i="2274"/>
  <c r="I24" i="2274" s="1"/>
  <c r="D26" i="2274"/>
  <c r="I26" i="2274" s="1"/>
  <c r="V18" i="2274"/>
  <c r="V15" i="2274"/>
  <c r="T15" i="2274"/>
  <c r="R15" i="2274"/>
  <c r="U15" i="2274"/>
  <c r="Q15" i="2274"/>
  <c r="W15" i="2274"/>
  <c r="S15" i="2274"/>
  <c r="V11" i="2274"/>
  <c r="T11" i="2274"/>
  <c r="R11" i="2274"/>
  <c r="W11" i="2274"/>
  <c r="S11" i="2274"/>
  <c r="U11" i="2274"/>
  <c r="Q11" i="2274"/>
  <c r="D20" i="2274"/>
  <c r="I20" i="2274" s="1"/>
  <c r="D27" i="2274"/>
  <c r="I27" i="2274" s="1"/>
  <c r="D23" i="2274"/>
  <c r="I23" i="2274" s="1"/>
  <c r="D25" i="2274"/>
  <c r="I25" i="2274" s="1"/>
  <c r="D28" i="2274"/>
  <c r="I28" i="2274" s="1"/>
  <c r="D8" i="2274"/>
  <c r="I8" i="2274" s="1"/>
  <c r="D14" i="2274"/>
  <c r="I14" i="2274" s="1"/>
  <c r="Q18" i="2274" l="1"/>
  <c r="S18" i="2274"/>
  <c r="R18" i="2274"/>
  <c r="Y21" i="2274"/>
  <c r="X13" i="2274"/>
  <c r="Y11" i="2274"/>
  <c r="X10" i="2274"/>
  <c r="W18" i="2274"/>
  <c r="U18" i="2274"/>
  <c r="X6" i="2274"/>
  <c r="Y6" i="2274"/>
  <c r="X16" i="2274"/>
  <c r="X12" i="2274"/>
  <c r="X9" i="2274"/>
  <c r="Y13" i="2274"/>
  <c r="Y9" i="2274"/>
  <c r="Y10" i="2274"/>
  <c r="I17" i="2274"/>
  <c r="X11" i="2274"/>
  <c r="Y15" i="2274"/>
  <c r="X7" i="2274"/>
  <c r="X19" i="2274"/>
  <c r="X15" i="2274"/>
  <c r="X21" i="2274"/>
  <c r="Y16" i="2274"/>
  <c r="Y7" i="2274"/>
  <c r="Y12" i="2274"/>
  <c r="Y19" i="2274"/>
  <c r="W14" i="2274"/>
  <c r="U14" i="2274"/>
  <c r="S14" i="2274"/>
  <c r="Q14" i="2274"/>
  <c r="T14" i="2274"/>
  <c r="V14" i="2274"/>
  <c r="R14" i="2274"/>
  <c r="W8" i="2274"/>
  <c r="U8" i="2274"/>
  <c r="S8" i="2274"/>
  <c r="Q8" i="2274"/>
  <c r="V8" i="2274"/>
  <c r="R8" i="2274"/>
  <c r="T8" i="2274"/>
  <c r="W25" i="2274"/>
  <c r="V25" i="2274"/>
  <c r="T25" i="2274"/>
  <c r="R25" i="2274"/>
  <c r="S25" i="2274"/>
  <c r="U25" i="2274"/>
  <c r="Q25" i="2274"/>
  <c r="V23" i="2274"/>
  <c r="T23" i="2274"/>
  <c r="R23" i="2274"/>
  <c r="W23" i="2274"/>
  <c r="S23" i="2274"/>
  <c r="U23" i="2274"/>
  <c r="Q23" i="2274"/>
  <c r="W20" i="2274"/>
  <c r="U20" i="2274"/>
  <c r="S20" i="2274"/>
  <c r="Q20" i="2274"/>
  <c r="V20" i="2274"/>
  <c r="R20" i="2274"/>
  <c r="T20" i="2274"/>
  <c r="V24" i="2274"/>
  <c r="T24" i="2274"/>
  <c r="R24" i="2274"/>
  <c r="W24" i="2274"/>
  <c r="S24" i="2274"/>
  <c r="U24" i="2274"/>
  <c r="Q24" i="2274"/>
  <c r="V22" i="2274"/>
  <c r="T22" i="2274"/>
  <c r="R22" i="2274"/>
  <c r="W22" i="2274"/>
  <c r="S22" i="2274"/>
  <c r="U22" i="2274"/>
  <c r="Q22" i="2274"/>
  <c r="W28" i="2274"/>
  <c r="U28" i="2274"/>
  <c r="S28" i="2274"/>
  <c r="Q28" i="2274"/>
  <c r="T28" i="2274"/>
  <c r="R28" i="2274"/>
  <c r="V28" i="2274"/>
  <c r="W27" i="2274"/>
  <c r="U27" i="2274"/>
  <c r="S27" i="2274"/>
  <c r="Q27" i="2274"/>
  <c r="V27" i="2274"/>
  <c r="R27" i="2274"/>
  <c r="T27" i="2274"/>
  <c r="W26" i="2274"/>
  <c r="U26" i="2274"/>
  <c r="S26" i="2274"/>
  <c r="Q26" i="2274"/>
  <c r="T26" i="2274"/>
  <c r="R26" i="2274"/>
  <c r="V26" i="2274"/>
  <c r="Y18" i="2274" l="1"/>
  <c r="Y23" i="2274"/>
  <c r="X18" i="2274"/>
  <c r="Y24" i="2274"/>
  <c r="Y22" i="2274"/>
  <c r="X20" i="2274"/>
  <c r="U17" i="2274"/>
  <c r="Q17" i="2274"/>
  <c r="R17" i="2274"/>
  <c r="W17" i="2274"/>
  <c r="S17" i="2274"/>
  <c r="V17" i="2274"/>
  <c r="T17" i="2274"/>
  <c r="X27" i="2274"/>
  <c r="Y26" i="2274"/>
  <c r="Y27" i="2274"/>
  <c r="X28" i="2274"/>
  <c r="X22" i="2274"/>
  <c r="X23" i="2274"/>
  <c r="Y8" i="2274"/>
  <c r="X26" i="2274"/>
  <c r="Y28" i="2274"/>
  <c r="X24" i="2274"/>
  <c r="Y20" i="2274"/>
  <c r="X25" i="2274"/>
  <c r="X8" i="2274"/>
  <c r="X14" i="2274"/>
  <c r="Y14" i="2274"/>
  <c r="Y25" i="2274"/>
  <c r="X17" i="2274" l="1"/>
  <c r="Y17" i="2274"/>
  <c r="AG302" i="2262"/>
  <c r="AF302" i="2262"/>
  <c r="AC301" i="2262"/>
  <c r="AC286" i="2262"/>
  <c r="AC285" i="2262"/>
  <c r="AC284" i="2262"/>
  <c r="AC283" i="2262"/>
  <c r="AC282" i="2262"/>
  <c r="AC281" i="2262"/>
  <c r="AC280" i="2262"/>
  <c r="AC279" i="2262"/>
  <c r="AC278" i="2262"/>
  <c r="AC277" i="2262"/>
  <c r="AC276" i="2262"/>
  <c r="AC275" i="2262"/>
  <c r="AC274" i="2262"/>
  <c r="AC273" i="2262"/>
  <c r="AC272" i="2262"/>
  <c r="AC271" i="2262"/>
  <c r="AC270" i="2262"/>
  <c r="AC269" i="2262"/>
  <c r="AC268" i="2262"/>
  <c r="AC267" i="2262"/>
  <c r="AC266" i="2262"/>
  <c r="AC265" i="2262"/>
  <c r="AC264" i="2262"/>
  <c r="AC263" i="2262"/>
  <c r="AC262" i="2262"/>
  <c r="AC261" i="2262"/>
  <c r="AC260" i="2262"/>
  <c r="AC259" i="2262"/>
  <c r="AC258" i="2262"/>
  <c r="AC257" i="2262"/>
  <c r="AC256" i="2262"/>
  <c r="AC255" i="2262"/>
  <c r="AC254" i="2262"/>
  <c r="AC253" i="2262"/>
  <c r="AC252" i="2262"/>
  <c r="AC251" i="2262"/>
  <c r="AC250" i="2262"/>
  <c r="AC249" i="2262"/>
  <c r="AC248" i="2262"/>
  <c r="AC247" i="2262"/>
  <c r="AC246" i="2262"/>
  <c r="AC245" i="2262"/>
  <c r="AC244" i="2262"/>
  <c r="AC243" i="2262"/>
  <c r="AC242" i="2262"/>
  <c r="AC241" i="2262"/>
  <c r="AC240" i="2262"/>
  <c r="AC239" i="2262"/>
  <c r="AC238" i="2262"/>
  <c r="AC237" i="2262"/>
  <c r="AC236" i="2262"/>
  <c r="AC235" i="2262"/>
  <c r="AC234" i="2262"/>
  <c r="AC233" i="2262"/>
  <c r="AC232" i="2262"/>
  <c r="AC231" i="2262"/>
  <c r="AC230" i="2262"/>
  <c r="AC229" i="2262"/>
  <c r="AC221" i="2262"/>
  <c r="AC220" i="2262"/>
  <c r="AC219" i="2262"/>
  <c r="AC218" i="2262"/>
  <c r="AC217" i="2262"/>
  <c r="AC216" i="2262"/>
  <c r="AC215" i="2262"/>
  <c r="AC214" i="2262"/>
  <c r="AC213" i="2262"/>
  <c r="AC212" i="2262"/>
  <c r="AC211" i="2262"/>
  <c r="AC210" i="2262"/>
  <c r="AC209" i="2262"/>
  <c r="AC208" i="2262"/>
  <c r="AC207" i="2262"/>
  <c r="AC206" i="2262"/>
  <c r="AC205" i="2262"/>
  <c r="AC204" i="2262"/>
  <c r="AC203" i="2262"/>
  <c r="AC202" i="2262"/>
  <c r="AC201" i="2262"/>
  <c r="AC200" i="2262"/>
  <c r="AC199" i="2262"/>
  <c r="AC198" i="2262"/>
  <c r="AC197" i="2262"/>
  <c r="AC196" i="2262"/>
  <c r="AC195" i="2262"/>
  <c r="AC194" i="2262"/>
  <c r="AC193" i="2262"/>
  <c r="AL287" i="2262" l="1"/>
  <c r="AL286" i="2262"/>
  <c r="AL285" i="2262"/>
  <c r="AL283" i="2262"/>
  <c r="AL284" i="2262"/>
  <c r="AL282" i="2262"/>
  <c r="AL281" i="2262"/>
  <c r="AL280" i="2262"/>
  <c r="AL279" i="2262"/>
  <c r="AL278" i="2262"/>
  <c r="AL277" i="2262"/>
  <c r="AL276" i="2262"/>
  <c r="AL275" i="2262"/>
  <c r="AL274" i="2262"/>
  <c r="AL273" i="2262"/>
  <c r="AL272" i="2262"/>
  <c r="AL271" i="2262"/>
  <c r="AL270" i="2262"/>
  <c r="AL269" i="2262"/>
  <c r="AL268" i="2262"/>
  <c r="AL267" i="2262"/>
  <c r="AL266" i="2262"/>
  <c r="AL265" i="2262"/>
  <c r="AL264" i="2262"/>
  <c r="AL263" i="2262"/>
  <c r="AL262" i="2262"/>
  <c r="AL261" i="2262"/>
  <c r="AL260" i="2262"/>
  <c r="AL259" i="2262"/>
  <c r="AL258" i="2262"/>
  <c r="AL257" i="2262"/>
  <c r="AL256" i="2262"/>
  <c r="AL255" i="2262"/>
  <c r="AL254" i="2262"/>
  <c r="AL253" i="2262"/>
  <c r="AL252" i="2262"/>
  <c r="AL251" i="2262"/>
  <c r="AL250" i="2262"/>
  <c r="AL249" i="2262"/>
  <c r="AL248" i="2262"/>
  <c r="AL247" i="2262"/>
  <c r="AL246" i="2262"/>
  <c r="AL245" i="2262"/>
  <c r="AL243" i="2262"/>
  <c r="AL244" i="2262"/>
  <c r="AL242" i="2262"/>
  <c r="AL241" i="2262"/>
  <c r="AL240" i="2262"/>
  <c r="AL239" i="2262"/>
  <c r="AL236" i="2262"/>
  <c r="AL235" i="2262"/>
  <c r="AL238" i="2262"/>
  <c r="AL237" i="2262"/>
  <c r="AL234" i="2262"/>
  <c r="AL233" i="2262"/>
  <c r="AL232" i="2262"/>
  <c r="AL231" i="2262"/>
  <c r="AL301" i="2262"/>
  <c r="AL230" i="2262"/>
  <c r="AL229" i="2262"/>
  <c r="AL216" i="2262"/>
  <c r="AL215" i="2262"/>
  <c r="AL214" i="2262"/>
  <c r="AL212" i="2262"/>
  <c r="AL211" i="2262"/>
  <c r="AL210" i="2262"/>
  <c r="AL209" i="2262"/>
  <c r="AL208" i="2262"/>
  <c r="AL207" i="2262"/>
  <c r="AL206" i="2262"/>
  <c r="AL205" i="2262"/>
  <c r="AL204" i="2262"/>
  <c r="AL203" i="2262"/>
  <c r="AL202" i="2262"/>
  <c r="AL201" i="2262"/>
  <c r="AL200" i="2262"/>
  <c r="AL199" i="2262"/>
  <c r="AL198" i="2262"/>
  <c r="AL197" i="2262"/>
  <c r="AL196" i="2262"/>
  <c r="AL195" i="2262"/>
  <c r="AL194" i="2262"/>
  <c r="AL213" i="2262"/>
  <c r="AL193" i="2262"/>
  <c r="AJ300" i="2262" l="1"/>
  <c r="AN300" i="2262" s="1"/>
  <c r="AJ299" i="2262"/>
  <c r="AN299" i="2262" s="1"/>
  <c r="AJ298" i="2262"/>
  <c r="AJ297" i="2262"/>
  <c r="AJ296" i="2262"/>
  <c r="AJ295" i="2262"/>
  <c r="AJ294" i="2262"/>
  <c r="AJ293" i="2262"/>
  <c r="AJ292" i="2262"/>
  <c r="AJ291" i="2262"/>
  <c r="AJ290" i="2262"/>
  <c r="AJ289" i="2262"/>
  <c r="AJ228" i="2262"/>
  <c r="AN228" i="2262" s="1"/>
  <c r="AJ227" i="2262"/>
  <c r="AJ226" i="2262"/>
  <c r="AJ225" i="2262"/>
  <c r="AJ224" i="2262"/>
  <c r="AJ223" i="2262"/>
  <c r="AJ301" i="2262"/>
  <c r="AJ288" i="2262"/>
  <c r="AJ287" i="2262"/>
  <c r="AJ286" i="2262"/>
  <c r="AJ285" i="2262"/>
  <c r="AJ284" i="2262"/>
  <c r="AJ283" i="2262"/>
  <c r="AJ282" i="2262"/>
  <c r="AJ281" i="2262"/>
  <c r="AJ280" i="2262"/>
  <c r="AJ279" i="2262"/>
  <c r="AJ278" i="2262"/>
  <c r="AJ277" i="2262"/>
  <c r="AJ276" i="2262"/>
  <c r="AJ275" i="2262"/>
  <c r="AJ274" i="2262"/>
  <c r="AJ273" i="2262"/>
  <c r="AJ272" i="2262"/>
  <c r="AJ271" i="2262"/>
  <c r="AJ270" i="2262"/>
  <c r="AJ269" i="2262"/>
  <c r="AJ268" i="2262"/>
  <c r="AJ267" i="2262"/>
  <c r="AJ266" i="2262"/>
  <c r="AJ265" i="2262"/>
  <c r="AJ264" i="2262"/>
  <c r="AJ263" i="2262"/>
  <c r="AJ262" i="2262"/>
  <c r="AJ261" i="2262"/>
  <c r="AJ260" i="2262"/>
  <c r="AJ259" i="2262"/>
  <c r="AJ258" i="2262"/>
  <c r="AJ257" i="2262"/>
  <c r="AJ256" i="2262"/>
  <c r="AJ255" i="2262"/>
  <c r="AJ254" i="2262"/>
  <c r="AJ253" i="2262"/>
  <c r="AJ252" i="2262"/>
  <c r="AJ251" i="2262"/>
  <c r="AJ250" i="2262"/>
  <c r="AJ249" i="2262"/>
  <c r="AJ248" i="2262"/>
  <c r="AJ247" i="2262"/>
  <c r="AJ246" i="2262"/>
  <c r="AJ245" i="2262"/>
  <c r="AJ244" i="2262"/>
  <c r="AJ243" i="2262"/>
  <c r="AJ242" i="2262"/>
  <c r="AJ241" i="2262"/>
  <c r="AJ240" i="2262"/>
  <c r="AJ239" i="2262"/>
  <c r="AJ238" i="2262"/>
  <c r="AJ237" i="2262"/>
  <c r="AJ236" i="2262"/>
  <c r="AJ235" i="2262"/>
  <c r="AJ234" i="2262"/>
  <c r="AJ233" i="2262"/>
  <c r="AJ232" i="2262"/>
  <c r="AJ231" i="2262"/>
  <c r="AJ230" i="2262"/>
  <c r="AJ229" i="2262"/>
  <c r="AJ222" i="2262"/>
  <c r="AJ221" i="2262"/>
  <c r="AJ220" i="2262"/>
  <c r="AJ219" i="2262"/>
  <c r="AJ218" i="2262"/>
  <c r="AJ217" i="2262"/>
  <c r="AJ216" i="2262"/>
  <c r="AJ215" i="2262"/>
  <c r="AJ214" i="2262"/>
  <c r="AJ213" i="2262"/>
  <c r="AJ212" i="2262"/>
  <c r="AJ211" i="2262"/>
  <c r="AJ210" i="2262"/>
  <c r="AJ209" i="2262"/>
  <c r="AJ208" i="2262"/>
  <c r="AJ207" i="2262"/>
  <c r="AJ206" i="2262"/>
  <c r="AJ205" i="2262"/>
  <c r="AJ204" i="2262"/>
  <c r="AJ203" i="2262"/>
  <c r="AJ202" i="2262"/>
  <c r="AJ201" i="2262"/>
  <c r="AJ200" i="2262"/>
  <c r="AJ199" i="2262"/>
  <c r="AJ198" i="2262"/>
  <c r="AJ197" i="2262"/>
  <c r="AJ196" i="2262"/>
  <c r="AJ195" i="2262"/>
  <c r="AJ194" i="2262"/>
  <c r="AJ193" i="2262"/>
  <c r="AJ192" i="2262"/>
  <c r="AJ191" i="2262"/>
  <c r="AJ190" i="2262"/>
  <c r="AJ189" i="2262"/>
  <c r="AJ188" i="2262"/>
  <c r="AJ187" i="2262"/>
  <c r="AJ186" i="2262"/>
  <c r="AJ185" i="2262"/>
  <c r="AJ184" i="2262"/>
  <c r="AJ183" i="2262"/>
  <c r="AJ182" i="2262"/>
  <c r="AJ181" i="2262"/>
  <c r="AJ180" i="2262"/>
  <c r="AJ179" i="2262"/>
  <c r="AJ178" i="2262"/>
  <c r="AJ177" i="2262"/>
  <c r="AJ176" i="2262"/>
  <c r="AJ175" i="2262"/>
  <c r="AJ174" i="2262"/>
  <c r="AJ173" i="2262"/>
  <c r="AJ172" i="2262"/>
  <c r="AJ171" i="2262"/>
  <c r="AJ170" i="2262"/>
  <c r="AJ169" i="2262"/>
  <c r="AJ168" i="2262"/>
  <c r="AJ167" i="2262"/>
  <c r="AJ166" i="2262"/>
  <c r="AJ165" i="2262"/>
  <c r="AJ164" i="2262"/>
  <c r="AJ163" i="2262"/>
  <c r="AJ162" i="2262"/>
  <c r="AJ161" i="2262"/>
  <c r="AN161" i="2262" s="1"/>
  <c r="AJ160" i="2262"/>
  <c r="AJ159" i="2262"/>
  <c r="AJ158" i="2262"/>
  <c r="AJ157" i="2262"/>
  <c r="AJ156" i="2262"/>
  <c r="AJ155" i="2262"/>
  <c r="AJ154" i="2262"/>
  <c r="AJ153" i="2262"/>
  <c r="AJ152" i="2262"/>
  <c r="AJ151" i="2262"/>
  <c r="AJ150" i="2262"/>
  <c r="AJ149" i="2262"/>
  <c r="AJ148" i="2262"/>
  <c r="AJ147" i="2262"/>
  <c r="AJ146" i="2262"/>
  <c r="AJ145" i="2262"/>
  <c r="AJ144" i="2262"/>
  <c r="AJ143" i="2262"/>
  <c r="AJ142" i="2262"/>
  <c r="AJ141" i="2262"/>
  <c r="AJ140" i="2262"/>
  <c r="AJ139" i="2262"/>
  <c r="AJ138" i="2262"/>
  <c r="AJ137" i="2262"/>
  <c r="AJ136" i="2262"/>
  <c r="AJ135" i="2262"/>
  <c r="AJ134" i="2262"/>
  <c r="AJ133" i="2262"/>
  <c r="AJ132" i="2262"/>
  <c r="AJ131" i="2262"/>
  <c r="AJ130" i="2262"/>
  <c r="AJ129" i="2262"/>
  <c r="AJ128" i="2262"/>
  <c r="AJ127" i="2262"/>
  <c r="AJ126" i="2262"/>
  <c r="AJ125" i="2262"/>
  <c r="AJ124" i="2262"/>
  <c r="AJ123" i="2262"/>
  <c r="AJ122" i="2262"/>
  <c r="AJ121" i="2262"/>
  <c r="AJ120" i="2262"/>
  <c r="AJ119" i="2262"/>
  <c r="AJ118" i="2262"/>
  <c r="AJ117" i="2262"/>
  <c r="AJ116" i="2262"/>
  <c r="AJ115" i="2262"/>
  <c r="AJ114" i="2262"/>
  <c r="AJ113" i="2262"/>
  <c r="AJ112" i="2262"/>
  <c r="AJ111" i="2262"/>
  <c r="AJ110" i="2262"/>
  <c r="AJ109" i="2262"/>
  <c r="AJ108" i="2262"/>
  <c r="AJ107" i="2262"/>
  <c r="AJ106" i="2262"/>
  <c r="AJ105" i="2262"/>
  <c r="AJ104" i="2262"/>
  <c r="AJ103" i="2262"/>
  <c r="AJ102" i="2262"/>
  <c r="AJ101" i="2262"/>
  <c r="AJ100" i="2262"/>
  <c r="AJ99" i="2262"/>
  <c r="AJ98" i="2262"/>
  <c r="AJ97" i="2262"/>
  <c r="AJ96" i="2262"/>
  <c r="AJ95" i="2262"/>
  <c r="AJ94" i="2262"/>
  <c r="AJ93" i="2262"/>
  <c r="AJ92" i="2262"/>
  <c r="AJ91" i="2262"/>
  <c r="AJ90" i="2262"/>
  <c r="AJ89" i="2262"/>
  <c r="AJ88" i="2262"/>
  <c r="AJ87" i="2262"/>
  <c r="AJ86" i="2262"/>
  <c r="AJ85" i="2262"/>
  <c r="AJ84" i="2262"/>
  <c r="AJ83" i="2262"/>
  <c r="AJ82" i="2262"/>
  <c r="AJ81" i="2262"/>
  <c r="AJ80" i="2262"/>
  <c r="AJ79" i="2262"/>
  <c r="AJ78" i="2262"/>
  <c r="AJ77" i="2262"/>
  <c r="AJ76" i="2262"/>
  <c r="AJ75" i="2262"/>
  <c r="AJ74" i="2262"/>
  <c r="AJ73" i="2262"/>
  <c r="AJ72" i="2262"/>
  <c r="AJ71" i="2262"/>
  <c r="AJ70" i="2262"/>
  <c r="AJ69" i="2262"/>
  <c r="AJ68" i="2262"/>
  <c r="AJ67" i="2262"/>
  <c r="AJ66" i="2262"/>
  <c r="AJ65" i="2262"/>
  <c r="AJ64" i="2262"/>
  <c r="AJ63" i="2262"/>
  <c r="AJ62" i="2262"/>
  <c r="AJ61" i="2262"/>
  <c r="AJ60" i="2262"/>
  <c r="AJ59" i="2262"/>
  <c r="AJ58" i="2262"/>
  <c r="AJ57" i="2262"/>
  <c r="AJ56" i="2262"/>
  <c r="AJ55" i="2262"/>
  <c r="AJ54" i="2262"/>
  <c r="AJ53" i="2262"/>
  <c r="AJ52" i="2262"/>
  <c r="AJ51" i="2262"/>
  <c r="AJ50" i="2262"/>
  <c r="AJ49" i="2262"/>
  <c r="AJ48" i="2262"/>
  <c r="AJ47" i="2262"/>
  <c r="AJ45" i="2262"/>
  <c r="AJ44" i="2262"/>
  <c r="AJ43" i="2262"/>
  <c r="AJ42" i="2262"/>
  <c r="AJ41" i="2262"/>
  <c r="AJ40" i="2262"/>
  <c r="AJ39" i="2262"/>
  <c r="AJ38" i="2262"/>
  <c r="AJ37" i="2262"/>
  <c r="AJ36" i="2262"/>
  <c r="AJ35" i="2262"/>
  <c r="AJ34" i="2262"/>
  <c r="AJ33" i="2262"/>
  <c r="AJ32" i="2262"/>
  <c r="AJ31" i="2262"/>
  <c r="AJ30" i="2262"/>
  <c r="AJ29" i="2262"/>
  <c r="AJ28" i="2262"/>
  <c r="AJ27" i="2262"/>
  <c r="AJ26" i="2262"/>
  <c r="AJ25" i="2262"/>
  <c r="AJ24" i="2262"/>
  <c r="AJ23" i="2262"/>
  <c r="AJ22" i="2262"/>
  <c r="AJ21" i="2262"/>
  <c r="AJ20" i="2262"/>
  <c r="AJ19" i="2262"/>
  <c r="AJ18" i="2262"/>
  <c r="AJ17" i="2262"/>
  <c r="AJ16" i="2262"/>
  <c r="AJ15" i="2262"/>
  <c r="AJ14" i="2262"/>
  <c r="AJ13" i="2262"/>
  <c r="AJ12" i="2262"/>
  <c r="AJ11" i="2262"/>
  <c r="AJ10" i="2262"/>
  <c r="AJ9" i="2262"/>
  <c r="AJ8" i="2262"/>
  <c r="AJ7" i="2262"/>
  <c r="L48" i="2273"/>
  <c r="AJ46" i="2262" l="1"/>
  <c r="R89" i="2262" l="1"/>
  <c r="P171" i="2262" l="1"/>
  <c r="P170" i="2262"/>
  <c r="P169" i="2262"/>
  <c r="P168" i="2262"/>
  <c r="P172" i="2262"/>
  <c r="AG143" i="2262" l="1"/>
  <c r="AF143" i="2262"/>
  <c r="D52" i="2273" l="1"/>
  <c r="D51" i="2273"/>
  <c r="AF234" i="2262" s="1"/>
  <c r="AG192" i="2262"/>
  <c r="AF192" i="2262"/>
  <c r="AF204" i="2262" l="1"/>
  <c r="AF242" i="2262"/>
  <c r="AF220" i="2262"/>
  <c r="AF212" i="2262"/>
  <c r="AF196" i="2262"/>
  <c r="AF280" i="2262"/>
  <c r="AF272" i="2262"/>
  <c r="AF268" i="2262"/>
  <c r="AF264" i="2262"/>
  <c r="AF260" i="2262"/>
  <c r="AF256" i="2262"/>
  <c r="AF252" i="2262"/>
  <c r="AF248" i="2262"/>
  <c r="AF244" i="2262"/>
  <c r="AF301" i="2262"/>
  <c r="AF287" i="2262"/>
  <c r="AF285" i="2262"/>
  <c r="AF283" i="2262"/>
  <c r="AF281" i="2262"/>
  <c r="AF279" i="2262"/>
  <c r="AF277" i="2262"/>
  <c r="AF275" i="2262"/>
  <c r="AF273" i="2262"/>
  <c r="AF271" i="2262"/>
  <c r="AF269" i="2262"/>
  <c r="AF267" i="2262"/>
  <c r="AF265" i="2262"/>
  <c r="AF263" i="2262"/>
  <c r="AF261" i="2262"/>
  <c r="AF259" i="2262"/>
  <c r="AF257" i="2262"/>
  <c r="AF255" i="2262"/>
  <c r="AF253" i="2262"/>
  <c r="AF251" i="2262"/>
  <c r="AF249" i="2262"/>
  <c r="AF247" i="2262"/>
  <c r="AF245" i="2262"/>
  <c r="AF243" i="2262"/>
  <c r="AF241" i="2262"/>
  <c r="AF239" i="2262"/>
  <c r="AF237" i="2262"/>
  <c r="AF235" i="2262"/>
  <c r="AF233" i="2262"/>
  <c r="AF231" i="2262"/>
  <c r="AF229" i="2262"/>
  <c r="AF221" i="2262"/>
  <c r="AF219" i="2262"/>
  <c r="AF217" i="2262"/>
  <c r="AF215" i="2262"/>
  <c r="AF213" i="2262"/>
  <c r="AF211" i="2262"/>
  <c r="AF209" i="2262"/>
  <c r="AF207" i="2262"/>
  <c r="AF205" i="2262"/>
  <c r="AF203" i="2262"/>
  <c r="AF201" i="2262"/>
  <c r="AF199" i="2262"/>
  <c r="AF197" i="2262"/>
  <c r="AF195" i="2262"/>
  <c r="AF193" i="2262"/>
  <c r="AF288" i="2262"/>
  <c r="AF289" i="2262" s="1"/>
  <c r="AF290" i="2262" s="1"/>
  <c r="AF291" i="2262" s="1"/>
  <c r="AF292" i="2262" s="1"/>
  <c r="AF293" i="2262" s="1"/>
  <c r="AF294" i="2262" s="1"/>
  <c r="AF295" i="2262" s="1"/>
  <c r="AF296" i="2262" s="1"/>
  <c r="AF297" i="2262" s="1"/>
  <c r="AF298" i="2262" s="1"/>
  <c r="AF299" i="2262" s="1"/>
  <c r="AF300" i="2262" s="1"/>
  <c r="AF286" i="2262"/>
  <c r="AF284" i="2262"/>
  <c r="AF282" i="2262"/>
  <c r="AF278" i="2262"/>
  <c r="AF276" i="2262"/>
  <c r="AF274" i="2262"/>
  <c r="AF270" i="2262"/>
  <c r="AF266" i="2262"/>
  <c r="AF262" i="2262"/>
  <c r="AF258" i="2262"/>
  <c r="AF254" i="2262"/>
  <c r="AF250" i="2262"/>
  <c r="AF246" i="2262"/>
  <c r="AF198" i="2262"/>
  <c r="AF206" i="2262"/>
  <c r="AF214" i="2262"/>
  <c r="AF222" i="2262"/>
  <c r="AF223" i="2262" s="1"/>
  <c r="AF224" i="2262" s="1"/>
  <c r="AF225" i="2262" s="1"/>
  <c r="AF226" i="2262" s="1"/>
  <c r="AF227" i="2262" s="1"/>
  <c r="AF228" i="2262" s="1"/>
  <c r="AF236" i="2262"/>
  <c r="AF200" i="2262"/>
  <c r="AF208" i="2262"/>
  <c r="AF216" i="2262"/>
  <c r="AF230" i="2262"/>
  <c r="AF238" i="2262"/>
  <c r="AF194" i="2262"/>
  <c r="AF202" i="2262"/>
  <c r="AF210" i="2262"/>
  <c r="AF218" i="2262"/>
  <c r="AF232" i="2262"/>
  <c r="AF240" i="2262"/>
  <c r="AG194" i="2262"/>
  <c r="AG196" i="2262"/>
  <c r="AG200" i="2262"/>
  <c r="AG202" i="2262"/>
  <c r="AG206" i="2262"/>
  <c r="AG210" i="2262"/>
  <c r="AG214" i="2262"/>
  <c r="AG218" i="2262"/>
  <c r="AG220" i="2262"/>
  <c r="AG230" i="2262"/>
  <c r="AG232" i="2262"/>
  <c r="AG236" i="2262"/>
  <c r="AG240" i="2262"/>
  <c r="AG244" i="2262"/>
  <c r="AG248" i="2262"/>
  <c r="AG254" i="2262"/>
  <c r="AG258" i="2262"/>
  <c r="AG262" i="2262"/>
  <c r="AG266" i="2262"/>
  <c r="AG272" i="2262"/>
  <c r="AG274" i="2262"/>
  <c r="AG278" i="2262"/>
  <c r="AG282" i="2262"/>
  <c r="AG284" i="2262"/>
  <c r="AG288" i="2262"/>
  <c r="AG289" i="2262" s="1"/>
  <c r="AG290" i="2262" s="1"/>
  <c r="AG291" i="2262" s="1"/>
  <c r="AG292" i="2262" s="1"/>
  <c r="AG293" i="2262" s="1"/>
  <c r="AG294" i="2262" s="1"/>
  <c r="AG295" i="2262" s="1"/>
  <c r="AG296" i="2262" s="1"/>
  <c r="AG297" i="2262" s="1"/>
  <c r="AG298" i="2262" s="1"/>
  <c r="AG299" i="2262" s="1"/>
  <c r="AG300" i="2262" s="1"/>
  <c r="AG198" i="2262"/>
  <c r="AG204" i="2262"/>
  <c r="AG208" i="2262"/>
  <c r="AG212" i="2262"/>
  <c r="AG216" i="2262"/>
  <c r="AG222" i="2262"/>
  <c r="AG223" i="2262" s="1"/>
  <c r="AG224" i="2262" s="1"/>
  <c r="AG225" i="2262" s="1"/>
  <c r="AG226" i="2262" s="1"/>
  <c r="AG227" i="2262" s="1"/>
  <c r="AG228" i="2262" s="1"/>
  <c r="AG234" i="2262"/>
  <c r="AG238" i="2262"/>
  <c r="AG242" i="2262"/>
  <c r="AG246" i="2262"/>
  <c r="AG250" i="2262"/>
  <c r="AG252" i="2262"/>
  <c r="AG256" i="2262"/>
  <c r="AG260" i="2262"/>
  <c r="AG264" i="2262"/>
  <c r="AG268" i="2262"/>
  <c r="AG270" i="2262"/>
  <c r="AG276" i="2262"/>
  <c r="AG280" i="2262"/>
  <c r="AG286" i="2262"/>
  <c r="AG193" i="2262"/>
  <c r="AG195" i="2262"/>
  <c r="AG197" i="2262"/>
  <c r="AG199" i="2262"/>
  <c r="AG201" i="2262"/>
  <c r="AG203" i="2262"/>
  <c r="AG205" i="2262"/>
  <c r="AG207" i="2262"/>
  <c r="AG209" i="2262"/>
  <c r="AG211" i="2262"/>
  <c r="AG213" i="2262"/>
  <c r="AG215" i="2262"/>
  <c r="AG217" i="2262"/>
  <c r="AG219" i="2262"/>
  <c r="AG221" i="2262"/>
  <c r="AG229" i="2262"/>
  <c r="AG231" i="2262"/>
  <c r="AG233" i="2262"/>
  <c r="AG235" i="2262"/>
  <c r="AG237" i="2262"/>
  <c r="AG239" i="2262"/>
  <c r="AG241" i="2262"/>
  <c r="AG243" i="2262"/>
  <c r="AG245" i="2262"/>
  <c r="AG247" i="2262"/>
  <c r="AG249" i="2262"/>
  <c r="AG251" i="2262"/>
  <c r="AG253" i="2262"/>
  <c r="AG255" i="2262"/>
  <c r="AG257" i="2262"/>
  <c r="AG259" i="2262"/>
  <c r="AG261" i="2262"/>
  <c r="AG263" i="2262"/>
  <c r="AG265" i="2262"/>
  <c r="AG267" i="2262"/>
  <c r="AG269" i="2262"/>
  <c r="AG271" i="2262"/>
  <c r="AG273" i="2262"/>
  <c r="AG275" i="2262"/>
  <c r="AG277" i="2262"/>
  <c r="AG279" i="2262"/>
  <c r="AG281" i="2262"/>
  <c r="AG283" i="2262"/>
  <c r="AG285" i="2262"/>
  <c r="AG287" i="2262"/>
  <c r="AG301" i="2262"/>
  <c r="AG191" i="2262" l="1"/>
  <c r="AF191" i="2262"/>
  <c r="AG190" i="2262"/>
  <c r="AF190" i="2262"/>
  <c r="AG189" i="2262"/>
  <c r="AF189" i="2262"/>
  <c r="AG188" i="2262"/>
  <c r="AF188" i="2262"/>
  <c r="AG187" i="2262"/>
  <c r="AF187" i="2262"/>
  <c r="AG186" i="2262"/>
  <c r="AF186" i="2262"/>
  <c r="AG185" i="2262"/>
  <c r="AF185" i="2262"/>
  <c r="AG184" i="2262"/>
  <c r="AF184" i="2262"/>
  <c r="AG183" i="2262"/>
  <c r="AF183" i="2262"/>
  <c r="AG182" i="2262"/>
  <c r="AF182" i="2262"/>
  <c r="AG181" i="2262"/>
  <c r="AF181" i="2262"/>
  <c r="AG180" i="2262"/>
  <c r="AF180" i="2262"/>
  <c r="AG179" i="2262"/>
  <c r="AF179" i="2262"/>
  <c r="AG178" i="2262"/>
  <c r="AF178" i="2262"/>
  <c r="AG177" i="2262"/>
  <c r="AF177" i="2262"/>
  <c r="AG176" i="2262"/>
  <c r="AF176" i="2262"/>
  <c r="AG175" i="2262"/>
  <c r="AF175" i="2262"/>
  <c r="AG174" i="2262"/>
  <c r="AF174" i="2262"/>
  <c r="AG173" i="2262"/>
  <c r="AF173" i="2262"/>
  <c r="AG172" i="2262"/>
  <c r="AF172" i="2262"/>
  <c r="AG171" i="2262"/>
  <c r="AF171" i="2262"/>
  <c r="AG170" i="2262"/>
  <c r="AF170" i="2262"/>
  <c r="AG169" i="2262"/>
  <c r="AF169" i="2262"/>
  <c r="AG168" i="2262"/>
  <c r="AF168" i="2262"/>
  <c r="AG167" i="2262"/>
  <c r="AF167" i="2262"/>
  <c r="AG166" i="2262"/>
  <c r="AF166" i="2262"/>
  <c r="AG165" i="2262"/>
  <c r="AF165" i="2262"/>
  <c r="AG164" i="2262"/>
  <c r="AF164" i="2262"/>
  <c r="AG163" i="2262"/>
  <c r="AF163" i="2262"/>
  <c r="AG162" i="2262"/>
  <c r="AF162" i="2262"/>
  <c r="AG161" i="2262"/>
  <c r="AF161" i="2262"/>
  <c r="AG160" i="2262"/>
  <c r="AF160" i="2262"/>
  <c r="AG159" i="2262"/>
  <c r="AF159" i="2262"/>
  <c r="AG158" i="2262"/>
  <c r="AF158" i="2262"/>
  <c r="AG157" i="2262"/>
  <c r="AF157" i="2262"/>
  <c r="AG156" i="2262"/>
  <c r="AF156" i="2262"/>
  <c r="AG155" i="2262"/>
  <c r="AF155" i="2262"/>
  <c r="AG154" i="2262"/>
  <c r="AF154" i="2262"/>
  <c r="AG153" i="2262"/>
  <c r="AF153" i="2262"/>
  <c r="AG152" i="2262"/>
  <c r="AF152" i="2262"/>
  <c r="AG151" i="2262"/>
  <c r="AF151" i="2262"/>
  <c r="AG150" i="2262"/>
  <c r="AF150" i="2262"/>
  <c r="AG149" i="2262"/>
  <c r="AF149" i="2262"/>
  <c r="AG148" i="2262"/>
  <c r="AF148" i="2262"/>
  <c r="AG147" i="2262"/>
  <c r="AF147" i="2262"/>
  <c r="AG146" i="2262"/>
  <c r="AF146" i="2262"/>
  <c r="AG145" i="2262"/>
  <c r="AF145" i="2262"/>
  <c r="AG144" i="2262"/>
  <c r="AF144" i="2262"/>
  <c r="AG142" i="2262"/>
  <c r="AF142" i="2262"/>
  <c r="AG141" i="2262"/>
  <c r="AF141" i="2262"/>
  <c r="AG140" i="2262"/>
  <c r="AF140" i="2262"/>
  <c r="AG139" i="2262"/>
  <c r="AF139" i="2262"/>
  <c r="AG138" i="2262"/>
  <c r="AF138" i="2262"/>
  <c r="AG137" i="2262"/>
  <c r="AF137" i="2262"/>
  <c r="AG136" i="2262"/>
  <c r="AF136" i="2262"/>
  <c r="AG135" i="2262"/>
  <c r="AF135" i="2262"/>
  <c r="AG134" i="2262"/>
  <c r="AF134" i="2262"/>
  <c r="AG133" i="2262"/>
  <c r="AF133" i="2262"/>
  <c r="AG132" i="2262"/>
  <c r="AF132" i="2262"/>
  <c r="AG131" i="2262"/>
  <c r="AF131" i="2262"/>
  <c r="AG130" i="2262"/>
  <c r="AF130" i="2262"/>
  <c r="AG129" i="2262"/>
  <c r="AF129" i="2262"/>
  <c r="AG128" i="2262"/>
  <c r="AF128" i="2262"/>
  <c r="AG127" i="2262"/>
  <c r="AF127" i="2262"/>
  <c r="AG126" i="2262"/>
  <c r="AF126" i="2262"/>
  <c r="AG125" i="2262"/>
  <c r="AF125" i="2262"/>
  <c r="AG124" i="2262"/>
  <c r="AF124" i="2262"/>
  <c r="AG123" i="2262"/>
  <c r="AF123" i="2262"/>
  <c r="AG122" i="2262"/>
  <c r="AF122" i="2262"/>
  <c r="AG121" i="2262"/>
  <c r="AF121" i="2262"/>
  <c r="AG120" i="2262"/>
  <c r="AF120" i="2262"/>
  <c r="AG119" i="2262"/>
  <c r="AF119" i="2262"/>
  <c r="AG118" i="2262"/>
  <c r="AF118" i="2262"/>
  <c r="AG117" i="2262"/>
  <c r="AF117" i="2262"/>
  <c r="AG116" i="2262"/>
  <c r="AF116" i="2262"/>
  <c r="AG115" i="2262"/>
  <c r="AF115" i="2262"/>
  <c r="AG114" i="2262"/>
  <c r="AF114" i="2262"/>
  <c r="AG113" i="2262"/>
  <c r="AF113" i="2262"/>
  <c r="AG112" i="2262"/>
  <c r="AF112" i="2262"/>
  <c r="AG111" i="2262"/>
  <c r="AF111" i="2262"/>
  <c r="AG110" i="2262"/>
  <c r="AF110" i="2262"/>
  <c r="AG109" i="2262"/>
  <c r="AF109" i="2262"/>
  <c r="AG108" i="2262"/>
  <c r="AF108" i="2262"/>
  <c r="AG107" i="2262"/>
  <c r="AF107" i="2262"/>
  <c r="AG106" i="2262"/>
  <c r="AF106" i="2262"/>
  <c r="AG105" i="2262"/>
  <c r="AF105" i="2262"/>
  <c r="AG104" i="2262"/>
  <c r="AF104" i="2262"/>
  <c r="AG103" i="2262"/>
  <c r="AF103" i="2262"/>
  <c r="AG102" i="2262"/>
  <c r="AF102" i="2262"/>
  <c r="AG101" i="2262"/>
  <c r="AF101" i="2262"/>
  <c r="AG100" i="2262"/>
  <c r="AF100" i="2262"/>
  <c r="AG99" i="2262"/>
  <c r="AF99" i="2262"/>
  <c r="AG98" i="2262"/>
  <c r="AF98" i="2262"/>
  <c r="AG97" i="2262"/>
  <c r="AF97" i="2262"/>
  <c r="AG96" i="2262"/>
  <c r="AF96" i="2262"/>
  <c r="AG95" i="2262"/>
  <c r="AF95" i="2262"/>
  <c r="AG94" i="2262"/>
  <c r="AF94" i="2262"/>
  <c r="AG93" i="2262"/>
  <c r="AF93" i="2262"/>
  <c r="AG92" i="2262"/>
  <c r="AF92" i="2262"/>
  <c r="AG91" i="2262"/>
  <c r="AF91" i="2262"/>
  <c r="AG90" i="2262"/>
  <c r="AF90" i="2262"/>
  <c r="AG89" i="2262"/>
  <c r="AF89" i="2262"/>
  <c r="AG88" i="2262"/>
  <c r="AF88" i="2262"/>
  <c r="AG87" i="2262"/>
  <c r="AF87" i="2262"/>
  <c r="AG86" i="2262"/>
  <c r="AF86" i="2262"/>
  <c r="AG85" i="2262"/>
  <c r="AF85" i="2262"/>
  <c r="AG84" i="2262"/>
  <c r="AF84" i="2262"/>
  <c r="AG83" i="2262"/>
  <c r="AF83" i="2262"/>
  <c r="AG82" i="2262"/>
  <c r="AF82" i="2262"/>
  <c r="AG81" i="2262"/>
  <c r="AF81" i="2262"/>
  <c r="AG80" i="2262"/>
  <c r="AF80" i="2262"/>
  <c r="AG79" i="2262"/>
  <c r="AF79" i="2262"/>
  <c r="AG78" i="2262"/>
  <c r="AF78" i="2262"/>
  <c r="AG77" i="2262"/>
  <c r="AF77" i="2262"/>
  <c r="AG76" i="2262"/>
  <c r="AF76" i="2262"/>
  <c r="AG75" i="2262"/>
  <c r="AF75" i="2262"/>
  <c r="AG74" i="2262"/>
  <c r="AF74" i="2262"/>
  <c r="AG73" i="2262"/>
  <c r="AF73" i="2262"/>
  <c r="AG72" i="2262"/>
  <c r="AF72" i="2262"/>
  <c r="AG71" i="2262"/>
  <c r="AF71" i="2262"/>
  <c r="AG70" i="2262"/>
  <c r="AF70" i="2262"/>
  <c r="AG69" i="2262"/>
  <c r="AF69" i="2262"/>
  <c r="AG68" i="2262"/>
  <c r="AF68" i="2262"/>
  <c r="AG67" i="2262"/>
  <c r="AF67" i="2262"/>
  <c r="AG66" i="2262"/>
  <c r="AF66" i="2262"/>
  <c r="AG65" i="2262"/>
  <c r="AF65" i="2262"/>
  <c r="AG64" i="2262"/>
  <c r="AF64" i="2262"/>
  <c r="AG63" i="2262"/>
  <c r="AF63" i="2262"/>
  <c r="AG62" i="2262"/>
  <c r="AF62" i="2262"/>
  <c r="AG61" i="2262"/>
  <c r="AF61" i="2262"/>
  <c r="AG60" i="2262"/>
  <c r="AF60" i="2262"/>
  <c r="AG59" i="2262"/>
  <c r="AF59" i="2262"/>
  <c r="AG58" i="2262"/>
  <c r="AF58" i="2262"/>
  <c r="AG57" i="2262"/>
  <c r="AF57" i="2262"/>
  <c r="AG56" i="2262"/>
  <c r="AF56" i="2262"/>
  <c r="AG55" i="2262"/>
  <c r="AF55" i="2262"/>
  <c r="AG54" i="2262"/>
  <c r="AG46" i="2262" s="1"/>
  <c r="AF54" i="2262"/>
  <c r="AF46" i="2262" s="1"/>
  <c r="AG53" i="2262"/>
  <c r="AF53" i="2262"/>
  <c r="AG52" i="2262"/>
  <c r="AF52" i="2262"/>
  <c r="AG51" i="2262"/>
  <c r="AF51" i="2262"/>
  <c r="AG50" i="2262"/>
  <c r="AF50" i="2262"/>
  <c r="AG49" i="2262"/>
  <c r="AF49" i="2262"/>
  <c r="AG48" i="2262"/>
  <c r="AF48" i="2262"/>
  <c r="AG47" i="2262"/>
  <c r="AF47" i="2262"/>
  <c r="AG45" i="2262"/>
  <c r="AF45" i="2262"/>
  <c r="AG44" i="2262"/>
  <c r="AF44" i="2262"/>
  <c r="AG43" i="2262"/>
  <c r="AF43" i="2262"/>
  <c r="AG42" i="2262"/>
  <c r="AF42" i="2262"/>
  <c r="AG41" i="2262"/>
  <c r="AF41" i="2262"/>
  <c r="AG40" i="2262"/>
  <c r="AF40" i="2262"/>
  <c r="AG39" i="2262"/>
  <c r="AF39" i="2262"/>
  <c r="AG38" i="2262"/>
  <c r="AF38" i="2262"/>
  <c r="AG37" i="2262"/>
  <c r="AF37" i="2262"/>
  <c r="AG36" i="2262"/>
  <c r="AF36" i="2262"/>
  <c r="AG35" i="2262"/>
  <c r="AF35" i="2262"/>
  <c r="AG34" i="2262"/>
  <c r="AF34" i="2262"/>
  <c r="AG33" i="2262"/>
  <c r="AF33" i="2262"/>
  <c r="AG32" i="2262"/>
  <c r="AF32" i="2262"/>
  <c r="AG31" i="2262"/>
  <c r="AF31" i="2262"/>
  <c r="AG30" i="2262"/>
  <c r="AF30" i="2262"/>
  <c r="AG29" i="2262"/>
  <c r="AF29" i="2262"/>
  <c r="AG28" i="2262"/>
  <c r="AF28" i="2262"/>
  <c r="AG27" i="2262"/>
  <c r="AF27" i="2262"/>
  <c r="AG26" i="2262"/>
  <c r="AF26" i="2262"/>
  <c r="AG25" i="2262"/>
  <c r="AF25" i="2262"/>
  <c r="AG24" i="2262"/>
  <c r="AF24" i="2262"/>
  <c r="AG23" i="2262"/>
  <c r="AF23" i="2262"/>
  <c r="AG22" i="2262"/>
  <c r="AF22" i="2262"/>
  <c r="AG21" i="2262"/>
  <c r="AF21" i="2262"/>
  <c r="AG20" i="2262"/>
  <c r="AF20" i="2262"/>
  <c r="AG19" i="2262"/>
  <c r="AF19" i="2262"/>
  <c r="AG18" i="2262"/>
  <c r="AF18" i="2262"/>
  <c r="AG17" i="2262"/>
  <c r="AF17" i="2262"/>
  <c r="AG16" i="2262"/>
  <c r="AF16" i="2262"/>
  <c r="AG15" i="2262"/>
  <c r="AF15" i="2262"/>
  <c r="AG14" i="2262"/>
  <c r="AF14" i="2262"/>
  <c r="AG13" i="2262"/>
  <c r="AF13" i="2262"/>
  <c r="AG12" i="2262"/>
  <c r="AF12" i="2262"/>
  <c r="AG11" i="2262"/>
  <c r="AF11" i="2262"/>
  <c r="AG10" i="2262"/>
  <c r="AF10" i="2262"/>
  <c r="AG9" i="2262"/>
  <c r="AF9" i="2262"/>
  <c r="AG8" i="2262"/>
  <c r="AF8" i="2262"/>
  <c r="AF7" i="2262"/>
  <c r="AG7" i="2262"/>
  <c r="I2" i="2262" l="1"/>
  <c r="U11" i="2262" s="1"/>
  <c r="AM4" i="2262"/>
  <c r="G7" i="2262"/>
  <c r="I7" i="2262"/>
  <c r="K7" i="2262"/>
  <c r="M7" i="2262"/>
  <c r="Y7" i="2262"/>
  <c r="AE7" i="2262"/>
  <c r="G8" i="2262"/>
  <c r="I8" i="2262"/>
  <c r="K8" i="2262"/>
  <c r="M8" i="2262"/>
  <c r="Y8" i="2262"/>
  <c r="AE8" i="2262"/>
  <c r="G9" i="2262"/>
  <c r="I9" i="2262"/>
  <c r="K9" i="2262"/>
  <c r="M9" i="2262"/>
  <c r="Y9" i="2262"/>
  <c r="AE9" i="2262"/>
  <c r="G10" i="2262"/>
  <c r="I10" i="2262"/>
  <c r="K10" i="2262"/>
  <c r="M10" i="2262"/>
  <c r="Y10" i="2262"/>
  <c r="AE10" i="2262"/>
  <c r="G11" i="2262"/>
  <c r="I11" i="2262"/>
  <c r="K11" i="2262"/>
  <c r="M11" i="2262"/>
  <c r="Y11" i="2262"/>
  <c r="AE11" i="2262"/>
  <c r="G12" i="2262"/>
  <c r="I12" i="2262"/>
  <c r="K12" i="2262"/>
  <c r="M12" i="2262"/>
  <c r="Y12" i="2262"/>
  <c r="AE12" i="2262"/>
  <c r="G13" i="2262"/>
  <c r="I13" i="2262"/>
  <c r="K13" i="2262"/>
  <c r="M13" i="2262"/>
  <c r="Y13" i="2262"/>
  <c r="AE13" i="2262"/>
  <c r="G14" i="2262"/>
  <c r="I14" i="2262"/>
  <c r="K14" i="2262"/>
  <c r="M14" i="2262"/>
  <c r="Y14" i="2262"/>
  <c r="AE14" i="2262"/>
  <c r="G15" i="2262"/>
  <c r="I15" i="2262"/>
  <c r="K15" i="2262"/>
  <c r="M15" i="2262"/>
  <c r="Y15" i="2262"/>
  <c r="AE15" i="2262"/>
  <c r="G16" i="2262"/>
  <c r="I16" i="2262"/>
  <c r="K16" i="2262"/>
  <c r="M16" i="2262"/>
  <c r="Y16" i="2262"/>
  <c r="AE16" i="2262"/>
  <c r="G17" i="2262"/>
  <c r="I17" i="2262"/>
  <c r="K17" i="2262"/>
  <c r="M17" i="2262"/>
  <c r="Y17" i="2262"/>
  <c r="AE17" i="2262"/>
  <c r="G18" i="2262"/>
  <c r="I18" i="2262"/>
  <c r="K18" i="2262"/>
  <c r="M18" i="2262"/>
  <c r="Y18" i="2262"/>
  <c r="AE18" i="2262"/>
  <c r="G19" i="2262"/>
  <c r="I19" i="2262"/>
  <c r="K19" i="2262"/>
  <c r="M19" i="2262"/>
  <c r="Y19" i="2262"/>
  <c r="AE19" i="2262"/>
  <c r="G20" i="2262"/>
  <c r="I20" i="2262"/>
  <c r="K20" i="2262"/>
  <c r="M20" i="2262"/>
  <c r="Y20" i="2262"/>
  <c r="AE20" i="2262"/>
  <c r="G21" i="2262"/>
  <c r="I21" i="2262"/>
  <c r="K21" i="2262"/>
  <c r="M21" i="2262"/>
  <c r="Y21" i="2262"/>
  <c r="AE21" i="2262"/>
  <c r="G22" i="2262"/>
  <c r="I22" i="2262"/>
  <c r="K22" i="2262"/>
  <c r="M22" i="2262"/>
  <c r="Y22" i="2262"/>
  <c r="AE22" i="2262"/>
  <c r="G23" i="2262"/>
  <c r="I23" i="2262"/>
  <c r="K23" i="2262"/>
  <c r="M23" i="2262"/>
  <c r="Y23" i="2262"/>
  <c r="AE23" i="2262"/>
  <c r="G24" i="2262"/>
  <c r="I24" i="2262"/>
  <c r="K24" i="2262"/>
  <c r="M24" i="2262"/>
  <c r="Y24" i="2262"/>
  <c r="AE24" i="2262"/>
  <c r="G25" i="2262"/>
  <c r="I25" i="2262"/>
  <c r="K25" i="2262"/>
  <c r="M25" i="2262"/>
  <c r="Y25" i="2262"/>
  <c r="AE25" i="2262"/>
  <c r="G26" i="2262"/>
  <c r="I26" i="2262"/>
  <c r="K26" i="2262"/>
  <c r="M26" i="2262"/>
  <c r="Y26" i="2262"/>
  <c r="AE26" i="2262"/>
  <c r="G27" i="2262"/>
  <c r="I27" i="2262"/>
  <c r="K27" i="2262"/>
  <c r="M27" i="2262"/>
  <c r="Y27" i="2262"/>
  <c r="AE27" i="2262"/>
  <c r="G28" i="2262"/>
  <c r="I28" i="2262"/>
  <c r="K28" i="2262"/>
  <c r="M28" i="2262"/>
  <c r="Y28" i="2262"/>
  <c r="AE28" i="2262"/>
  <c r="G29" i="2262"/>
  <c r="I29" i="2262"/>
  <c r="K29" i="2262"/>
  <c r="M29" i="2262"/>
  <c r="Y29" i="2262"/>
  <c r="AE29" i="2262"/>
  <c r="G30" i="2262"/>
  <c r="I30" i="2262"/>
  <c r="K30" i="2262"/>
  <c r="M30" i="2262"/>
  <c r="Y30" i="2262"/>
  <c r="AE30" i="2262"/>
  <c r="G31" i="2262"/>
  <c r="I31" i="2262"/>
  <c r="K31" i="2262"/>
  <c r="M31" i="2262"/>
  <c r="Y31" i="2262"/>
  <c r="AE31" i="2262"/>
  <c r="G32" i="2262"/>
  <c r="I32" i="2262"/>
  <c r="K32" i="2262"/>
  <c r="M32" i="2262"/>
  <c r="Y32" i="2262"/>
  <c r="AE32" i="2262"/>
  <c r="G33" i="2262"/>
  <c r="I33" i="2262"/>
  <c r="K33" i="2262"/>
  <c r="M33" i="2262"/>
  <c r="Y33" i="2262"/>
  <c r="AE33" i="2262"/>
  <c r="G34" i="2262"/>
  <c r="I34" i="2262"/>
  <c r="K34" i="2262"/>
  <c r="M34" i="2262"/>
  <c r="Y34" i="2262"/>
  <c r="AE34" i="2262"/>
  <c r="G35" i="2262"/>
  <c r="I35" i="2262"/>
  <c r="K35" i="2262"/>
  <c r="M35" i="2262"/>
  <c r="Y35" i="2262"/>
  <c r="AE35" i="2262"/>
  <c r="G36" i="2262"/>
  <c r="I36" i="2262"/>
  <c r="K36" i="2262"/>
  <c r="M36" i="2262"/>
  <c r="Y36" i="2262"/>
  <c r="AE36" i="2262"/>
  <c r="G37" i="2262"/>
  <c r="I37" i="2262"/>
  <c r="K37" i="2262"/>
  <c r="M37" i="2262"/>
  <c r="Y37" i="2262"/>
  <c r="AE37" i="2262"/>
  <c r="G38" i="2262"/>
  <c r="I38" i="2262"/>
  <c r="K38" i="2262"/>
  <c r="M38" i="2262"/>
  <c r="Y38" i="2262"/>
  <c r="AE38" i="2262"/>
  <c r="G39" i="2262"/>
  <c r="I39" i="2262"/>
  <c r="K39" i="2262"/>
  <c r="M39" i="2262"/>
  <c r="Y39" i="2262"/>
  <c r="AE39" i="2262"/>
  <c r="G40" i="2262"/>
  <c r="I40" i="2262"/>
  <c r="K40" i="2262"/>
  <c r="M40" i="2262"/>
  <c r="Y40" i="2262"/>
  <c r="AE40" i="2262"/>
  <c r="G41" i="2262"/>
  <c r="I41" i="2262"/>
  <c r="K41" i="2262"/>
  <c r="M41" i="2262"/>
  <c r="Y41" i="2262"/>
  <c r="AE41" i="2262"/>
  <c r="G42" i="2262"/>
  <c r="I42" i="2262"/>
  <c r="K42" i="2262"/>
  <c r="M42" i="2262"/>
  <c r="Y42" i="2262"/>
  <c r="AE42" i="2262"/>
  <c r="G43" i="2262"/>
  <c r="I43" i="2262"/>
  <c r="K43" i="2262"/>
  <c r="M43" i="2262"/>
  <c r="Y43" i="2262"/>
  <c r="AE43" i="2262"/>
  <c r="F44" i="2262"/>
  <c r="G44" i="2262" s="1"/>
  <c r="H44" i="2262"/>
  <c r="I44" i="2262" s="1"/>
  <c r="J44" i="2262"/>
  <c r="K44" i="2262" s="1"/>
  <c r="M44" i="2262"/>
  <c r="Y44" i="2262"/>
  <c r="AE44" i="2262"/>
  <c r="F45" i="2262"/>
  <c r="G45" i="2262" s="1"/>
  <c r="K45" i="2262"/>
  <c r="M45" i="2262"/>
  <c r="Y45" i="2262"/>
  <c r="AE45" i="2262"/>
  <c r="H46" i="2262"/>
  <c r="I46" i="2262" s="1"/>
  <c r="K46" i="2262"/>
  <c r="M46" i="2262"/>
  <c r="Y46" i="2262"/>
  <c r="AE46" i="2262"/>
  <c r="G47" i="2262"/>
  <c r="I47" i="2262"/>
  <c r="K47" i="2262"/>
  <c r="M47" i="2262"/>
  <c r="R47" i="2262"/>
  <c r="Y47" i="2262"/>
  <c r="AE47" i="2262"/>
  <c r="G48" i="2262"/>
  <c r="I48" i="2262"/>
  <c r="K48" i="2262"/>
  <c r="M48" i="2262"/>
  <c r="R48" i="2262"/>
  <c r="Y48" i="2262"/>
  <c r="AE48" i="2262"/>
  <c r="G49" i="2262"/>
  <c r="I49" i="2262"/>
  <c r="K49" i="2262"/>
  <c r="M49" i="2262"/>
  <c r="R49" i="2262"/>
  <c r="Y49" i="2262"/>
  <c r="AE49" i="2262"/>
  <c r="G50" i="2262"/>
  <c r="I50" i="2262"/>
  <c r="K50" i="2262"/>
  <c r="M50" i="2262"/>
  <c r="R50" i="2262"/>
  <c r="Y50" i="2262"/>
  <c r="AE50" i="2262"/>
  <c r="G51" i="2262"/>
  <c r="I51" i="2262"/>
  <c r="K51" i="2262"/>
  <c r="M51" i="2262"/>
  <c r="R51" i="2262"/>
  <c r="Y51" i="2262"/>
  <c r="AE51" i="2262"/>
  <c r="G52" i="2262"/>
  <c r="I52" i="2262"/>
  <c r="K52" i="2262"/>
  <c r="M52" i="2262"/>
  <c r="Y52" i="2262"/>
  <c r="AE52" i="2262"/>
  <c r="G53" i="2262"/>
  <c r="I53" i="2262"/>
  <c r="K53" i="2262"/>
  <c r="M53" i="2262"/>
  <c r="R53" i="2262"/>
  <c r="Y53" i="2262"/>
  <c r="AE53" i="2262"/>
  <c r="G54" i="2262"/>
  <c r="I54" i="2262"/>
  <c r="K54" i="2262"/>
  <c r="M54" i="2262"/>
  <c r="R54" i="2262"/>
  <c r="R46" i="2262" s="1"/>
  <c r="Y54" i="2262"/>
  <c r="AE54" i="2262"/>
  <c r="G55" i="2262"/>
  <c r="I55" i="2262"/>
  <c r="K55" i="2262"/>
  <c r="M55" i="2262"/>
  <c r="R55" i="2262"/>
  <c r="Y55" i="2262"/>
  <c r="AE55" i="2262"/>
  <c r="G56" i="2262"/>
  <c r="I56" i="2262"/>
  <c r="K56" i="2262"/>
  <c r="M56" i="2262"/>
  <c r="R56" i="2262"/>
  <c r="Y56" i="2262"/>
  <c r="AE56" i="2262"/>
  <c r="G57" i="2262"/>
  <c r="I57" i="2262"/>
  <c r="K57" i="2262"/>
  <c r="M57" i="2262"/>
  <c r="R57" i="2262"/>
  <c r="Y57" i="2262"/>
  <c r="AE57" i="2262"/>
  <c r="G58" i="2262"/>
  <c r="I58" i="2262"/>
  <c r="K58" i="2262"/>
  <c r="M58" i="2262"/>
  <c r="R58" i="2262"/>
  <c r="Y58" i="2262"/>
  <c r="AE58" i="2262"/>
  <c r="G59" i="2262"/>
  <c r="I59" i="2262"/>
  <c r="K59" i="2262"/>
  <c r="M59" i="2262"/>
  <c r="R59" i="2262"/>
  <c r="Y59" i="2262"/>
  <c r="AE59" i="2262"/>
  <c r="G60" i="2262"/>
  <c r="I60" i="2262"/>
  <c r="K60" i="2262"/>
  <c r="M60" i="2262"/>
  <c r="R60" i="2262"/>
  <c r="Y60" i="2262"/>
  <c r="AE60" i="2262"/>
  <c r="G61" i="2262"/>
  <c r="I61" i="2262"/>
  <c r="K61" i="2262"/>
  <c r="M61" i="2262"/>
  <c r="R61" i="2262"/>
  <c r="Y61" i="2262"/>
  <c r="AE61" i="2262"/>
  <c r="G62" i="2262"/>
  <c r="I62" i="2262"/>
  <c r="K62" i="2262"/>
  <c r="M62" i="2262"/>
  <c r="R62" i="2262"/>
  <c r="Y62" i="2262"/>
  <c r="AE62" i="2262"/>
  <c r="G63" i="2262"/>
  <c r="I63" i="2262"/>
  <c r="K63" i="2262"/>
  <c r="M63" i="2262"/>
  <c r="R63" i="2262"/>
  <c r="Y63" i="2262"/>
  <c r="AE63" i="2262"/>
  <c r="G64" i="2262"/>
  <c r="I64" i="2262"/>
  <c r="K64" i="2262"/>
  <c r="M64" i="2262"/>
  <c r="R64" i="2262"/>
  <c r="Y64" i="2262"/>
  <c r="AE64" i="2262"/>
  <c r="G65" i="2262"/>
  <c r="I65" i="2262"/>
  <c r="K65" i="2262"/>
  <c r="M65" i="2262"/>
  <c r="R65" i="2262"/>
  <c r="Y65" i="2262"/>
  <c r="AE65" i="2262"/>
  <c r="G66" i="2262"/>
  <c r="I66" i="2262"/>
  <c r="K66" i="2262"/>
  <c r="M66" i="2262"/>
  <c r="R66" i="2262"/>
  <c r="Y66" i="2262"/>
  <c r="AE66" i="2262"/>
  <c r="G67" i="2262"/>
  <c r="I67" i="2262"/>
  <c r="K67" i="2262"/>
  <c r="M67" i="2262"/>
  <c r="Y67" i="2262"/>
  <c r="AE67" i="2262"/>
  <c r="G68" i="2262"/>
  <c r="I68" i="2262"/>
  <c r="K68" i="2262"/>
  <c r="M68" i="2262"/>
  <c r="R68" i="2262"/>
  <c r="Y68" i="2262"/>
  <c r="AE68" i="2262"/>
  <c r="G69" i="2262"/>
  <c r="I69" i="2262"/>
  <c r="K69" i="2262"/>
  <c r="M69" i="2262"/>
  <c r="R69" i="2262"/>
  <c r="Y69" i="2262"/>
  <c r="AE69" i="2262"/>
  <c r="G70" i="2262"/>
  <c r="I70" i="2262"/>
  <c r="K70" i="2262"/>
  <c r="M70" i="2262"/>
  <c r="R70" i="2262"/>
  <c r="Y70" i="2262"/>
  <c r="AE70" i="2262"/>
  <c r="G71" i="2262"/>
  <c r="I71" i="2262"/>
  <c r="K71" i="2262"/>
  <c r="M71" i="2262"/>
  <c r="Y71" i="2262"/>
  <c r="AE71" i="2262"/>
  <c r="G72" i="2262"/>
  <c r="I72" i="2262"/>
  <c r="K72" i="2262"/>
  <c r="M72" i="2262"/>
  <c r="R72" i="2262"/>
  <c r="Y72" i="2262"/>
  <c r="AE72" i="2262"/>
  <c r="G73" i="2262"/>
  <c r="I73" i="2262"/>
  <c r="K73" i="2262"/>
  <c r="M73" i="2262"/>
  <c r="Y73" i="2262"/>
  <c r="AE73" i="2262"/>
  <c r="G74" i="2262"/>
  <c r="I74" i="2262"/>
  <c r="K74" i="2262"/>
  <c r="M74" i="2262"/>
  <c r="R74" i="2262"/>
  <c r="Y74" i="2262"/>
  <c r="AE74" i="2262"/>
  <c r="G75" i="2262"/>
  <c r="I75" i="2262"/>
  <c r="K75" i="2262"/>
  <c r="M75" i="2262"/>
  <c r="R75" i="2262"/>
  <c r="Y75" i="2262"/>
  <c r="AE75" i="2262"/>
  <c r="G76" i="2262"/>
  <c r="I76" i="2262"/>
  <c r="K76" i="2262"/>
  <c r="M76" i="2262"/>
  <c r="R76" i="2262"/>
  <c r="Y76" i="2262"/>
  <c r="AE76" i="2262"/>
  <c r="G77" i="2262"/>
  <c r="I77" i="2262"/>
  <c r="K77" i="2262"/>
  <c r="M77" i="2262"/>
  <c r="R77" i="2262"/>
  <c r="Y77" i="2262"/>
  <c r="AE77" i="2262"/>
  <c r="G78" i="2262"/>
  <c r="I78" i="2262"/>
  <c r="K78" i="2262"/>
  <c r="M78" i="2262"/>
  <c r="R78" i="2262"/>
  <c r="Y78" i="2262"/>
  <c r="AE78" i="2262"/>
  <c r="G79" i="2262"/>
  <c r="I79" i="2262"/>
  <c r="K79" i="2262"/>
  <c r="M79" i="2262"/>
  <c r="R79" i="2262"/>
  <c r="Y79" i="2262"/>
  <c r="AE79" i="2262"/>
  <c r="G80" i="2262"/>
  <c r="I80" i="2262"/>
  <c r="K80" i="2262"/>
  <c r="M80" i="2262"/>
  <c r="R80" i="2262"/>
  <c r="Y80" i="2262"/>
  <c r="AE80" i="2262"/>
  <c r="G81" i="2262"/>
  <c r="I81" i="2262"/>
  <c r="K81" i="2262"/>
  <c r="M81" i="2262"/>
  <c r="Y81" i="2262"/>
  <c r="AE81" i="2262"/>
  <c r="G82" i="2262"/>
  <c r="I82" i="2262"/>
  <c r="K82" i="2262"/>
  <c r="M82" i="2262"/>
  <c r="R82" i="2262"/>
  <c r="Y82" i="2262"/>
  <c r="AE82" i="2262"/>
  <c r="G83" i="2262"/>
  <c r="I83" i="2262"/>
  <c r="K83" i="2262"/>
  <c r="M83" i="2262"/>
  <c r="R83" i="2262"/>
  <c r="Y83" i="2262"/>
  <c r="AE83" i="2262"/>
  <c r="G84" i="2262"/>
  <c r="I84" i="2262"/>
  <c r="K84" i="2262"/>
  <c r="M84" i="2262"/>
  <c r="R84" i="2262"/>
  <c r="Y84" i="2262"/>
  <c r="AE84" i="2262"/>
  <c r="G85" i="2262"/>
  <c r="I85" i="2262"/>
  <c r="K85" i="2262"/>
  <c r="M85" i="2262"/>
  <c r="Y85" i="2262"/>
  <c r="AE85" i="2262"/>
  <c r="G86" i="2262"/>
  <c r="H86" i="2262"/>
  <c r="I86" i="2262" s="1"/>
  <c r="K86" i="2262"/>
  <c r="M86" i="2262"/>
  <c r="R86" i="2262"/>
  <c r="Y86" i="2262"/>
  <c r="AE86" i="2262"/>
  <c r="G87" i="2262"/>
  <c r="H87" i="2262"/>
  <c r="K87" i="2262"/>
  <c r="M87" i="2262"/>
  <c r="R87" i="2262"/>
  <c r="R45" i="2262" s="1"/>
  <c r="Y87" i="2262"/>
  <c r="AE87" i="2262"/>
  <c r="G88" i="2262"/>
  <c r="H88" i="2262"/>
  <c r="I88" i="2262" s="1"/>
  <c r="K88" i="2262"/>
  <c r="M88" i="2262"/>
  <c r="R88" i="2262"/>
  <c r="Y88" i="2262"/>
  <c r="AE88" i="2262"/>
  <c r="F89" i="2262"/>
  <c r="G89" i="2262" s="1"/>
  <c r="I89" i="2262"/>
  <c r="K89" i="2262"/>
  <c r="M89" i="2262"/>
  <c r="Y89" i="2262"/>
  <c r="AE89" i="2262"/>
  <c r="G90" i="2262"/>
  <c r="I90" i="2262"/>
  <c r="K90" i="2262"/>
  <c r="M90" i="2262"/>
  <c r="R90" i="2262"/>
  <c r="Y90" i="2262"/>
  <c r="AE90" i="2262"/>
  <c r="G91" i="2262"/>
  <c r="I91" i="2262"/>
  <c r="K91" i="2262"/>
  <c r="M91" i="2262"/>
  <c r="R91" i="2262"/>
  <c r="Y91" i="2262"/>
  <c r="AE91" i="2262"/>
  <c r="G92" i="2262"/>
  <c r="H92" i="2262"/>
  <c r="I92" i="2262" s="1"/>
  <c r="K92" i="2262"/>
  <c r="M92" i="2262"/>
  <c r="R92" i="2262"/>
  <c r="Y92" i="2262"/>
  <c r="AE92" i="2262"/>
  <c r="G93" i="2262"/>
  <c r="H93" i="2262"/>
  <c r="I93" i="2262" s="1"/>
  <c r="K93" i="2262"/>
  <c r="M93" i="2262"/>
  <c r="R93" i="2262"/>
  <c r="Y93" i="2262"/>
  <c r="AE93" i="2262"/>
  <c r="G94" i="2262"/>
  <c r="I94" i="2262"/>
  <c r="K94" i="2262"/>
  <c r="M94" i="2262"/>
  <c r="R94" i="2262"/>
  <c r="Y94" i="2262"/>
  <c r="AE94" i="2262"/>
  <c r="G95" i="2262"/>
  <c r="I95" i="2262"/>
  <c r="K95" i="2262"/>
  <c r="M95" i="2262"/>
  <c r="R95" i="2262"/>
  <c r="Y95" i="2262"/>
  <c r="AE95" i="2262"/>
  <c r="G96" i="2262"/>
  <c r="I96" i="2262"/>
  <c r="K96" i="2262"/>
  <c r="M96" i="2262"/>
  <c r="Y96" i="2262"/>
  <c r="AE96" i="2262"/>
  <c r="G97" i="2262"/>
  <c r="I97" i="2262"/>
  <c r="K97" i="2262"/>
  <c r="M97" i="2262"/>
  <c r="R97" i="2262"/>
  <c r="Y97" i="2262"/>
  <c r="AE97" i="2262"/>
  <c r="G98" i="2262"/>
  <c r="I98" i="2262"/>
  <c r="K98" i="2262"/>
  <c r="M98" i="2262"/>
  <c r="R98" i="2262"/>
  <c r="Y98" i="2262"/>
  <c r="AE98" i="2262"/>
  <c r="G99" i="2262"/>
  <c r="I99" i="2262"/>
  <c r="K99" i="2262"/>
  <c r="M99" i="2262"/>
  <c r="R99" i="2262"/>
  <c r="Y99" i="2262"/>
  <c r="AE99" i="2262"/>
  <c r="G100" i="2262"/>
  <c r="I100" i="2262"/>
  <c r="K100" i="2262"/>
  <c r="M100" i="2262"/>
  <c r="R100" i="2262"/>
  <c r="Y100" i="2262"/>
  <c r="AE100" i="2262"/>
  <c r="G101" i="2262"/>
  <c r="I101" i="2262"/>
  <c r="K101" i="2262"/>
  <c r="M101" i="2262"/>
  <c r="Y101" i="2262"/>
  <c r="AE101" i="2262"/>
  <c r="G102" i="2262"/>
  <c r="I102" i="2262"/>
  <c r="K102" i="2262"/>
  <c r="M102" i="2262"/>
  <c r="Y102" i="2262"/>
  <c r="AE102" i="2262"/>
  <c r="G103" i="2262"/>
  <c r="I103" i="2262"/>
  <c r="K103" i="2262"/>
  <c r="M103" i="2262"/>
  <c r="S103" i="2262"/>
  <c r="Y103" i="2262"/>
  <c r="AE103" i="2262"/>
  <c r="G104" i="2262"/>
  <c r="I104" i="2262"/>
  <c r="K104" i="2262"/>
  <c r="M104" i="2262"/>
  <c r="S104" i="2262"/>
  <c r="Y104" i="2262"/>
  <c r="AE104" i="2262"/>
  <c r="G105" i="2262"/>
  <c r="I105" i="2262"/>
  <c r="K105" i="2262"/>
  <c r="M105" i="2262"/>
  <c r="S105" i="2262"/>
  <c r="Y105" i="2262"/>
  <c r="AE105" i="2262"/>
  <c r="G106" i="2262"/>
  <c r="I106" i="2262"/>
  <c r="K106" i="2262"/>
  <c r="M106" i="2262"/>
  <c r="S106" i="2262"/>
  <c r="Y106" i="2262"/>
  <c r="AE106" i="2262"/>
  <c r="G107" i="2262"/>
  <c r="I107" i="2262"/>
  <c r="K107" i="2262"/>
  <c r="M107" i="2262"/>
  <c r="S107" i="2262"/>
  <c r="Y107" i="2262"/>
  <c r="AE107" i="2262"/>
  <c r="G108" i="2262"/>
  <c r="I108" i="2262"/>
  <c r="K108" i="2262"/>
  <c r="M108" i="2262"/>
  <c r="S108" i="2262"/>
  <c r="Y108" i="2262"/>
  <c r="AE108" i="2262"/>
  <c r="G109" i="2262"/>
  <c r="I109" i="2262"/>
  <c r="K109" i="2262"/>
  <c r="M109" i="2262"/>
  <c r="S109" i="2262"/>
  <c r="Y109" i="2262"/>
  <c r="AE109" i="2262"/>
  <c r="G110" i="2262"/>
  <c r="I110" i="2262"/>
  <c r="K110" i="2262"/>
  <c r="M110" i="2262"/>
  <c r="S110" i="2262"/>
  <c r="Y110" i="2262"/>
  <c r="AE110" i="2262"/>
  <c r="G111" i="2262"/>
  <c r="I111" i="2262"/>
  <c r="K111" i="2262"/>
  <c r="M111" i="2262"/>
  <c r="R111" i="2262"/>
  <c r="S111" i="2262"/>
  <c r="Y111" i="2262"/>
  <c r="AE111" i="2262"/>
  <c r="G112" i="2262"/>
  <c r="I112" i="2262"/>
  <c r="K112" i="2262"/>
  <c r="M112" i="2262"/>
  <c r="R112" i="2262"/>
  <c r="S112" i="2262"/>
  <c r="Y112" i="2262"/>
  <c r="AE112" i="2262"/>
  <c r="F113" i="2262"/>
  <c r="G113" i="2262" s="1"/>
  <c r="I113" i="2262"/>
  <c r="K113" i="2262"/>
  <c r="M113" i="2262"/>
  <c r="R113" i="2262"/>
  <c r="S113" i="2262"/>
  <c r="Y113" i="2262"/>
  <c r="AE113" i="2262"/>
  <c r="F114" i="2262"/>
  <c r="G114" i="2262" s="1"/>
  <c r="I114" i="2262"/>
  <c r="K114" i="2262"/>
  <c r="M114" i="2262"/>
  <c r="R114" i="2262"/>
  <c r="S114" i="2262"/>
  <c r="Y114" i="2262"/>
  <c r="AE114" i="2262"/>
  <c r="F115" i="2262"/>
  <c r="G115" i="2262" s="1"/>
  <c r="I115" i="2262"/>
  <c r="K115" i="2262"/>
  <c r="M115" i="2262"/>
  <c r="R115" i="2262"/>
  <c r="S115" i="2262"/>
  <c r="Y115" i="2262"/>
  <c r="AE115" i="2262"/>
  <c r="F116" i="2262"/>
  <c r="G116" i="2262" s="1"/>
  <c r="I116" i="2262"/>
  <c r="K116" i="2262"/>
  <c r="M116" i="2262"/>
  <c r="R116" i="2262"/>
  <c r="S116" i="2262"/>
  <c r="Y116" i="2262"/>
  <c r="AE116" i="2262"/>
  <c r="F117" i="2262"/>
  <c r="G117" i="2262" s="1"/>
  <c r="I117" i="2262"/>
  <c r="K117" i="2262"/>
  <c r="M117" i="2262"/>
  <c r="R117" i="2262"/>
  <c r="S117" i="2262"/>
  <c r="Y117" i="2262"/>
  <c r="AE117" i="2262"/>
  <c r="G118" i="2262"/>
  <c r="I118" i="2262"/>
  <c r="K118" i="2262"/>
  <c r="M118" i="2262"/>
  <c r="R118" i="2262"/>
  <c r="Y118" i="2262"/>
  <c r="AE118" i="2262"/>
  <c r="G119" i="2262"/>
  <c r="I119" i="2262"/>
  <c r="K119" i="2262"/>
  <c r="M119" i="2262"/>
  <c r="R119" i="2262"/>
  <c r="Y119" i="2262"/>
  <c r="AE119" i="2262"/>
  <c r="G120" i="2262"/>
  <c r="I120" i="2262"/>
  <c r="K120" i="2262"/>
  <c r="M120" i="2262"/>
  <c r="R120" i="2262"/>
  <c r="Y120" i="2262"/>
  <c r="AE120" i="2262"/>
  <c r="G121" i="2262"/>
  <c r="I121" i="2262"/>
  <c r="K121" i="2262"/>
  <c r="M121" i="2262"/>
  <c r="R121" i="2262"/>
  <c r="Y121" i="2262"/>
  <c r="AE121" i="2262"/>
  <c r="G122" i="2262"/>
  <c r="I122" i="2262"/>
  <c r="K122" i="2262"/>
  <c r="M122" i="2262"/>
  <c r="R122" i="2262"/>
  <c r="Y122" i="2262"/>
  <c r="AE122" i="2262"/>
  <c r="G123" i="2262"/>
  <c r="I123" i="2262"/>
  <c r="K123" i="2262"/>
  <c r="M123" i="2262"/>
  <c r="R123" i="2262"/>
  <c r="Y123" i="2262"/>
  <c r="AE123" i="2262"/>
  <c r="G124" i="2262"/>
  <c r="I124" i="2262"/>
  <c r="K124" i="2262"/>
  <c r="M124" i="2262"/>
  <c r="Y124" i="2262"/>
  <c r="AE124" i="2262"/>
  <c r="G125" i="2262"/>
  <c r="I125" i="2262"/>
  <c r="K125" i="2262"/>
  <c r="M125" i="2262"/>
  <c r="R125" i="2262"/>
  <c r="Y125" i="2262"/>
  <c r="AE125" i="2262"/>
  <c r="G126" i="2262"/>
  <c r="I126" i="2262"/>
  <c r="K126" i="2262"/>
  <c r="M126" i="2262"/>
  <c r="R126" i="2262"/>
  <c r="Y126" i="2262"/>
  <c r="AE126" i="2262"/>
  <c r="G127" i="2262"/>
  <c r="I127" i="2262"/>
  <c r="K127" i="2262"/>
  <c r="M127" i="2262"/>
  <c r="R127" i="2262"/>
  <c r="Y127" i="2262"/>
  <c r="AE127" i="2262"/>
  <c r="G128" i="2262"/>
  <c r="I128" i="2262"/>
  <c r="K128" i="2262"/>
  <c r="M128" i="2262"/>
  <c r="R128" i="2262"/>
  <c r="Y128" i="2262"/>
  <c r="AE128" i="2262"/>
  <c r="G129" i="2262"/>
  <c r="I129" i="2262"/>
  <c r="K129" i="2262"/>
  <c r="M129" i="2262"/>
  <c r="R129" i="2262"/>
  <c r="Y129" i="2262"/>
  <c r="AE129" i="2262"/>
  <c r="G130" i="2262"/>
  <c r="I130" i="2262"/>
  <c r="K130" i="2262"/>
  <c r="M130" i="2262"/>
  <c r="Y130" i="2262"/>
  <c r="AE130" i="2262"/>
  <c r="G131" i="2262"/>
  <c r="I131" i="2262"/>
  <c r="K131" i="2262"/>
  <c r="M131" i="2262"/>
  <c r="R131" i="2262"/>
  <c r="Y131" i="2262"/>
  <c r="AE131" i="2262"/>
  <c r="G132" i="2262"/>
  <c r="I132" i="2262"/>
  <c r="K132" i="2262"/>
  <c r="M132" i="2262"/>
  <c r="R132" i="2262"/>
  <c r="Y132" i="2262"/>
  <c r="AE132" i="2262"/>
  <c r="G133" i="2262"/>
  <c r="I133" i="2262"/>
  <c r="K133" i="2262"/>
  <c r="M133" i="2262"/>
  <c r="R133" i="2262"/>
  <c r="Y133" i="2262"/>
  <c r="AE133" i="2262"/>
  <c r="G134" i="2262"/>
  <c r="I134" i="2262"/>
  <c r="K134" i="2262"/>
  <c r="M134" i="2262"/>
  <c r="Y134" i="2262"/>
  <c r="AE134" i="2262"/>
  <c r="G135" i="2262"/>
  <c r="I135" i="2262"/>
  <c r="K135" i="2262"/>
  <c r="M135" i="2262"/>
  <c r="R135" i="2262"/>
  <c r="Y135" i="2262"/>
  <c r="AE135" i="2262"/>
  <c r="G136" i="2262"/>
  <c r="I136" i="2262"/>
  <c r="K136" i="2262"/>
  <c r="M136" i="2262"/>
  <c r="R136" i="2262"/>
  <c r="Y136" i="2262"/>
  <c r="AE136" i="2262"/>
  <c r="G137" i="2262"/>
  <c r="I137" i="2262"/>
  <c r="K137" i="2262"/>
  <c r="M137" i="2262"/>
  <c r="Y137" i="2262"/>
  <c r="AE137" i="2262"/>
  <c r="G138" i="2262"/>
  <c r="I138" i="2262"/>
  <c r="K138" i="2262"/>
  <c r="M138" i="2262"/>
  <c r="R138" i="2262"/>
  <c r="Y138" i="2262"/>
  <c r="AE138" i="2262"/>
  <c r="G139" i="2262"/>
  <c r="I139" i="2262"/>
  <c r="K139" i="2262"/>
  <c r="M139" i="2262"/>
  <c r="Y139" i="2262"/>
  <c r="AE139" i="2262"/>
  <c r="G140" i="2262"/>
  <c r="I140" i="2262"/>
  <c r="K140" i="2262"/>
  <c r="M140" i="2262"/>
  <c r="R140" i="2262"/>
  <c r="Y140" i="2262"/>
  <c r="AE140" i="2262"/>
  <c r="G141" i="2262"/>
  <c r="I141" i="2262"/>
  <c r="K141" i="2262"/>
  <c r="M141" i="2262"/>
  <c r="R141" i="2262"/>
  <c r="Y141" i="2262"/>
  <c r="AE141" i="2262"/>
  <c r="G142" i="2262"/>
  <c r="I142" i="2262"/>
  <c r="K142" i="2262"/>
  <c r="M142" i="2262"/>
  <c r="R142" i="2262"/>
  <c r="Y142" i="2262"/>
  <c r="AE142" i="2262"/>
  <c r="G143" i="2262"/>
  <c r="I143" i="2262"/>
  <c r="K143" i="2262"/>
  <c r="M143" i="2262"/>
  <c r="R143" i="2262"/>
  <c r="Y143" i="2262"/>
  <c r="AE143" i="2262"/>
  <c r="G144" i="2262"/>
  <c r="I144" i="2262"/>
  <c r="K144" i="2262"/>
  <c r="M144" i="2262"/>
  <c r="R144" i="2262"/>
  <c r="Y144" i="2262"/>
  <c r="AE144" i="2262"/>
  <c r="G145" i="2262"/>
  <c r="I145" i="2262"/>
  <c r="K145" i="2262"/>
  <c r="M145" i="2262"/>
  <c r="R145" i="2262"/>
  <c r="Y145" i="2262"/>
  <c r="AE145" i="2262"/>
  <c r="G146" i="2262"/>
  <c r="I146" i="2262"/>
  <c r="K146" i="2262"/>
  <c r="M146" i="2262"/>
  <c r="R146" i="2262"/>
  <c r="Y146" i="2262"/>
  <c r="AE146" i="2262"/>
  <c r="G147" i="2262"/>
  <c r="I147" i="2262"/>
  <c r="K147" i="2262"/>
  <c r="M147" i="2262"/>
  <c r="R147" i="2262"/>
  <c r="Y147" i="2262"/>
  <c r="AE147" i="2262"/>
  <c r="G148" i="2262"/>
  <c r="I148" i="2262"/>
  <c r="K148" i="2262"/>
  <c r="M148" i="2262"/>
  <c r="Y148" i="2262"/>
  <c r="AE148" i="2262"/>
  <c r="G149" i="2262"/>
  <c r="I149" i="2262"/>
  <c r="K149" i="2262"/>
  <c r="M149" i="2262"/>
  <c r="Y149" i="2262"/>
  <c r="AE149" i="2262"/>
  <c r="G150" i="2262"/>
  <c r="I150" i="2262"/>
  <c r="K150" i="2262"/>
  <c r="M150" i="2262"/>
  <c r="R150" i="2262"/>
  <c r="Y150" i="2262"/>
  <c r="AE150" i="2262"/>
  <c r="G151" i="2262"/>
  <c r="I151" i="2262"/>
  <c r="K151" i="2262"/>
  <c r="M151" i="2262"/>
  <c r="R151" i="2262"/>
  <c r="Y151" i="2262"/>
  <c r="AE151" i="2262"/>
  <c r="G152" i="2262"/>
  <c r="I152" i="2262"/>
  <c r="K152" i="2262"/>
  <c r="M152" i="2262"/>
  <c r="R152" i="2262"/>
  <c r="Y152" i="2262"/>
  <c r="AE152" i="2262"/>
  <c r="G153" i="2262"/>
  <c r="I153" i="2262"/>
  <c r="K153" i="2262"/>
  <c r="M153" i="2262"/>
  <c r="R153" i="2262"/>
  <c r="Y153" i="2262"/>
  <c r="AE153" i="2262"/>
  <c r="G154" i="2262"/>
  <c r="I154" i="2262"/>
  <c r="K154" i="2262"/>
  <c r="M154" i="2262"/>
  <c r="R154" i="2262"/>
  <c r="Y154" i="2262"/>
  <c r="AE154" i="2262"/>
  <c r="G155" i="2262"/>
  <c r="I155" i="2262"/>
  <c r="K155" i="2262"/>
  <c r="M155" i="2262"/>
  <c r="R155" i="2262"/>
  <c r="Y155" i="2262"/>
  <c r="AE155" i="2262"/>
  <c r="G156" i="2262"/>
  <c r="I156" i="2262"/>
  <c r="K156" i="2262"/>
  <c r="M156" i="2262"/>
  <c r="R156" i="2262"/>
  <c r="Y156" i="2262"/>
  <c r="AE156" i="2262"/>
  <c r="G157" i="2262"/>
  <c r="I157" i="2262"/>
  <c r="K157" i="2262"/>
  <c r="M157" i="2262"/>
  <c r="R157" i="2262"/>
  <c r="Y157" i="2262"/>
  <c r="AE157" i="2262"/>
  <c r="F158" i="2262"/>
  <c r="G158" i="2262" s="1"/>
  <c r="I158" i="2262"/>
  <c r="K158" i="2262"/>
  <c r="M158" i="2262"/>
  <c r="Y158" i="2262"/>
  <c r="AE158" i="2262"/>
  <c r="G159" i="2262"/>
  <c r="I159" i="2262"/>
  <c r="K159" i="2262"/>
  <c r="M159" i="2262"/>
  <c r="R159" i="2262"/>
  <c r="Y159" i="2262"/>
  <c r="AE159" i="2262"/>
  <c r="G160" i="2262"/>
  <c r="I160" i="2262"/>
  <c r="K160" i="2262"/>
  <c r="M160" i="2262"/>
  <c r="R160" i="2262"/>
  <c r="Y160" i="2262"/>
  <c r="AE160" i="2262"/>
  <c r="G161" i="2262"/>
  <c r="I161" i="2262"/>
  <c r="K161" i="2262"/>
  <c r="M161" i="2262"/>
  <c r="R161" i="2262"/>
  <c r="Y161" i="2262"/>
  <c r="AE161" i="2262"/>
  <c r="G162" i="2262"/>
  <c r="I162" i="2262"/>
  <c r="K162" i="2262"/>
  <c r="M162" i="2262"/>
  <c r="R162" i="2262"/>
  <c r="Y162" i="2262"/>
  <c r="AE162" i="2262"/>
  <c r="G163" i="2262"/>
  <c r="I163" i="2262"/>
  <c r="K163" i="2262"/>
  <c r="M163" i="2262"/>
  <c r="R163" i="2262"/>
  <c r="Y163" i="2262"/>
  <c r="AE163" i="2262"/>
  <c r="G164" i="2262"/>
  <c r="I164" i="2262"/>
  <c r="K164" i="2262"/>
  <c r="M164" i="2262"/>
  <c r="R164" i="2262"/>
  <c r="Y164" i="2262"/>
  <c r="AE164" i="2262"/>
  <c r="G165" i="2262"/>
  <c r="I165" i="2262"/>
  <c r="K165" i="2262"/>
  <c r="M165" i="2262"/>
  <c r="R165" i="2262"/>
  <c r="Y165" i="2262"/>
  <c r="AE165" i="2262"/>
  <c r="G166" i="2262"/>
  <c r="I166" i="2262"/>
  <c r="K166" i="2262"/>
  <c r="M166" i="2262"/>
  <c r="R166" i="2262"/>
  <c r="Y166" i="2262"/>
  <c r="AE166" i="2262"/>
  <c r="G167" i="2262"/>
  <c r="I167" i="2262"/>
  <c r="K167" i="2262"/>
  <c r="M167" i="2262"/>
  <c r="R167" i="2262"/>
  <c r="Y167" i="2262"/>
  <c r="AE167" i="2262"/>
  <c r="G168" i="2262"/>
  <c r="I168" i="2262"/>
  <c r="K168" i="2262"/>
  <c r="M168" i="2262"/>
  <c r="Y168" i="2262"/>
  <c r="AE168" i="2262"/>
  <c r="G169" i="2262"/>
  <c r="I169" i="2262"/>
  <c r="K169" i="2262"/>
  <c r="M169" i="2262"/>
  <c r="Y169" i="2262"/>
  <c r="AE169" i="2262"/>
  <c r="G170" i="2262"/>
  <c r="I170" i="2262"/>
  <c r="K170" i="2262"/>
  <c r="M170" i="2262"/>
  <c r="Y170" i="2262"/>
  <c r="AE170" i="2262"/>
  <c r="G171" i="2262"/>
  <c r="I171" i="2262"/>
  <c r="K171" i="2262"/>
  <c r="M171" i="2262"/>
  <c r="Y171" i="2262"/>
  <c r="AE171" i="2262"/>
  <c r="G172" i="2262"/>
  <c r="I172" i="2262"/>
  <c r="K172" i="2262"/>
  <c r="M172" i="2262"/>
  <c r="Y172" i="2262"/>
  <c r="AE172" i="2262"/>
  <c r="G173" i="2262"/>
  <c r="I173" i="2262"/>
  <c r="K173" i="2262"/>
  <c r="M173" i="2262"/>
  <c r="Y173" i="2262"/>
  <c r="AE173" i="2262"/>
  <c r="G174" i="2262"/>
  <c r="I174" i="2262"/>
  <c r="K174" i="2262"/>
  <c r="M174" i="2262"/>
  <c r="Y174" i="2262"/>
  <c r="AE174" i="2262"/>
  <c r="G175" i="2262"/>
  <c r="H175" i="2262"/>
  <c r="I175" i="2262" s="1"/>
  <c r="K175" i="2262"/>
  <c r="M175" i="2262"/>
  <c r="R175" i="2262"/>
  <c r="Y175" i="2262"/>
  <c r="AE175" i="2262"/>
  <c r="G176" i="2262"/>
  <c r="H176" i="2262"/>
  <c r="I176" i="2262" s="1"/>
  <c r="K176" i="2262"/>
  <c r="M176" i="2262"/>
  <c r="R176" i="2262"/>
  <c r="Y176" i="2262"/>
  <c r="AE176" i="2262"/>
  <c r="G177" i="2262"/>
  <c r="H177" i="2262"/>
  <c r="I177" i="2262" s="1"/>
  <c r="K177" i="2262"/>
  <c r="M177" i="2262"/>
  <c r="R177" i="2262"/>
  <c r="Y177" i="2262"/>
  <c r="AE177" i="2262"/>
  <c r="G178" i="2262"/>
  <c r="H178" i="2262"/>
  <c r="I178" i="2262" s="1"/>
  <c r="K178" i="2262"/>
  <c r="M178" i="2262"/>
  <c r="R178" i="2262"/>
  <c r="Y178" i="2262"/>
  <c r="AE178" i="2262"/>
  <c r="G179" i="2262"/>
  <c r="I179" i="2262"/>
  <c r="K179" i="2262"/>
  <c r="M179" i="2262"/>
  <c r="R179" i="2262"/>
  <c r="Y179" i="2262"/>
  <c r="AE179" i="2262"/>
  <c r="G180" i="2262"/>
  <c r="I180" i="2262"/>
  <c r="K180" i="2262"/>
  <c r="M180" i="2262"/>
  <c r="R180" i="2262"/>
  <c r="Y180" i="2262"/>
  <c r="AE180" i="2262"/>
  <c r="G181" i="2262"/>
  <c r="H181" i="2262"/>
  <c r="I181" i="2262" s="1"/>
  <c r="K181" i="2262"/>
  <c r="M181" i="2262"/>
  <c r="R181" i="2262"/>
  <c r="Y181" i="2262"/>
  <c r="AE181" i="2262"/>
  <c r="G182" i="2262"/>
  <c r="H182" i="2262"/>
  <c r="I182" i="2262" s="1"/>
  <c r="K182" i="2262"/>
  <c r="M182" i="2262"/>
  <c r="R182" i="2262"/>
  <c r="Y182" i="2262"/>
  <c r="AE182" i="2262"/>
  <c r="G183" i="2262"/>
  <c r="H183" i="2262"/>
  <c r="I183" i="2262" s="1"/>
  <c r="K183" i="2262"/>
  <c r="M183" i="2262"/>
  <c r="R183" i="2262"/>
  <c r="Y183" i="2262"/>
  <c r="AE183" i="2262"/>
  <c r="G184" i="2262"/>
  <c r="I184" i="2262"/>
  <c r="K184" i="2262"/>
  <c r="M184" i="2262"/>
  <c r="R184" i="2262"/>
  <c r="Y184" i="2262"/>
  <c r="AE184" i="2262"/>
  <c r="G185" i="2262"/>
  <c r="I185" i="2262"/>
  <c r="K185" i="2262"/>
  <c r="M185" i="2262"/>
  <c r="R185" i="2262"/>
  <c r="Y185" i="2262"/>
  <c r="AE185" i="2262"/>
  <c r="G186" i="2262"/>
  <c r="H186" i="2262"/>
  <c r="I186" i="2262" s="1"/>
  <c r="K186" i="2262"/>
  <c r="M186" i="2262"/>
  <c r="R186" i="2262"/>
  <c r="Y186" i="2262"/>
  <c r="AE186" i="2262"/>
  <c r="G187" i="2262"/>
  <c r="I187" i="2262"/>
  <c r="K187" i="2262"/>
  <c r="M187" i="2262"/>
  <c r="Y187" i="2262"/>
  <c r="AE187" i="2262"/>
  <c r="G188" i="2262"/>
  <c r="I188" i="2262"/>
  <c r="K188" i="2262"/>
  <c r="M188" i="2262"/>
  <c r="Y188" i="2262"/>
  <c r="AE188" i="2262"/>
  <c r="G189" i="2262"/>
  <c r="I189" i="2262"/>
  <c r="K189" i="2262"/>
  <c r="M189" i="2262"/>
  <c r="Y189" i="2262"/>
  <c r="AE189" i="2262"/>
  <c r="G190" i="2262"/>
  <c r="I190" i="2262"/>
  <c r="K190" i="2262"/>
  <c r="M190" i="2262"/>
  <c r="R190" i="2262"/>
  <c r="Y190" i="2262"/>
  <c r="AE190" i="2262"/>
  <c r="G191" i="2262"/>
  <c r="I191" i="2262"/>
  <c r="K191" i="2262"/>
  <c r="M191" i="2262"/>
  <c r="Y191" i="2262"/>
  <c r="AE191" i="2262"/>
  <c r="G192" i="2262"/>
  <c r="I192" i="2262"/>
  <c r="K192" i="2262"/>
  <c r="M192" i="2262"/>
  <c r="R192" i="2262"/>
  <c r="Y192" i="2262"/>
  <c r="AE192" i="2262"/>
  <c r="E193" i="2262"/>
  <c r="F193" i="2262"/>
  <c r="G193" i="2262" s="1"/>
  <c r="I193" i="2262"/>
  <c r="K193" i="2262"/>
  <c r="M193" i="2262"/>
  <c r="P193" i="2262"/>
  <c r="S193" i="2262"/>
  <c r="Y193" i="2262"/>
  <c r="AE193" i="2262"/>
  <c r="E194" i="2262"/>
  <c r="F194" i="2262"/>
  <c r="G194" i="2262" s="1"/>
  <c r="I194" i="2262"/>
  <c r="K194" i="2262"/>
  <c r="M194" i="2262"/>
  <c r="P194" i="2262"/>
  <c r="S194" i="2262"/>
  <c r="Y194" i="2262"/>
  <c r="AE194" i="2262"/>
  <c r="F195" i="2262"/>
  <c r="G195" i="2262" s="1"/>
  <c r="I195" i="2262"/>
  <c r="K195" i="2262"/>
  <c r="M195" i="2262"/>
  <c r="P195" i="2262"/>
  <c r="S195" i="2262"/>
  <c r="Y195" i="2262"/>
  <c r="AE195" i="2262"/>
  <c r="E196" i="2262"/>
  <c r="F196" i="2262"/>
  <c r="G196" i="2262" s="1"/>
  <c r="I196" i="2262"/>
  <c r="K196" i="2262"/>
  <c r="M196" i="2262"/>
  <c r="P196" i="2262"/>
  <c r="S196" i="2262"/>
  <c r="Y196" i="2262"/>
  <c r="AE196" i="2262"/>
  <c r="E197" i="2262"/>
  <c r="F197" i="2262"/>
  <c r="G197" i="2262" s="1"/>
  <c r="I197" i="2262"/>
  <c r="K197" i="2262"/>
  <c r="M197" i="2262"/>
  <c r="P197" i="2262"/>
  <c r="S197" i="2262"/>
  <c r="Y197" i="2262"/>
  <c r="AE197" i="2262"/>
  <c r="E198" i="2262"/>
  <c r="F198" i="2262"/>
  <c r="G198" i="2262" s="1"/>
  <c r="I198" i="2262"/>
  <c r="K198" i="2262"/>
  <c r="M198" i="2262"/>
  <c r="P198" i="2262"/>
  <c r="S198" i="2262"/>
  <c r="Y198" i="2262"/>
  <c r="AE198" i="2262"/>
  <c r="E199" i="2262"/>
  <c r="F199" i="2262"/>
  <c r="G199" i="2262" s="1"/>
  <c r="I199" i="2262"/>
  <c r="K199" i="2262"/>
  <c r="M199" i="2262"/>
  <c r="P199" i="2262"/>
  <c r="S199" i="2262"/>
  <c r="Y199" i="2262"/>
  <c r="AE199" i="2262"/>
  <c r="E200" i="2262"/>
  <c r="F200" i="2262"/>
  <c r="G200" i="2262" s="1"/>
  <c r="I200" i="2262"/>
  <c r="K200" i="2262"/>
  <c r="M200" i="2262"/>
  <c r="P200" i="2262"/>
  <c r="S200" i="2262"/>
  <c r="Y200" i="2262"/>
  <c r="AE200" i="2262"/>
  <c r="E201" i="2262"/>
  <c r="F201" i="2262"/>
  <c r="G201" i="2262" s="1"/>
  <c r="I201" i="2262"/>
  <c r="K201" i="2262"/>
  <c r="M201" i="2262"/>
  <c r="P201" i="2262"/>
  <c r="S201" i="2262"/>
  <c r="Y201" i="2262"/>
  <c r="AE201" i="2262"/>
  <c r="E202" i="2262"/>
  <c r="F202" i="2262"/>
  <c r="G202" i="2262" s="1"/>
  <c r="I202" i="2262"/>
  <c r="K202" i="2262"/>
  <c r="M202" i="2262"/>
  <c r="P202" i="2262"/>
  <c r="S202" i="2262"/>
  <c r="Y202" i="2262"/>
  <c r="AE202" i="2262"/>
  <c r="E203" i="2262"/>
  <c r="F203" i="2262"/>
  <c r="G203" i="2262" s="1"/>
  <c r="I203" i="2262"/>
  <c r="K203" i="2262"/>
  <c r="M203" i="2262"/>
  <c r="P203" i="2262"/>
  <c r="S203" i="2262"/>
  <c r="Y203" i="2262"/>
  <c r="AE203" i="2262"/>
  <c r="E204" i="2262"/>
  <c r="F204" i="2262"/>
  <c r="G204" i="2262" s="1"/>
  <c r="I204" i="2262"/>
  <c r="K204" i="2262"/>
  <c r="M204" i="2262"/>
  <c r="P204" i="2262"/>
  <c r="S204" i="2262"/>
  <c r="Y204" i="2262"/>
  <c r="AE204" i="2262"/>
  <c r="E205" i="2262"/>
  <c r="F205" i="2262"/>
  <c r="G205" i="2262" s="1"/>
  <c r="I205" i="2262"/>
  <c r="K205" i="2262"/>
  <c r="M205" i="2262"/>
  <c r="P205" i="2262"/>
  <c r="S205" i="2262"/>
  <c r="Y205" i="2262"/>
  <c r="AE205" i="2262"/>
  <c r="E206" i="2262"/>
  <c r="F206" i="2262"/>
  <c r="G206" i="2262" s="1"/>
  <c r="I206" i="2262"/>
  <c r="K206" i="2262"/>
  <c r="M206" i="2262"/>
  <c r="P206" i="2262"/>
  <c r="S206" i="2262"/>
  <c r="Y206" i="2262"/>
  <c r="AE206" i="2262"/>
  <c r="E207" i="2262"/>
  <c r="F207" i="2262"/>
  <c r="G207" i="2262" s="1"/>
  <c r="I207" i="2262"/>
  <c r="K207" i="2262"/>
  <c r="M207" i="2262"/>
  <c r="P207" i="2262"/>
  <c r="S207" i="2262"/>
  <c r="Y207" i="2262"/>
  <c r="AE207" i="2262"/>
  <c r="E208" i="2262"/>
  <c r="F208" i="2262"/>
  <c r="G208" i="2262" s="1"/>
  <c r="I208" i="2262"/>
  <c r="K208" i="2262"/>
  <c r="M208" i="2262"/>
  <c r="P208" i="2262"/>
  <c r="S208" i="2262"/>
  <c r="Y208" i="2262"/>
  <c r="AE208" i="2262"/>
  <c r="E209" i="2262"/>
  <c r="F209" i="2262"/>
  <c r="G209" i="2262" s="1"/>
  <c r="I209" i="2262"/>
  <c r="K209" i="2262"/>
  <c r="M209" i="2262"/>
  <c r="P209" i="2262"/>
  <c r="S209" i="2262"/>
  <c r="Y209" i="2262"/>
  <c r="AE209" i="2262"/>
  <c r="E210" i="2262"/>
  <c r="F210" i="2262"/>
  <c r="G210" i="2262" s="1"/>
  <c r="I210" i="2262"/>
  <c r="K210" i="2262"/>
  <c r="M210" i="2262"/>
  <c r="P210" i="2262"/>
  <c r="S210" i="2262"/>
  <c r="Y210" i="2262"/>
  <c r="AE210" i="2262"/>
  <c r="E211" i="2262"/>
  <c r="F211" i="2262"/>
  <c r="G211" i="2262" s="1"/>
  <c r="I211" i="2262"/>
  <c r="K211" i="2262"/>
  <c r="M211" i="2262"/>
  <c r="P211" i="2262"/>
  <c r="S211" i="2262"/>
  <c r="Y211" i="2262"/>
  <c r="AE211" i="2262"/>
  <c r="E212" i="2262"/>
  <c r="F212" i="2262"/>
  <c r="G212" i="2262" s="1"/>
  <c r="I212" i="2262"/>
  <c r="K212" i="2262"/>
  <c r="M212" i="2262"/>
  <c r="P212" i="2262"/>
  <c r="S212" i="2262"/>
  <c r="Y212" i="2262"/>
  <c r="AE212" i="2262"/>
  <c r="E213" i="2262"/>
  <c r="F213" i="2262"/>
  <c r="G213" i="2262" s="1"/>
  <c r="I213" i="2262"/>
  <c r="K213" i="2262"/>
  <c r="M213" i="2262"/>
  <c r="P213" i="2262"/>
  <c r="S213" i="2262"/>
  <c r="Y213" i="2262"/>
  <c r="AE213" i="2262"/>
  <c r="E214" i="2262"/>
  <c r="F214" i="2262"/>
  <c r="G214" i="2262" s="1"/>
  <c r="I214" i="2262"/>
  <c r="K214" i="2262"/>
  <c r="M214" i="2262"/>
  <c r="P214" i="2262"/>
  <c r="S214" i="2262"/>
  <c r="Y214" i="2262"/>
  <c r="AE214" i="2262"/>
  <c r="E215" i="2262"/>
  <c r="F215" i="2262"/>
  <c r="G215" i="2262" s="1"/>
  <c r="I215" i="2262"/>
  <c r="K215" i="2262"/>
  <c r="M215" i="2262"/>
  <c r="P215" i="2262"/>
  <c r="S215" i="2262"/>
  <c r="Y215" i="2262"/>
  <c r="AE215" i="2262"/>
  <c r="E216" i="2262"/>
  <c r="F216" i="2262"/>
  <c r="G216" i="2262" s="1"/>
  <c r="I216" i="2262"/>
  <c r="K216" i="2262"/>
  <c r="M216" i="2262"/>
  <c r="P216" i="2262"/>
  <c r="S216" i="2262"/>
  <c r="Y216" i="2262"/>
  <c r="AE216" i="2262"/>
  <c r="E217" i="2262"/>
  <c r="F217" i="2262"/>
  <c r="G217" i="2262" s="1"/>
  <c r="I217" i="2262"/>
  <c r="K217" i="2262"/>
  <c r="M217" i="2262"/>
  <c r="P217" i="2262"/>
  <c r="S217" i="2262"/>
  <c r="Y217" i="2262"/>
  <c r="AE217" i="2262"/>
  <c r="E218" i="2262"/>
  <c r="F218" i="2262"/>
  <c r="G218" i="2262" s="1"/>
  <c r="I218" i="2262"/>
  <c r="K218" i="2262"/>
  <c r="M218" i="2262"/>
  <c r="P218" i="2262"/>
  <c r="S218" i="2262"/>
  <c r="Y218" i="2262"/>
  <c r="AE218" i="2262"/>
  <c r="E219" i="2262"/>
  <c r="F219" i="2262"/>
  <c r="G219" i="2262" s="1"/>
  <c r="I219" i="2262"/>
  <c r="K219" i="2262"/>
  <c r="M219" i="2262"/>
  <c r="P219" i="2262"/>
  <c r="S219" i="2262"/>
  <c r="Y219" i="2262"/>
  <c r="AE219" i="2262"/>
  <c r="E220" i="2262"/>
  <c r="F220" i="2262"/>
  <c r="G220" i="2262" s="1"/>
  <c r="I220" i="2262"/>
  <c r="K220" i="2262"/>
  <c r="M220" i="2262"/>
  <c r="P220" i="2262"/>
  <c r="S220" i="2262"/>
  <c r="Y220" i="2262"/>
  <c r="AE220" i="2262"/>
  <c r="E221" i="2262"/>
  <c r="F221" i="2262"/>
  <c r="G221" i="2262" s="1"/>
  <c r="I221" i="2262"/>
  <c r="K221" i="2262"/>
  <c r="M221" i="2262"/>
  <c r="P221" i="2262"/>
  <c r="S221" i="2262"/>
  <c r="Y221" i="2262"/>
  <c r="AE221" i="2262"/>
  <c r="E222" i="2262"/>
  <c r="F222" i="2262"/>
  <c r="G222" i="2262" s="1"/>
  <c r="I222" i="2262"/>
  <c r="K222" i="2262"/>
  <c r="M222" i="2262"/>
  <c r="P222" i="2262"/>
  <c r="S222" i="2262"/>
  <c r="Y222" i="2262"/>
  <c r="AE222" i="2262"/>
  <c r="E223" i="2262"/>
  <c r="F223" i="2262"/>
  <c r="G223" i="2262" s="1"/>
  <c r="I223" i="2262"/>
  <c r="K223" i="2262"/>
  <c r="M223" i="2262"/>
  <c r="P223" i="2262"/>
  <c r="S223" i="2262"/>
  <c r="Y223" i="2262"/>
  <c r="AE223" i="2262"/>
  <c r="E224" i="2262"/>
  <c r="F224" i="2262"/>
  <c r="G224" i="2262" s="1"/>
  <c r="I224" i="2262"/>
  <c r="K224" i="2262"/>
  <c r="M224" i="2262"/>
  <c r="P224" i="2262"/>
  <c r="S224" i="2262"/>
  <c r="Y224" i="2262"/>
  <c r="AE224" i="2262"/>
  <c r="E225" i="2262"/>
  <c r="F225" i="2262"/>
  <c r="G225" i="2262" s="1"/>
  <c r="I225" i="2262"/>
  <c r="K225" i="2262"/>
  <c r="M225" i="2262"/>
  <c r="P225" i="2262"/>
  <c r="S225" i="2262"/>
  <c r="Y225" i="2262"/>
  <c r="AE225" i="2262"/>
  <c r="E226" i="2262"/>
  <c r="F226" i="2262"/>
  <c r="G226" i="2262" s="1"/>
  <c r="I226" i="2262"/>
  <c r="K226" i="2262"/>
  <c r="M226" i="2262"/>
  <c r="P226" i="2262"/>
  <c r="S226" i="2262"/>
  <c r="Y226" i="2262"/>
  <c r="AE226" i="2262"/>
  <c r="E227" i="2262"/>
  <c r="F227" i="2262"/>
  <c r="G227" i="2262" s="1"/>
  <c r="I227" i="2262"/>
  <c r="K227" i="2262"/>
  <c r="M227" i="2262"/>
  <c r="P227" i="2262"/>
  <c r="S227" i="2262"/>
  <c r="Y227" i="2262"/>
  <c r="AE227" i="2262"/>
  <c r="E228" i="2262"/>
  <c r="F228" i="2262"/>
  <c r="G228" i="2262" s="1"/>
  <c r="I228" i="2262"/>
  <c r="K228" i="2262"/>
  <c r="M228" i="2262"/>
  <c r="P228" i="2262"/>
  <c r="S228" i="2262"/>
  <c r="Y228" i="2262"/>
  <c r="AE228" i="2262"/>
  <c r="E229" i="2262"/>
  <c r="F229" i="2262"/>
  <c r="G229" i="2262" s="1"/>
  <c r="I229" i="2262"/>
  <c r="K229" i="2262"/>
  <c r="M229" i="2262"/>
  <c r="P229" i="2262"/>
  <c r="S229" i="2262"/>
  <c r="Y229" i="2262"/>
  <c r="AE229" i="2262"/>
  <c r="E230" i="2262"/>
  <c r="F230" i="2262"/>
  <c r="G230" i="2262" s="1"/>
  <c r="I230" i="2262"/>
  <c r="K230" i="2262"/>
  <c r="M230" i="2262"/>
  <c r="P230" i="2262"/>
  <c r="S230" i="2262"/>
  <c r="Y230" i="2262"/>
  <c r="AE230" i="2262"/>
  <c r="E231" i="2262"/>
  <c r="F231" i="2262"/>
  <c r="G231" i="2262" s="1"/>
  <c r="I231" i="2262"/>
  <c r="K231" i="2262"/>
  <c r="M231" i="2262"/>
  <c r="P231" i="2262"/>
  <c r="S231" i="2262"/>
  <c r="Y231" i="2262"/>
  <c r="AE231" i="2262"/>
  <c r="E232" i="2262"/>
  <c r="F232" i="2262"/>
  <c r="G232" i="2262" s="1"/>
  <c r="I232" i="2262"/>
  <c r="K232" i="2262"/>
  <c r="M232" i="2262"/>
  <c r="P232" i="2262"/>
  <c r="S232" i="2262"/>
  <c r="Y232" i="2262"/>
  <c r="AE232" i="2262"/>
  <c r="E233" i="2262"/>
  <c r="F233" i="2262"/>
  <c r="G233" i="2262" s="1"/>
  <c r="I233" i="2262"/>
  <c r="K233" i="2262"/>
  <c r="M233" i="2262"/>
  <c r="P233" i="2262"/>
  <c r="S233" i="2262"/>
  <c r="Y233" i="2262"/>
  <c r="AE233" i="2262"/>
  <c r="E234" i="2262"/>
  <c r="F234" i="2262"/>
  <c r="G234" i="2262" s="1"/>
  <c r="I234" i="2262"/>
  <c r="K234" i="2262"/>
  <c r="M234" i="2262"/>
  <c r="P234" i="2262"/>
  <c r="S234" i="2262"/>
  <c r="Y234" i="2262"/>
  <c r="AE234" i="2262"/>
  <c r="E235" i="2262"/>
  <c r="F235" i="2262"/>
  <c r="G235" i="2262" s="1"/>
  <c r="I235" i="2262"/>
  <c r="K235" i="2262"/>
  <c r="M235" i="2262"/>
  <c r="P235" i="2262"/>
  <c r="S235" i="2262"/>
  <c r="Y235" i="2262"/>
  <c r="AE235" i="2262"/>
  <c r="E236" i="2262"/>
  <c r="F236" i="2262"/>
  <c r="G236" i="2262" s="1"/>
  <c r="I236" i="2262"/>
  <c r="K236" i="2262"/>
  <c r="M236" i="2262"/>
  <c r="P236" i="2262"/>
  <c r="S236" i="2262"/>
  <c r="Y236" i="2262"/>
  <c r="AE236" i="2262"/>
  <c r="E237" i="2262"/>
  <c r="F237" i="2262"/>
  <c r="G237" i="2262" s="1"/>
  <c r="I237" i="2262"/>
  <c r="K237" i="2262"/>
  <c r="M237" i="2262"/>
  <c r="P237" i="2262"/>
  <c r="S237" i="2262"/>
  <c r="Y237" i="2262"/>
  <c r="AE237" i="2262"/>
  <c r="E238" i="2262"/>
  <c r="F238" i="2262"/>
  <c r="G238" i="2262" s="1"/>
  <c r="I238" i="2262"/>
  <c r="K238" i="2262"/>
  <c r="M238" i="2262"/>
  <c r="P238" i="2262"/>
  <c r="S238" i="2262"/>
  <c r="Y238" i="2262"/>
  <c r="AE238" i="2262"/>
  <c r="E239" i="2262"/>
  <c r="F239" i="2262"/>
  <c r="F46" i="2262" s="1"/>
  <c r="G46" i="2262" s="1"/>
  <c r="I239" i="2262"/>
  <c r="K239" i="2262"/>
  <c r="M239" i="2262"/>
  <c r="P239" i="2262"/>
  <c r="S239" i="2262"/>
  <c r="Y239" i="2262"/>
  <c r="AE239" i="2262"/>
  <c r="E240" i="2262"/>
  <c r="F240" i="2262"/>
  <c r="G240" i="2262" s="1"/>
  <c r="I240" i="2262"/>
  <c r="K240" i="2262"/>
  <c r="M240" i="2262"/>
  <c r="P240" i="2262"/>
  <c r="S240" i="2262"/>
  <c r="Y240" i="2262"/>
  <c r="AE240" i="2262"/>
  <c r="E241" i="2262"/>
  <c r="F241" i="2262"/>
  <c r="G241" i="2262" s="1"/>
  <c r="I241" i="2262"/>
  <c r="K241" i="2262"/>
  <c r="M241" i="2262"/>
  <c r="P241" i="2262"/>
  <c r="S241" i="2262"/>
  <c r="Y241" i="2262"/>
  <c r="AE241" i="2262"/>
  <c r="E242" i="2262"/>
  <c r="F242" i="2262"/>
  <c r="G242" i="2262" s="1"/>
  <c r="I242" i="2262"/>
  <c r="K242" i="2262"/>
  <c r="M242" i="2262"/>
  <c r="P242" i="2262"/>
  <c r="S242" i="2262"/>
  <c r="Y242" i="2262"/>
  <c r="AE242" i="2262"/>
  <c r="E243" i="2262"/>
  <c r="F243" i="2262"/>
  <c r="G243" i="2262" s="1"/>
  <c r="I243" i="2262"/>
  <c r="K243" i="2262"/>
  <c r="M243" i="2262"/>
  <c r="P243" i="2262"/>
  <c r="S243" i="2262"/>
  <c r="Y243" i="2262"/>
  <c r="AE243" i="2262"/>
  <c r="E244" i="2262"/>
  <c r="F244" i="2262"/>
  <c r="G244" i="2262" s="1"/>
  <c r="I244" i="2262"/>
  <c r="K244" i="2262"/>
  <c r="M244" i="2262"/>
  <c r="P244" i="2262"/>
  <c r="S244" i="2262"/>
  <c r="Y244" i="2262"/>
  <c r="AE244" i="2262"/>
  <c r="E245" i="2262"/>
  <c r="F245" i="2262"/>
  <c r="G245" i="2262" s="1"/>
  <c r="I245" i="2262"/>
  <c r="K245" i="2262"/>
  <c r="M245" i="2262"/>
  <c r="P245" i="2262"/>
  <c r="S245" i="2262"/>
  <c r="Y245" i="2262"/>
  <c r="AE245" i="2262"/>
  <c r="E246" i="2262"/>
  <c r="F246" i="2262"/>
  <c r="G246" i="2262" s="1"/>
  <c r="I246" i="2262"/>
  <c r="K246" i="2262"/>
  <c r="M246" i="2262"/>
  <c r="P246" i="2262"/>
  <c r="S246" i="2262"/>
  <c r="Y246" i="2262"/>
  <c r="AE246" i="2262"/>
  <c r="E247" i="2262"/>
  <c r="F247" i="2262"/>
  <c r="G247" i="2262" s="1"/>
  <c r="I247" i="2262"/>
  <c r="K247" i="2262"/>
  <c r="M247" i="2262"/>
  <c r="P247" i="2262"/>
  <c r="S247" i="2262"/>
  <c r="Y247" i="2262"/>
  <c r="AE247" i="2262"/>
  <c r="E248" i="2262"/>
  <c r="F248" i="2262"/>
  <c r="G248" i="2262" s="1"/>
  <c r="I248" i="2262"/>
  <c r="K248" i="2262"/>
  <c r="M248" i="2262"/>
  <c r="P248" i="2262"/>
  <c r="S248" i="2262"/>
  <c r="Y248" i="2262"/>
  <c r="AE248" i="2262"/>
  <c r="E249" i="2262"/>
  <c r="F249" i="2262"/>
  <c r="G249" i="2262" s="1"/>
  <c r="I249" i="2262"/>
  <c r="K249" i="2262"/>
  <c r="M249" i="2262"/>
  <c r="P249" i="2262"/>
  <c r="S249" i="2262"/>
  <c r="Y249" i="2262"/>
  <c r="AE249" i="2262"/>
  <c r="E250" i="2262"/>
  <c r="F250" i="2262"/>
  <c r="G250" i="2262" s="1"/>
  <c r="I250" i="2262"/>
  <c r="K250" i="2262"/>
  <c r="M250" i="2262"/>
  <c r="P250" i="2262"/>
  <c r="S250" i="2262"/>
  <c r="Y250" i="2262"/>
  <c r="AE250" i="2262"/>
  <c r="E251" i="2262"/>
  <c r="F251" i="2262"/>
  <c r="G251" i="2262" s="1"/>
  <c r="I251" i="2262"/>
  <c r="K251" i="2262"/>
  <c r="M251" i="2262"/>
  <c r="P251" i="2262"/>
  <c r="S251" i="2262"/>
  <c r="Y251" i="2262"/>
  <c r="AE251" i="2262"/>
  <c r="E252" i="2262"/>
  <c r="F252" i="2262"/>
  <c r="G252" i="2262" s="1"/>
  <c r="I252" i="2262"/>
  <c r="K252" i="2262"/>
  <c r="M252" i="2262"/>
  <c r="P252" i="2262"/>
  <c r="S252" i="2262"/>
  <c r="Y252" i="2262"/>
  <c r="AE252" i="2262"/>
  <c r="E253" i="2262"/>
  <c r="F253" i="2262"/>
  <c r="G253" i="2262" s="1"/>
  <c r="I253" i="2262"/>
  <c r="K253" i="2262"/>
  <c r="M253" i="2262"/>
  <c r="P253" i="2262"/>
  <c r="S253" i="2262"/>
  <c r="Y253" i="2262"/>
  <c r="AE253" i="2262"/>
  <c r="E254" i="2262"/>
  <c r="F254" i="2262"/>
  <c r="G254" i="2262" s="1"/>
  <c r="I254" i="2262"/>
  <c r="K254" i="2262"/>
  <c r="M254" i="2262"/>
  <c r="P254" i="2262"/>
  <c r="S254" i="2262"/>
  <c r="Y254" i="2262"/>
  <c r="AE254" i="2262"/>
  <c r="E255" i="2262"/>
  <c r="F255" i="2262"/>
  <c r="G255" i="2262" s="1"/>
  <c r="I255" i="2262"/>
  <c r="K255" i="2262"/>
  <c r="M255" i="2262"/>
  <c r="P255" i="2262"/>
  <c r="S255" i="2262"/>
  <c r="Y255" i="2262"/>
  <c r="AE255" i="2262"/>
  <c r="E256" i="2262"/>
  <c r="F256" i="2262"/>
  <c r="G256" i="2262" s="1"/>
  <c r="I256" i="2262"/>
  <c r="K256" i="2262"/>
  <c r="M256" i="2262"/>
  <c r="P256" i="2262"/>
  <c r="S256" i="2262"/>
  <c r="Y256" i="2262"/>
  <c r="AE256" i="2262"/>
  <c r="E257" i="2262"/>
  <c r="F257" i="2262"/>
  <c r="G257" i="2262" s="1"/>
  <c r="I257" i="2262"/>
  <c r="K257" i="2262"/>
  <c r="M257" i="2262"/>
  <c r="P257" i="2262"/>
  <c r="S257" i="2262"/>
  <c r="Y257" i="2262"/>
  <c r="AE257" i="2262"/>
  <c r="E258" i="2262"/>
  <c r="F258" i="2262"/>
  <c r="G258" i="2262" s="1"/>
  <c r="I258" i="2262"/>
  <c r="K258" i="2262"/>
  <c r="M258" i="2262"/>
  <c r="P258" i="2262"/>
  <c r="S258" i="2262"/>
  <c r="Y258" i="2262"/>
  <c r="AE258" i="2262"/>
  <c r="E259" i="2262"/>
  <c r="F259" i="2262"/>
  <c r="G259" i="2262" s="1"/>
  <c r="I259" i="2262"/>
  <c r="K259" i="2262"/>
  <c r="M259" i="2262"/>
  <c r="P259" i="2262"/>
  <c r="S259" i="2262"/>
  <c r="Y259" i="2262"/>
  <c r="AE259" i="2262"/>
  <c r="E260" i="2262"/>
  <c r="F260" i="2262"/>
  <c r="G260" i="2262" s="1"/>
  <c r="I260" i="2262"/>
  <c r="K260" i="2262"/>
  <c r="M260" i="2262"/>
  <c r="P260" i="2262"/>
  <c r="S260" i="2262"/>
  <c r="Y260" i="2262"/>
  <c r="AE260" i="2262"/>
  <c r="E261" i="2262"/>
  <c r="F261" i="2262"/>
  <c r="G261" i="2262" s="1"/>
  <c r="I261" i="2262"/>
  <c r="K261" i="2262"/>
  <c r="M261" i="2262"/>
  <c r="P261" i="2262"/>
  <c r="S261" i="2262"/>
  <c r="Y261" i="2262"/>
  <c r="AE261" i="2262"/>
  <c r="E262" i="2262"/>
  <c r="F262" i="2262"/>
  <c r="G262" i="2262" s="1"/>
  <c r="I262" i="2262"/>
  <c r="K262" i="2262"/>
  <c r="M262" i="2262"/>
  <c r="P262" i="2262"/>
  <c r="S262" i="2262"/>
  <c r="Y262" i="2262"/>
  <c r="AE262" i="2262"/>
  <c r="E263" i="2262"/>
  <c r="F263" i="2262"/>
  <c r="G263" i="2262" s="1"/>
  <c r="I263" i="2262"/>
  <c r="K263" i="2262"/>
  <c r="M263" i="2262"/>
  <c r="P263" i="2262"/>
  <c r="S263" i="2262"/>
  <c r="Y263" i="2262"/>
  <c r="AE263" i="2262"/>
  <c r="E264" i="2262"/>
  <c r="F264" i="2262"/>
  <c r="G264" i="2262" s="1"/>
  <c r="I264" i="2262"/>
  <c r="K264" i="2262"/>
  <c r="M264" i="2262"/>
  <c r="P264" i="2262"/>
  <c r="S264" i="2262"/>
  <c r="Y264" i="2262"/>
  <c r="AE264" i="2262"/>
  <c r="E265" i="2262"/>
  <c r="F265" i="2262"/>
  <c r="G265" i="2262" s="1"/>
  <c r="I265" i="2262"/>
  <c r="K265" i="2262"/>
  <c r="M265" i="2262"/>
  <c r="P265" i="2262"/>
  <c r="S265" i="2262"/>
  <c r="Y265" i="2262"/>
  <c r="AE265" i="2262"/>
  <c r="E266" i="2262"/>
  <c r="F266" i="2262"/>
  <c r="G266" i="2262" s="1"/>
  <c r="I266" i="2262"/>
  <c r="K266" i="2262"/>
  <c r="M266" i="2262"/>
  <c r="P266" i="2262"/>
  <c r="S266" i="2262"/>
  <c r="Y266" i="2262"/>
  <c r="AE266" i="2262"/>
  <c r="E267" i="2262"/>
  <c r="F267" i="2262"/>
  <c r="G267" i="2262" s="1"/>
  <c r="I267" i="2262"/>
  <c r="K267" i="2262"/>
  <c r="M267" i="2262"/>
  <c r="P267" i="2262"/>
  <c r="S267" i="2262"/>
  <c r="Y267" i="2262"/>
  <c r="AE267" i="2262"/>
  <c r="E268" i="2262"/>
  <c r="F268" i="2262"/>
  <c r="G268" i="2262" s="1"/>
  <c r="I268" i="2262"/>
  <c r="K268" i="2262"/>
  <c r="M268" i="2262"/>
  <c r="P268" i="2262"/>
  <c r="S268" i="2262"/>
  <c r="Y268" i="2262"/>
  <c r="AE268" i="2262"/>
  <c r="E269" i="2262"/>
  <c r="F269" i="2262"/>
  <c r="G269" i="2262" s="1"/>
  <c r="I269" i="2262"/>
  <c r="K269" i="2262"/>
  <c r="M269" i="2262"/>
  <c r="P269" i="2262"/>
  <c r="S269" i="2262"/>
  <c r="Y269" i="2262"/>
  <c r="AE269" i="2262"/>
  <c r="E270" i="2262"/>
  <c r="F270" i="2262"/>
  <c r="G270" i="2262" s="1"/>
  <c r="I270" i="2262"/>
  <c r="K270" i="2262"/>
  <c r="M270" i="2262"/>
  <c r="P270" i="2262"/>
  <c r="S270" i="2262"/>
  <c r="Y270" i="2262"/>
  <c r="AE270" i="2262"/>
  <c r="E271" i="2262"/>
  <c r="F271" i="2262"/>
  <c r="G271" i="2262" s="1"/>
  <c r="I271" i="2262"/>
  <c r="K271" i="2262"/>
  <c r="M271" i="2262"/>
  <c r="P271" i="2262"/>
  <c r="S271" i="2262"/>
  <c r="Y271" i="2262"/>
  <c r="AE271" i="2262"/>
  <c r="E272" i="2262"/>
  <c r="F272" i="2262"/>
  <c r="G272" i="2262" s="1"/>
  <c r="I272" i="2262"/>
  <c r="K272" i="2262"/>
  <c r="M272" i="2262"/>
  <c r="P272" i="2262"/>
  <c r="S272" i="2262"/>
  <c r="Y272" i="2262"/>
  <c r="AE272" i="2262"/>
  <c r="E273" i="2262"/>
  <c r="F273" i="2262"/>
  <c r="G273" i="2262" s="1"/>
  <c r="I273" i="2262"/>
  <c r="K273" i="2262"/>
  <c r="M273" i="2262"/>
  <c r="P273" i="2262"/>
  <c r="S273" i="2262"/>
  <c r="Y273" i="2262"/>
  <c r="AE273" i="2262"/>
  <c r="E274" i="2262"/>
  <c r="F274" i="2262"/>
  <c r="G274" i="2262" s="1"/>
  <c r="I274" i="2262"/>
  <c r="K274" i="2262"/>
  <c r="M274" i="2262"/>
  <c r="P274" i="2262"/>
  <c r="S274" i="2262"/>
  <c r="Y274" i="2262"/>
  <c r="AE274" i="2262"/>
  <c r="E275" i="2262"/>
  <c r="F275" i="2262"/>
  <c r="G275" i="2262" s="1"/>
  <c r="I275" i="2262"/>
  <c r="K275" i="2262"/>
  <c r="M275" i="2262"/>
  <c r="P275" i="2262"/>
  <c r="S275" i="2262"/>
  <c r="Y275" i="2262"/>
  <c r="AE275" i="2262"/>
  <c r="E276" i="2262"/>
  <c r="F276" i="2262"/>
  <c r="G276" i="2262" s="1"/>
  <c r="I276" i="2262"/>
  <c r="K276" i="2262"/>
  <c r="M276" i="2262"/>
  <c r="P276" i="2262"/>
  <c r="S276" i="2262"/>
  <c r="Y276" i="2262"/>
  <c r="AE276" i="2262"/>
  <c r="E277" i="2262"/>
  <c r="F277" i="2262"/>
  <c r="G277" i="2262" s="1"/>
  <c r="I277" i="2262"/>
  <c r="K277" i="2262"/>
  <c r="M277" i="2262"/>
  <c r="P277" i="2262"/>
  <c r="S277" i="2262"/>
  <c r="Y277" i="2262"/>
  <c r="AE277" i="2262"/>
  <c r="E278" i="2262"/>
  <c r="F278" i="2262"/>
  <c r="G278" i="2262" s="1"/>
  <c r="I278" i="2262"/>
  <c r="K278" i="2262"/>
  <c r="M278" i="2262"/>
  <c r="P278" i="2262"/>
  <c r="S278" i="2262"/>
  <c r="Y278" i="2262"/>
  <c r="AE278" i="2262"/>
  <c r="E279" i="2262"/>
  <c r="F279" i="2262"/>
  <c r="G279" i="2262" s="1"/>
  <c r="I279" i="2262"/>
  <c r="K279" i="2262"/>
  <c r="M279" i="2262"/>
  <c r="P279" i="2262"/>
  <c r="S279" i="2262"/>
  <c r="Y279" i="2262"/>
  <c r="AE279" i="2262"/>
  <c r="E280" i="2262"/>
  <c r="F280" i="2262"/>
  <c r="G280" i="2262" s="1"/>
  <c r="I280" i="2262"/>
  <c r="K280" i="2262"/>
  <c r="M280" i="2262"/>
  <c r="P280" i="2262"/>
  <c r="S280" i="2262"/>
  <c r="Y280" i="2262"/>
  <c r="AE280" i="2262"/>
  <c r="E281" i="2262"/>
  <c r="F281" i="2262"/>
  <c r="G281" i="2262" s="1"/>
  <c r="I281" i="2262"/>
  <c r="K281" i="2262"/>
  <c r="M281" i="2262"/>
  <c r="P281" i="2262"/>
  <c r="S281" i="2262"/>
  <c r="Y281" i="2262"/>
  <c r="AE281" i="2262"/>
  <c r="E282" i="2262"/>
  <c r="F282" i="2262"/>
  <c r="G282" i="2262" s="1"/>
  <c r="I282" i="2262"/>
  <c r="K282" i="2262"/>
  <c r="M282" i="2262"/>
  <c r="P282" i="2262"/>
  <c r="S282" i="2262"/>
  <c r="Y282" i="2262"/>
  <c r="AE282" i="2262"/>
  <c r="E283" i="2262"/>
  <c r="F283" i="2262"/>
  <c r="G283" i="2262" s="1"/>
  <c r="I283" i="2262"/>
  <c r="K283" i="2262"/>
  <c r="M283" i="2262"/>
  <c r="P283" i="2262"/>
  <c r="S283" i="2262"/>
  <c r="Y283" i="2262"/>
  <c r="AE283" i="2262"/>
  <c r="E284" i="2262"/>
  <c r="F284" i="2262"/>
  <c r="G284" i="2262" s="1"/>
  <c r="I284" i="2262"/>
  <c r="K284" i="2262"/>
  <c r="M284" i="2262"/>
  <c r="P284" i="2262"/>
  <c r="S284" i="2262"/>
  <c r="Y284" i="2262"/>
  <c r="AE284" i="2262"/>
  <c r="E285" i="2262"/>
  <c r="F285" i="2262"/>
  <c r="G285" i="2262" s="1"/>
  <c r="I285" i="2262"/>
  <c r="K285" i="2262"/>
  <c r="M285" i="2262"/>
  <c r="P285" i="2262"/>
  <c r="S285" i="2262"/>
  <c r="Y285" i="2262"/>
  <c r="AE285" i="2262"/>
  <c r="E286" i="2262"/>
  <c r="F286" i="2262"/>
  <c r="G286" i="2262" s="1"/>
  <c r="I286" i="2262"/>
  <c r="K286" i="2262"/>
  <c r="M286" i="2262"/>
  <c r="P286" i="2262"/>
  <c r="S286" i="2262"/>
  <c r="Y286" i="2262"/>
  <c r="AE286" i="2262"/>
  <c r="E287" i="2262"/>
  <c r="F287" i="2262"/>
  <c r="G287" i="2262" s="1"/>
  <c r="I287" i="2262"/>
  <c r="K287" i="2262"/>
  <c r="M287" i="2262"/>
  <c r="P287" i="2262"/>
  <c r="S287" i="2262"/>
  <c r="Y287" i="2262"/>
  <c r="AE287" i="2262"/>
  <c r="E288" i="2262"/>
  <c r="F288" i="2262"/>
  <c r="G288" i="2262" s="1"/>
  <c r="I288" i="2262"/>
  <c r="K288" i="2262"/>
  <c r="M288" i="2262"/>
  <c r="P288" i="2262"/>
  <c r="S288" i="2262"/>
  <c r="Y288" i="2262"/>
  <c r="AE288" i="2262"/>
  <c r="E289" i="2262"/>
  <c r="F289" i="2262"/>
  <c r="G289" i="2262" s="1"/>
  <c r="I289" i="2262"/>
  <c r="K289" i="2262"/>
  <c r="M289" i="2262"/>
  <c r="P289" i="2262"/>
  <c r="S289" i="2262"/>
  <c r="Y289" i="2262"/>
  <c r="AE289" i="2262"/>
  <c r="E290" i="2262"/>
  <c r="F290" i="2262"/>
  <c r="G290" i="2262" s="1"/>
  <c r="I290" i="2262"/>
  <c r="K290" i="2262"/>
  <c r="M290" i="2262"/>
  <c r="P290" i="2262"/>
  <c r="S290" i="2262"/>
  <c r="Y290" i="2262"/>
  <c r="AE290" i="2262"/>
  <c r="E291" i="2262"/>
  <c r="F291" i="2262"/>
  <c r="G291" i="2262" s="1"/>
  <c r="I291" i="2262"/>
  <c r="K291" i="2262"/>
  <c r="M291" i="2262"/>
  <c r="P291" i="2262"/>
  <c r="S291" i="2262"/>
  <c r="Y291" i="2262"/>
  <c r="AE291" i="2262"/>
  <c r="E292" i="2262"/>
  <c r="F292" i="2262"/>
  <c r="G292" i="2262" s="1"/>
  <c r="I292" i="2262"/>
  <c r="K292" i="2262"/>
  <c r="M292" i="2262"/>
  <c r="P292" i="2262"/>
  <c r="S292" i="2262"/>
  <c r="Y292" i="2262"/>
  <c r="AE292" i="2262"/>
  <c r="E293" i="2262"/>
  <c r="F293" i="2262"/>
  <c r="G293" i="2262" s="1"/>
  <c r="I293" i="2262"/>
  <c r="K293" i="2262"/>
  <c r="M293" i="2262"/>
  <c r="P293" i="2262"/>
  <c r="S293" i="2262"/>
  <c r="Y293" i="2262"/>
  <c r="AE293" i="2262"/>
  <c r="E294" i="2262"/>
  <c r="F294" i="2262"/>
  <c r="G294" i="2262" s="1"/>
  <c r="I294" i="2262"/>
  <c r="K294" i="2262"/>
  <c r="M294" i="2262"/>
  <c r="P294" i="2262"/>
  <c r="S294" i="2262"/>
  <c r="Y294" i="2262"/>
  <c r="AE294" i="2262"/>
  <c r="E295" i="2262"/>
  <c r="F295" i="2262"/>
  <c r="G295" i="2262" s="1"/>
  <c r="I295" i="2262"/>
  <c r="K295" i="2262"/>
  <c r="M295" i="2262"/>
  <c r="P295" i="2262"/>
  <c r="S295" i="2262"/>
  <c r="Y295" i="2262"/>
  <c r="AE295" i="2262"/>
  <c r="E296" i="2262"/>
  <c r="F296" i="2262"/>
  <c r="G296" i="2262" s="1"/>
  <c r="I296" i="2262"/>
  <c r="K296" i="2262"/>
  <c r="M296" i="2262"/>
  <c r="P296" i="2262"/>
  <c r="S296" i="2262"/>
  <c r="Y296" i="2262"/>
  <c r="AE296" i="2262"/>
  <c r="E297" i="2262"/>
  <c r="F297" i="2262"/>
  <c r="G297" i="2262" s="1"/>
  <c r="I297" i="2262"/>
  <c r="K297" i="2262"/>
  <c r="M297" i="2262"/>
  <c r="P297" i="2262"/>
  <c r="S297" i="2262"/>
  <c r="Y297" i="2262"/>
  <c r="AE297" i="2262"/>
  <c r="E298" i="2262"/>
  <c r="F298" i="2262"/>
  <c r="G298" i="2262" s="1"/>
  <c r="I298" i="2262"/>
  <c r="K298" i="2262"/>
  <c r="M298" i="2262"/>
  <c r="P298" i="2262"/>
  <c r="S298" i="2262"/>
  <c r="Y298" i="2262"/>
  <c r="AE298" i="2262"/>
  <c r="E299" i="2262"/>
  <c r="F299" i="2262"/>
  <c r="G299" i="2262" s="1"/>
  <c r="I299" i="2262"/>
  <c r="K299" i="2262"/>
  <c r="M299" i="2262"/>
  <c r="P299" i="2262"/>
  <c r="S299" i="2262"/>
  <c r="Y299" i="2262"/>
  <c r="AE299" i="2262"/>
  <c r="E300" i="2262"/>
  <c r="F300" i="2262"/>
  <c r="G300" i="2262" s="1"/>
  <c r="I300" i="2262"/>
  <c r="K300" i="2262"/>
  <c r="M300" i="2262"/>
  <c r="P300" i="2262"/>
  <c r="S300" i="2262"/>
  <c r="Y300" i="2262"/>
  <c r="AE300" i="2262"/>
  <c r="G301" i="2262"/>
  <c r="I301" i="2262"/>
  <c r="K301" i="2262"/>
  <c r="M301" i="2262"/>
  <c r="P301" i="2262"/>
  <c r="S301" i="2262"/>
  <c r="Y301" i="2262"/>
  <c r="AE301" i="2262"/>
  <c r="G302" i="2262"/>
  <c r="I302" i="2262"/>
  <c r="K302" i="2262"/>
  <c r="M302" i="2262"/>
  <c r="AE302" i="2262"/>
  <c r="G303" i="2262"/>
  <c r="I303" i="2262"/>
  <c r="K303" i="2262"/>
  <c r="M303" i="2262"/>
  <c r="S303" i="2262"/>
  <c r="AE303" i="2262"/>
  <c r="G304" i="2262"/>
  <c r="I304" i="2262"/>
  <c r="K304" i="2262"/>
  <c r="M304" i="2262"/>
  <c r="S304" i="2262"/>
  <c r="AE304" i="2262"/>
  <c r="G305" i="2262"/>
  <c r="I305" i="2262"/>
  <c r="K305" i="2262"/>
  <c r="M305" i="2262"/>
  <c r="S305" i="2262"/>
  <c r="AE305" i="2262"/>
  <c r="G306" i="2262"/>
  <c r="I306" i="2262"/>
  <c r="K306" i="2262"/>
  <c r="M306" i="2262"/>
  <c r="S306" i="2262"/>
  <c r="S307" i="2262" s="1"/>
  <c r="S308" i="2262" s="1"/>
  <c r="S309" i="2262" s="1"/>
  <c r="S310" i="2262" s="1"/>
  <c r="S311" i="2262" s="1"/>
  <c r="S312" i="2262" s="1"/>
  <c r="S313" i="2262" s="1"/>
  <c r="S314" i="2262" s="1"/>
  <c r="S315" i="2262" s="1"/>
  <c r="S316" i="2262" s="1"/>
  <c r="S317" i="2262" s="1"/>
  <c r="S318" i="2262" s="1"/>
  <c r="S319" i="2262" s="1"/>
  <c r="S320" i="2262" s="1"/>
  <c r="S321" i="2262" s="1"/>
  <c r="AE306" i="2262"/>
  <c r="F307" i="2262"/>
  <c r="G307" i="2262" s="1"/>
  <c r="I307" i="2262"/>
  <c r="K307" i="2262"/>
  <c r="M307" i="2262"/>
  <c r="AE307" i="2262"/>
  <c r="I308" i="2262"/>
  <c r="K308" i="2262"/>
  <c r="M308" i="2262"/>
  <c r="AE308" i="2262"/>
  <c r="I309" i="2262"/>
  <c r="K309" i="2262"/>
  <c r="M309" i="2262"/>
  <c r="AE309" i="2262"/>
  <c r="I310" i="2262"/>
  <c r="K310" i="2262"/>
  <c r="M310" i="2262"/>
  <c r="AE310" i="2262"/>
  <c r="I311" i="2262"/>
  <c r="K311" i="2262"/>
  <c r="M311" i="2262"/>
  <c r="AE311" i="2262"/>
  <c r="I312" i="2262"/>
  <c r="K312" i="2262"/>
  <c r="M312" i="2262"/>
  <c r="AE312" i="2262"/>
  <c r="I313" i="2262"/>
  <c r="K313" i="2262"/>
  <c r="M313" i="2262"/>
  <c r="AE313" i="2262"/>
  <c r="I314" i="2262"/>
  <c r="K314" i="2262"/>
  <c r="M314" i="2262"/>
  <c r="AE314" i="2262"/>
  <c r="I315" i="2262"/>
  <c r="K315" i="2262"/>
  <c r="M315" i="2262"/>
  <c r="AE315" i="2262"/>
  <c r="I316" i="2262"/>
  <c r="K316" i="2262"/>
  <c r="M316" i="2262"/>
  <c r="AE316" i="2262"/>
  <c r="I317" i="2262"/>
  <c r="K317" i="2262"/>
  <c r="M317" i="2262"/>
  <c r="AE317" i="2262"/>
  <c r="I318" i="2262"/>
  <c r="K318" i="2262"/>
  <c r="M318" i="2262"/>
  <c r="AE318" i="2262"/>
  <c r="I319" i="2262"/>
  <c r="K319" i="2262"/>
  <c r="M319" i="2262"/>
  <c r="AE319" i="2262"/>
  <c r="I320" i="2262"/>
  <c r="K320" i="2262"/>
  <c r="M320" i="2262"/>
  <c r="AE320" i="2262"/>
  <c r="I321" i="2262"/>
  <c r="K321" i="2262"/>
  <c r="M321" i="2262"/>
  <c r="AE321" i="2262"/>
  <c r="F322" i="2262"/>
  <c r="G322" i="2262" s="1"/>
  <c r="I322" i="2262"/>
  <c r="K322" i="2262"/>
  <c r="M322" i="2262"/>
  <c r="AE322" i="2262"/>
  <c r="F323" i="2262"/>
  <c r="G323" i="2262" s="1"/>
  <c r="I323" i="2262"/>
  <c r="K323" i="2262"/>
  <c r="M323" i="2262"/>
  <c r="AE323" i="2262"/>
  <c r="F324" i="2262"/>
  <c r="G324" i="2262" s="1"/>
  <c r="I324" i="2262"/>
  <c r="K324" i="2262"/>
  <c r="M324" i="2262"/>
  <c r="AE324" i="2262"/>
  <c r="F325" i="2262"/>
  <c r="G325" i="2262" s="1"/>
  <c r="I325" i="2262"/>
  <c r="K325" i="2262"/>
  <c r="M325" i="2262"/>
  <c r="AE325" i="2262"/>
  <c r="F326" i="2262"/>
  <c r="G326" i="2262" s="1"/>
  <c r="I326" i="2262"/>
  <c r="K326" i="2262"/>
  <c r="M326" i="2262"/>
  <c r="AE326" i="2262"/>
  <c r="G327" i="2262"/>
  <c r="I327" i="2262"/>
  <c r="K327" i="2262"/>
  <c r="M327" i="2262"/>
  <c r="AE327" i="2262"/>
  <c r="X329" i="2262"/>
  <c r="D4" i="2273" l="1"/>
  <c r="E4" i="2273" s="1"/>
  <c r="Q193" i="2262" s="1"/>
  <c r="U318" i="2262"/>
  <c r="U312" i="2262"/>
  <c r="U308" i="2262"/>
  <c r="U305" i="2262"/>
  <c r="U10" i="2262"/>
  <c r="U327" i="2262"/>
  <c r="N326" i="2262"/>
  <c r="U325" i="2262"/>
  <c r="N324" i="2262"/>
  <c r="U323" i="2262"/>
  <c r="N322" i="2262"/>
  <c r="U320" i="2262"/>
  <c r="U316" i="2262"/>
  <c r="U310" i="2262"/>
  <c r="N302" i="2262"/>
  <c r="U314" i="2262"/>
  <c r="U303" i="2262"/>
  <c r="N327" i="2262"/>
  <c r="U324" i="2262"/>
  <c r="N323" i="2262"/>
  <c r="U321" i="2262"/>
  <c r="U317" i="2262"/>
  <c r="U313" i="2262"/>
  <c r="U309" i="2262"/>
  <c r="U306" i="2262"/>
  <c r="U302" i="2262"/>
  <c r="U326" i="2262"/>
  <c r="N325" i="2262"/>
  <c r="U322" i="2262"/>
  <c r="U319" i="2262"/>
  <c r="U315" i="2262"/>
  <c r="U311" i="2262"/>
  <c r="U307" i="2262"/>
  <c r="U304" i="2262"/>
  <c r="U76" i="2262"/>
  <c r="U21" i="2262"/>
  <c r="U23" i="2262"/>
  <c r="U18" i="2262"/>
  <c r="U16" i="2262"/>
  <c r="U14" i="2262"/>
  <c r="U22" i="2262"/>
  <c r="U19" i="2262"/>
  <c r="U17" i="2262"/>
  <c r="U15" i="2262"/>
  <c r="N306" i="2262"/>
  <c r="N305" i="2262"/>
  <c r="N304" i="2262"/>
  <c r="N303" i="2262"/>
  <c r="N307" i="2262"/>
  <c r="V17" i="2262"/>
  <c r="U7" i="2262"/>
  <c r="U8" i="2262"/>
  <c r="AB105" i="2262"/>
  <c r="V14" i="2262"/>
  <c r="U13" i="2262"/>
  <c r="U12" i="2262"/>
  <c r="V7" i="2262"/>
  <c r="O116" i="2262"/>
  <c r="V10" i="2262"/>
  <c r="O258" i="2262"/>
  <c r="O231" i="2262"/>
  <c r="O228" i="2262"/>
  <c r="W21" i="2262"/>
  <c r="O229" i="2262"/>
  <c r="O225" i="2262"/>
  <c r="F308" i="2262"/>
  <c r="F309" i="2262" s="1"/>
  <c r="F310" i="2262" s="1"/>
  <c r="O253" i="2262"/>
  <c r="O242" i="2262"/>
  <c r="O226" i="2262"/>
  <c r="O304" i="2262"/>
  <c r="AB109" i="2262"/>
  <c r="O109" i="2262"/>
  <c r="P35" i="2262"/>
  <c r="P36" i="2262"/>
  <c r="P33" i="2262"/>
  <c r="P37" i="2262"/>
  <c r="P32" i="2262"/>
  <c r="P38" i="2262"/>
  <c r="P44" i="2262" s="1"/>
  <c r="P34" i="2262"/>
  <c r="P39" i="2262"/>
  <c r="O237" i="2262"/>
  <c r="O227" i="2262"/>
  <c r="AB111" i="2262"/>
  <c r="O277" i="2262"/>
  <c r="O266" i="2262"/>
  <c r="O264" i="2262"/>
  <c r="O234" i="2262"/>
  <c r="O198" i="2262"/>
  <c r="O245" i="2262"/>
  <c r="O209" i="2262"/>
  <c r="O203" i="2262"/>
  <c r="H45" i="2262"/>
  <c r="I45" i="2262" s="1"/>
  <c r="I87" i="2262"/>
  <c r="AB161" i="2262"/>
  <c r="V23" i="2262"/>
  <c r="V18" i="2262"/>
  <c r="W17" i="2262"/>
  <c r="V21" i="2262"/>
  <c r="W23" i="2262"/>
  <c r="W15" i="2262"/>
  <c r="V12" i="2262"/>
  <c r="W11" i="2262"/>
  <c r="O278" i="2262"/>
  <c r="O275" i="2262"/>
  <c r="O248" i="2262"/>
  <c r="O244" i="2262"/>
  <c r="O243" i="2262"/>
  <c r="O221" i="2262"/>
  <c r="O205" i="2262"/>
  <c r="O204" i="2262"/>
  <c r="O240" i="2262"/>
  <c r="O236" i="2262"/>
  <c r="O207" i="2262"/>
  <c r="O206" i="2262"/>
  <c r="O202" i="2262"/>
  <c r="O200" i="2262"/>
  <c r="O292" i="2262"/>
  <c r="O298" i="2262"/>
  <c r="O294" i="2262"/>
  <c r="O193" i="2262"/>
  <c r="AB104" i="2262"/>
  <c r="O300" i="2262"/>
  <c r="O299" i="2262"/>
  <c r="O267" i="2262"/>
  <c r="O232" i="2262"/>
  <c r="O195" i="2262"/>
  <c r="O194" i="2262"/>
  <c r="O117" i="2262"/>
  <c r="O295" i="2262"/>
  <c r="O270" i="2262"/>
  <c r="O268" i="2262"/>
  <c r="O265" i="2262"/>
  <c r="O263" i="2262"/>
  <c r="O212" i="2262"/>
  <c r="O112" i="2262"/>
  <c r="O271" i="2262"/>
  <c r="O260" i="2262"/>
  <c r="O259" i="2262"/>
  <c r="O255" i="2262"/>
  <c r="AB222" i="2262"/>
  <c r="AB117" i="2262"/>
  <c r="V15" i="2262"/>
  <c r="W7" i="2262"/>
  <c r="O296" i="2262"/>
  <c r="O274" i="2262"/>
  <c r="O273" i="2262"/>
  <c r="O272" i="2262"/>
  <c r="O256" i="2262"/>
  <c r="O252" i="2262"/>
  <c r="O251" i="2262"/>
  <c r="O247" i="2262"/>
  <c r="O220" i="2262"/>
  <c r="AB112" i="2262"/>
  <c r="W22" i="2262"/>
  <c r="O290" i="2262"/>
  <c r="AB290" i="2262"/>
  <c r="O288" i="2262"/>
  <c r="AB288" i="2262"/>
  <c r="O269" i="2262"/>
  <c r="AB218" i="2262"/>
  <c r="O208" i="2262"/>
  <c r="O197" i="2262"/>
  <c r="O111" i="2262"/>
  <c r="O305" i="2262"/>
  <c r="O301" i="2262"/>
  <c r="AB278" i="2262"/>
  <c r="O218" i="2262"/>
  <c r="O115" i="2262"/>
  <c r="AB305" i="2262"/>
  <c r="O262" i="2262"/>
  <c r="O257" i="2262"/>
  <c r="O246" i="2262"/>
  <c r="O241" i="2262"/>
  <c r="O235" i="2262"/>
  <c r="O230" i="2262"/>
  <c r="O201" i="2262"/>
  <c r="O196" i="2262"/>
  <c r="O110" i="2262"/>
  <c r="O211" i="2262"/>
  <c r="AB306" i="2262"/>
  <c r="O261" i="2262"/>
  <c r="O250" i="2262"/>
  <c r="O224" i="2262"/>
  <c r="O113" i="2262"/>
  <c r="AB303" i="2262"/>
  <c r="G239" i="2262"/>
  <c r="O210" i="2262"/>
  <c r="O199" i="2262"/>
  <c r="Z161" i="2262"/>
  <c r="W19" i="2262"/>
  <c r="O254" i="2262"/>
  <c r="O249" i="2262"/>
  <c r="O238" i="2262"/>
  <c r="O233" i="2262"/>
  <c r="O222" i="2262"/>
  <c r="O161" i="2262"/>
  <c r="O114" i="2262"/>
  <c r="O104" i="2262"/>
  <c r="O108" i="2262"/>
  <c r="W8" i="2262"/>
  <c r="O307" i="2262"/>
  <c r="AB307" i="2262"/>
  <c r="O293" i="2262"/>
  <c r="AB293" i="2262"/>
  <c r="O297" i="2262"/>
  <c r="AB297" i="2262"/>
  <c r="O291" i="2262"/>
  <c r="AB291" i="2262"/>
  <c r="O289" i="2262"/>
  <c r="AB289" i="2262"/>
  <c r="O287" i="2262"/>
  <c r="AB287" i="2262"/>
  <c r="O286" i="2262"/>
  <c r="AB282" i="2262"/>
  <c r="AB304" i="2262"/>
  <c r="O303" i="2262"/>
  <c r="O283" i="2262"/>
  <c r="AB283" i="2262"/>
  <c r="O282" i="2262"/>
  <c r="O279" i="2262"/>
  <c r="AB279" i="2262"/>
  <c r="O219" i="2262"/>
  <c r="AB219" i="2262"/>
  <c r="O306" i="2262"/>
  <c r="AB301" i="2262"/>
  <c r="AB298" i="2262"/>
  <c r="AB294" i="2262"/>
  <c r="O284" i="2262"/>
  <c r="AB284" i="2262"/>
  <c r="O280" i="2262"/>
  <c r="AB280" i="2262"/>
  <c r="AB299" i="2262"/>
  <c r="AB295" i="2262"/>
  <c r="O285" i="2262"/>
  <c r="AB285" i="2262"/>
  <c r="O281" i="2262"/>
  <c r="AB281" i="2262"/>
  <c r="O223" i="2262"/>
  <c r="AB223" i="2262"/>
  <c r="AB300" i="2262"/>
  <c r="AB296" i="2262"/>
  <c r="AB292" i="2262"/>
  <c r="AB286" i="2262"/>
  <c r="AB275" i="2262"/>
  <c r="AB271" i="2262"/>
  <c r="AB267" i="2262"/>
  <c r="AB263" i="2262"/>
  <c r="AB259" i="2262"/>
  <c r="AB255" i="2262"/>
  <c r="AB251" i="2262"/>
  <c r="AB247" i="2262"/>
  <c r="AB243" i="2262"/>
  <c r="AB235" i="2262"/>
  <c r="AB231" i="2262"/>
  <c r="AB227" i="2262"/>
  <c r="O213" i="2262"/>
  <c r="AB276" i="2262"/>
  <c r="O276" i="2262"/>
  <c r="AB272" i="2262"/>
  <c r="AB268" i="2262"/>
  <c r="AB264" i="2262"/>
  <c r="AB260" i="2262"/>
  <c r="AB256" i="2262"/>
  <c r="AB252" i="2262"/>
  <c r="AB248" i="2262"/>
  <c r="AB244" i="2262"/>
  <c r="AB240" i="2262"/>
  <c r="AB236" i="2262"/>
  <c r="AB232" i="2262"/>
  <c r="AB228" i="2262"/>
  <c r="AB224" i="2262"/>
  <c r="AB220" i="2262"/>
  <c r="O215" i="2262"/>
  <c r="AB215" i="2262"/>
  <c r="AB277" i="2262"/>
  <c r="AB273" i="2262"/>
  <c r="AB269" i="2262"/>
  <c r="AB265" i="2262"/>
  <c r="AB261" i="2262"/>
  <c r="AB257" i="2262"/>
  <c r="AB253" i="2262"/>
  <c r="AB249" i="2262"/>
  <c r="AB245" i="2262"/>
  <c r="AB241" i="2262"/>
  <c r="AB237" i="2262"/>
  <c r="AB233" i="2262"/>
  <c r="AB229" i="2262"/>
  <c r="AB225" i="2262"/>
  <c r="AB221" i="2262"/>
  <c r="O217" i="2262"/>
  <c r="AB217" i="2262"/>
  <c r="O214" i="2262"/>
  <c r="AB214" i="2262"/>
  <c r="AB274" i="2262"/>
  <c r="AB270" i="2262"/>
  <c r="AB266" i="2262"/>
  <c r="AB262" i="2262"/>
  <c r="AB258" i="2262"/>
  <c r="AB254" i="2262"/>
  <c r="AB250" i="2262"/>
  <c r="AB246" i="2262"/>
  <c r="AB242" i="2262"/>
  <c r="AB238" i="2262"/>
  <c r="AB234" i="2262"/>
  <c r="AB230" i="2262"/>
  <c r="AB226" i="2262"/>
  <c r="O216" i="2262"/>
  <c r="AB216" i="2262"/>
  <c r="AB213" i="2262"/>
  <c r="AB209" i="2262"/>
  <c r="AB205" i="2262"/>
  <c r="AB201" i="2262"/>
  <c r="AB197" i="2262"/>
  <c r="AB193" i="2262"/>
  <c r="AB114" i="2262"/>
  <c r="AB110" i="2262"/>
  <c r="AB108" i="2262"/>
  <c r="AB210" i="2262"/>
  <c r="AB206" i="2262"/>
  <c r="AB202" i="2262"/>
  <c r="AB198" i="2262"/>
  <c r="AB194" i="2262"/>
  <c r="AB116" i="2262"/>
  <c r="O107" i="2262"/>
  <c r="AB107" i="2262"/>
  <c r="O103" i="2262"/>
  <c r="AB103" i="2262"/>
  <c r="AB211" i="2262"/>
  <c r="AB207" i="2262"/>
  <c r="AB203" i="2262"/>
  <c r="AB199" i="2262"/>
  <c r="AB195" i="2262"/>
  <c r="AB113" i="2262"/>
  <c r="O105" i="2262"/>
  <c r="AB212" i="2262"/>
  <c r="AB208" i="2262"/>
  <c r="AB204" i="2262"/>
  <c r="AB200" i="2262"/>
  <c r="AB196" i="2262"/>
  <c r="AB115" i="2262"/>
  <c r="AB106" i="2262"/>
  <c r="O106" i="2262"/>
  <c r="V22" i="2262"/>
  <c r="V19" i="2262"/>
  <c r="W16" i="2262"/>
  <c r="V11" i="2262"/>
  <c r="V8" i="2262"/>
  <c r="V16" i="2262"/>
  <c r="W13" i="2262"/>
  <c r="W18" i="2262"/>
  <c r="V13" i="2262"/>
  <c r="W10" i="2262"/>
  <c r="W12" i="2262"/>
  <c r="W14" i="2262"/>
  <c r="AH307" i="2262" l="1"/>
  <c r="AI307" i="2262" s="1"/>
  <c r="AH304" i="2262"/>
  <c r="AI304" i="2262" s="1"/>
  <c r="AH306" i="2262"/>
  <c r="AI306" i="2262" s="1"/>
  <c r="AH303" i="2262"/>
  <c r="AI303" i="2262" s="1"/>
  <c r="AH305" i="2262"/>
  <c r="AI305" i="2262" s="1"/>
  <c r="AK155" i="2262"/>
  <c r="AM155" i="2262" s="1"/>
  <c r="AN155" i="2262" s="1"/>
  <c r="AK160" i="2262"/>
  <c r="AM160" i="2262" s="1"/>
  <c r="AN160" i="2262" s="1"/>
  <c r="O239" i="2262"/>
  <c r="AB239" i="2262"/>
  <c r="G309" i="2262"/>
  <c r="AK47" i="2262"/>
  <c r="AM47" i="2262" s="1"/>
  <c r="AN47" i="2262" s="1"/>
  <c r="AK50" i="2262"/>
  <c r="AM50" i="2262" s="1"/>
  <c r="AN50" i="2262" s="1"/>
  <c r="AK61" i="2262"/>
  <c r="AM61" i="2262" s="1"/>
  <c r="AN61" i="2262" s="1"/>
  <c r="AK63" i="2262"/>
  <c r="AM63" i="2262" s="1"/>
  <c r="AN63" i="2262" s="1"/>
  <c r="AK43" i="2262"/>
  <c r="AM43" i="2262" s="1"/>
  <c r="AN43" i="2262" s="1"/>
  <c r="AK49" i="2262"/>
  <c r="AM49" i="2262" s="1"/>
  <c r="AN49" i="2262" s="1"/>
  <c r="AK56" i="2262"/>
  <c r="AM56" i="2262" s="1"/>
  <c r="AN56" i="2262" s="1"/>
  <c r="AK70" i="2262"/>
  <c r="AM70" i="2262" s="1"/>
  <c r="AN70" i="2262" s="1"/>
  <c r="AK75" i="2262"/>
  <c r="AM75" i="2262" s="1"/>
  <c r="AN75" i="2262" s="1"/>
  <c r="AK79" i="2262"/>
  <c r="AM79" i="2262" s="1"/>
  <c r="AN79" i="2262" s="1"/>
  <c r="AK42" i="2262"/>
  <c r="AM42" i="2262" s="1"/>
  <c r="AN42" i="2262" s="1"/>
  <c r="AK54" i="2262"/>
  <c r="AM54" i="2262" s="1"/>
  <c r="AN54" i="2262" s="1"/>
  <c r="AK62" i="2262"/>
  <c r="AM62" i="2262" s="1"/>
  <c r="AN62" i="2262" s="1"/>
  <c r="AK64" i="2262"/>
  <c r="AM64" i="2262" s="1"/>
  <c r="AN64" i="2262" s="1"/>
  <c r="AK68" i="2262"/>
  <c r="AM68" i="2262" s="1"/>
  <c r="AN68" i="2262" s="1"/>
  <c r="AK72" i="2262"/>
  <c r="AM72" i="2262" s="1"/>
  <c r="AN72" i="2262" s="1"/>
  <c r="AK77" i="2262"/>
  <c r="AM77" i="2262" s="1"/>
  <c r="AN77" i="2262" s="1"/>
  <c r="AK83" i="2262"/>
  <c r="AM83" i="2262" s="1"/>
  <c r="AN83" i="2262" s="1"/>
  <c r="AK48" i="2262"/>
  <c r="AM48" i="2262" s="1"/>
  <c r="AN48" i="2262" s="1"/>
  <c r="AK55" i="2262"/>
  <c r="AM55" i="2262" s="1"/>
  <c r="AN55" i="2262" s="1"/>
  <c r="AK67" i="2262"/>
  <c r="AM67" i="2262" s="1"/>
  <c r="AN67" i="2262" s="1"/>
  <c r="AK76" i="2262"/>
  <c r="AM76" i="2262" s="1"/>
  <c r="AN76" i="2262" s="1"/>
  <c r="AK89" i="2262"/>
  <c r="AM89" i="2262" s="1"/>
  <c r="AN89" i="2262" s="1"/>
  <c r="AK97" i="2262"/>
  <c r="AM97" i="2262" s="1"/>
  <c r="AN97" i="2262" s="1"/>
  <c r="AK99" i="2262"/>
  <c r="AM99" i="2262" s="1"/>
  <c r="AN99" i="2262" s="1"/>
  <c r="AK100" i="2262"/>
  <c r="AM100" i="2262" s="1"/>
  <c r="AN100" i="2262" s="1"/>
  <c r="AK102" i="2262"/>
  <c r="AM102" i="2262" s="1"/>
  <c r="AN102" i="2262" s="1"/>
  <c r="AK118" i="2262"/>
  <c r="AM118" i="2262" s="1"/>
  <c r="AN118" i="2262" s="1"/>
  <c r="AK120" i="2262"/>
  <c r="AM120" i="2262" s="1"/>
  <c r="AN120" i="2262" s="1"/>
  <c r="AK121" i="2262"/>
  <c r="AM121" i="2262" s="1"/>
  <c r="AN121" i="2262" s="1"/>
  <c r="AK127" i="2262"/>
  <c r="AM127" i="2262" s="1"/>
  <c r="AN127" i="2262" s="1"/>
  <c r="AK139" i="2262"/>
  <c r="AM139" i="2262" s="1"/>
  <c r="AN139" i="2262" s="1"/>
  <c r="AK141" i="2262"/>
  <c r="AM141" i="2262" s="1"/>
  <c r="AN141" i="2262" s="1"/>
  <c r="AK143" i="2262"/>
  <c r="AM143" i="2262" s="1"/>
  <c r="AN143" i="2262" s="1"/>
  <c r="AK145" i="2262"/>
  <c r="AM145" i="2262" s="1"/>
  <c r="AN145" i="2262" s="1"/>
  <c r="AK152" i="2262"/>
  <c r="AM152" i="2262" s="1"/>
  <c r="AN152" i="2262" s="1"/>
  <c r="AK65" i="2262"/>
  <c r="AM65" i="2262" s="1"/>
  <c r="AN65" i="2262" s="1"/>
  <c r="AK66" i="2262"/>
  <c r="AM66" i="2262" s="1"/>
  <c r="AN66" i="2262" s="1"/>
  <c r="AK74" i="2262"/>
  <c r="AM74" i="2262" s="1"/>
  <c r="AN74" i="2262" s="1"/>
  <c r="AK81" i="2262"/>
  <c r="AM81" i="2262" s="1"/>
  <c r="AN81" i="2262" s="1"/>
  <c r="AK86" i="2262"/>
  <c r="AM86" i="2262" s="1"/>
  <c r="AN86" i="2262" s="1"/>
  <c r="AK91" i="2262"/>
  <c r="AM91" i="2262" s="1"/>
  <c r="AN91" i="2262" s="1"/>
  <c r="AK95" i="2262"/>
  <c r="AM95" i="2262" s="1"/>
  <c r="AN95" i="2262" s="1"/>
  <c r="AK135" i="2262"/>
  <c r="AM135" i="2262" s="1"/>
  <c r="AN135" i="2262" s="1"/>
  <c r="AK138" i="2262"/>
  <c r="AM138" i="2262" s="1"/>
  <c r="AN138" i="2262" s="1"/>
  <c r="AK144" i="2262"/>
  <c r="AM144" i="2262" s="1"/>
  <c r="AN144" i="2262" s="1"/>
  <c r="AK149" i="2262"/>
  <c r="AM149" i="2262" s="1"/>
  <c r="AN149" i="2262" s="1"/>
  <c r="AK151" i="2262"/>
  <c r="AM151" i="2262" s="1"/>
  <c r="AN151" i="2262" s="1"/>
  <c r="AK157" i="2262"/>
  <c r="AM157" i="2262" s="1"/>
  <c r="AN157" i="2262" s="1"/>
  <c r="AK58" i="2262"/>
  <c r="AM58" i="2262" s="1"/>
  <c r="AN58" i="2262" s="1"/>
  <c r="AK78" i="2262"/>
  <c r="AM78" i="2262" s="1"/>
  <c r="AN78" i="2262" s="1"/>
  <c r="AK82" i="2262"/>
  <c r="AM82" i="2262" s="1"/>
  <c r="AN82" i="2262" s="1"/>
  <c r="AK88" i="2262"/>
  <c r="AM88" i="2262" s="1"/>
  <c r="AN88" i="2262" s="1"/>
  <c r="AK93" i="2262"/>
  <c r="AM93" i="2262" s="1"/>
  <c r="AN93" i="2262" s="1"/>
  <c r="AK136" i="2262"/>
  <c r="AM136" i="2262" s="1"/>
  <c r="AN136" i="2262" s="1"/>
  <c r="AK156" i="2262"/>
  <c r="AM156" i="2262" s="1"/>
  <c r="AN156" i="2262" s="1"/>
  <c r="AK57" i="2262"/>
  <c r="AM57" i="2262" s="1"/>
  <c r="AN57" i="2262" s="1"/>
  <c r="AK98" i="2262"/>
  <c r="AM98" i="2262" s="1"/>
  <c r="AN98" i="2262" s="1"/>
  <c r="AK119" i="2262"/>
  <c r="AM119" i="2262" s="1"/>
  <c r="AN119" i="2262" s="1"/>
  <c r="AK132" i="2262"/>
  <c r="AM132" i="2262" s="1"/>
  <c r="AN132" i="2262" s="1"/>
  <c r="AK142" i="2262"/>
  <c r="AM142" i="2262" s="1"/>
  <c r="AN142" i="2262" s="1"/>
  <c r="AK148" i="2262"/>
  <c r="AM148" i="2262" s="1"/>
  <c r="AN148" i="2262" s="1"/>
  <c r="AK87" i="2262"/>
  <c r="AM87" i="2262" s="1"/>
  <c r="AN87" i="2262" s="1"/>
  <c r="AK90" i="2262"/>
  <c r="AM90" i="2262" s="1"/>
  <c r="AN90" i="2262" s="1"/>
  <c r="AK96" i="2262"/>
  <c r="AM96" i="2262" s="1"/>
  <c r="AN96" i="2262" s="1"/>
  <c r="AK137" i="2262"/>
  <c r="AM137" i="2262" s="1"/>
  <c r="AN137" i="2262" s="1"/>
  <c r="AK147" i="2262"/>
  <c r="AM147" i="2262" s="1"/>
  <c r="AN147" i="2262" s="1"/>
  <c r="AK150" i="2262"/>
  <c r="AM150" i="2262" s="1"/>
  <c r="AN150" i="2262" s="1"/>
  <c r="AK92" i="2262"/>
  <c r="AM92" i="2262" s="1"/>
  <c r="AN92" i="2262" s="1"/>
  <c r="AK140" i="2262"/>
  <c r="AM140" i="2262" s="1"/>
  <c r="AN140" i="2262" s="1"/>
  <c r="AK59" i="2262"/>
  <c r="AM59" i="2262" s="1"/>
  <c r="AN59" i="2262" s="1"/>
  <c r="AK101" i="2262"/>
  <c r="AM101" i="2262" s="1"/>
  <c r="AN101" i="2262" s="1"/>
  <c r="AK146" i="2262"/>
  <c r="AM146" i="2262" s="1"/>
  <c r="AN146" i="2262" s="1"/>
  <c r="AK192" i="2262"/>
  <c r="AM192" i="2262" s="1"/>
  <c r="AN192" i="2262" s="1"/>
  <c r="AK80" i="2262"/>
  <c r="AM80" i="2262" s="1"/>
  <c r="AN80" i="2262" s="1"/>
  <c r="AK94" i="2262"/>
  <c r="AM94" i="2262" s="1"/>
  <c r="AN94" i="2262" s="1"/>
  <c r="AK131" i="2262"/>
  <c r="AM131" i="2262" s="1"/>
  <c r="AN131" i="2262" s="1"/>
  <c r="AK158" i="2262"/>
  <c r="AM158" i="2262" s="1"/>
  <c r="AN158" i="2262" s="1"/>
  <c r="P76" i="2262"/>
  <c r="P104" i="2262"/>
  <c r="P106" i="2262"/>
  <c r="P109" i="2262"/>
  <c r="P111" i="2262"/>
  <c r="P113" i="2262"/>
  <c r="P116" i="2262"/>
  <c r="P124" i="2262"/>
  <c r="P142" i="2262"/>
  <c r="P146" i="2262"/>
  <c r="P150" i="2262"/>
  <c r="P105" i="2262"/>
  <c r="P107" i="2262"/>
  <c r="P112" i="2262"/>
  <c r="P115" i="2262"/>
  <c r="P125" i="2262"/>
  <c r="P129" i="2262"/>
  <c r="P132" i="2262"/>
  <c r="P139" i="2262"/>
  <c r="P143" i="2262"/>
  <c r="P145" i="2262"/>
  <c r="P148" i="2262"/>
  <c r="P152" i="2262"/>
  <c r="P154" i="2262"/>
  <c r="P158" i="2262"/>
  <c r="P160" i="2262"/>
  <c r="P164" i="2262"/>
  <c r="P167" i="2262"/>
  <c r="P103" i="2262"/>
  <c r="P117" i="2262"/>
  <c r="P126" i="2262"/>
  <c r="P131" i="2262"/>
  <c r="P133" i="2262"/>
  <c r="P149" i="2262"/>
  <c r="P153" i="2262"/>
  <c r="P161" i="2262"/>
  <c r="P163" i="2262"/>
  <c r="P173" i="2262"/>
  <c r="P185" i="2262"/>
  <c r="P192" i="2262"/>
  <c r="P97" i="2262"/>
  <c r="P110" i="2262"/>
  <c r="P141" i="2262"/>
  <c r="P147" i="2262"/>
  <c r="P159" i="2262"/>
  <c r="P166" i="2262"/>
  <c r="P179" i="2262"/>
  <c r="P187" i="2262"/>
  <c r="P190" i="2262"/>
  <c r="P98" i="2262"/>
  <c r="P102" i="2262"/>
  <c r="P114" i="2262"/>
  <c r="P122" i="2262"/>
  <c r="P174" i="2262"/>
  <c r="P180" i="2262"/>
  <c r="P184" i="2262"/>
  <c r="P188" i="2262"/>
  <c r="P144" i="2262"/>
  <c r="P151" i="2262"/>
  <c r="P108" i="2262"/>
  <c r="P128" i="2262"/>
  <c r="P130" i="2262"/>
  <c r="P137" i="2262"/>
  <c r="P157" i="2262"/>
  <c r="P162" i="2262"/>
  <c r="P101" i="2262"/>
  <c r="P189" i="2262"/>
  <c r="P191" i="2262"/>
  <c r="AK9" i="2262"/>
  <c r="AM9" i="2262" s="1"/>
  <c r="AN9" i="2262" s="1"/>
  <c r="AK15" i="2262"/>
  <c r="AM15" i="2262" s="1"/>
  <c r="AN15" i="2262" s="1"/>
  <c r="AK16" i="2262"/>
  <c r="AM16" i="2262" s="1"/>
  <c r="AN16" i="2262" s="1"/>
  <c r="AK19" i="2262"/>
  <c r="AM19" i="2262" s="1"/>
  <c r="AN19" i="2262" s="1"/>
  <c r="AK20" i="2262"/>
  <c r="AM20" i="2262" s="1"/>
  <c r="AN20" i="2262" s="1"/>
  <c r="AK24" i="2262"/>
  <c r="AM24" i="2262" s="1"/>
  <c r="AN24" i="2262" s="1"/>
  <c r="AK27" i="2262"/>
  <c r="AM27" i="2262" s="1"/>
  <c r="AN27" i="2262" s="1"/>
  <c r="AK29" i="2262"/>
  <c r="AM29" i="2262" s="1"/>
  <c r="AN29" i="2262" s="1"/>
  <c r="AK34" i="2262"/>
  <c r="AM34" i="2262" s="1"/>
  <c r="AN34" i="2262" s="1"/>
  <c r="AK38" i="2262"/>
  <c r="AM38" i="2262" s="1"/>
  <c r="AN38" i="2262" s="1"/>
  <c r="AK39" i="2262"/>
  <c r="AM39" i="2262" s="1"/>
  <c r="AN39" i="2262" s="1"/>
  <c r="AK41" i="2262"/>
  <c r="AM41" i="2262" s="1"/>
  <c r="AN41" i="2262" s="1"/>
  <c r="AK10" i="2262"/>
  <c r="AM10" i="2262" s="1"/>
  <c r="AN10" i="2262" s="1"/>
  <c r="AK21" i="2262"/>
  <c r="AM21" i="2262" s="1"/>
  <c r="AN21" i="2262" s="1"/>
  <c r="AK37" i="2262"/>
  <c r="AM37" i="2262" s="1"/>
  <c r="AN37" i="2262" s="1"/>
  <c r="AK13" i="2262"/>
  <c r="AM13" i="2262" s="1"/>
  <c r="AN13" i="2262" s="1"/>
  <c r="AK14" i="2262"/>
  <c r="AM14" i="2262" s="1"/>
  <c r="AN14" i="2262" s="1"/>
  <c r="AK17" i="2262"/>
  <c r="AM17" i="2262" s="1"/>
  <c r="AN17" i="2262" s="1"/>
  <c r="AK18" i="2262"/>
  <c r="AM18" i="2262" s="1"/>
  <c r="AN18" i="2262" s="1"/>
  <c r="AK23" i="2262"/>
  <c r="AM23" i="2262" s="1"/>
  <c r="AN23" i="2262" s="1"/>
  <c r="AK26" i="2262"/>
  <c r="AM26" i="2262" s="1"/>
  <c r="AN26" i="2262" s="1"/>
  <c r="AK30" i="2262"/>
  <c r="AM30" i="2262" s="1"/>
  <c r="AN30" i="2262" s="1"/>
  <c r="AK40" i="2262"/>
  <c r="AM40" i="2262" s="1"/>
  <c r="AN40" i="2262" s="1"/>
  <c r="AK51" i="2262"/>
  <c r="AM51" i="2262" s="1"/>
  <c r="AN51" i="2262" s="1"/>
  <c r="AK53" i="2262"/>
  <c r="AM53" i="2262" s="1"/>
  <c r="AN53" i="2262" s="1"/>
  <c r="AK28" i="2262"/>
  <c r="AM28" i="2262" s="1"/>
  <c r="AN28" i="2262" s="1"/>
  <c r="AK33" i="2262"/>
  <c r="AM33" i="2262" s="1"/>
  <c r="AN33" i="2262" s="1"/>
  <c r="AK73" i="2262"/>
  <c r="AM73" i="2262" s="1"/>
  <c r="AN73" i="2262" s="1"/>
  <c r="AK123" i="2262"/>
  <c r="AM123" i="2262" s="1"/>
  <c r="AN123" i="2262" s="1"/>
  <c r="AK8" i="2262"/>
  <c r="AK22" i="2262"/>
  <c r="AM22" i="2262" s="1"/>
  <c r="AN22" i="2262" s="1"/>
  <c r="AK25" i="2262"/>
  <c r="AM25" i="2262" s="1"/>
  <c r="AN25" i="2262" s="1"/>
  <c r="AK32" i="2262"/>
  <c r="AM32" i="2262" s="1"/>
  <c r="AN32" i="2262" s="1"/>
  <c r="AK36" i="2262"/>
  <c r="AM36" i="2262" s="1"/>
  <c r="AN36" i="2262" s="1"/>
  <c r="AK71" i="2262"/>
  <c r="AM71" i="2262" s="1"/>
  <c r="AN71" i="2262" s="1"/>
  <c r="AK122" i="2262"/>
  <c r="AM122" i="2262" s="1"/>
  <c r="AN122" i="2262" s="1"/>
  <c r="AK166" i="2262"/>
  <c r="AM166" i="2262" s="1"/>
  <c r="AN166" i="2262" s="1"/>
  <c r="AK167" i="2262"/>
  <c r="AM167" i="2262" s="1"/>
  <c r="AN167" i="2262" s="1"/>
  <c r="AK169" i="2262"/>
  <c r="AM169" i="2262" s="1"/>
  <c r="AN169" i="2262" s="1"/>
  <c r="AK173" i="2262"/>
  <c r="AM173" i="2262" s="1"/>
  <c r="AN173" i="2262" s="1"/>
  <c r="AK174" i="2262"/>
  <c r="AM174" i="2262" s="1"/>
  <c r="AN174" i="2262" s="1"/>
  <c r="AK177" i="2262"/>
  <c r="AM177" i="2262" s="1"/>
  <c r="AN177" i="2262" s="1"/>
  <c r="AK31" i="2262"/>
  <c r="AM31" i="2262" s="1"/>
  <c r="AN31" i="2262" s="1"/>
  <c r="AK170" i="2262"/>
  <c r="AM170" i="2262" s="1"/>
  <c r="AN170" i="2262" s="1"/>
  <c r="AK171" i="2262"/>
  <c r="AM171" i="2262" s="1"/>
  <c r="AN171" i="2262" s="1"/>
  <c r="AK180" i="2262"/>
  <c r="AM180" i="2262" s="1"/>
  <c r="AN180" i="2262" s="1"/>
  <c r="AK188" i="2262"/>
  <c r="AM188" i="2262" s="1"/>
  <c r="AN188" i="2262" s="1"/>
  <c r="AK190" i="2262"/>
  <c r="AM190" i="2262" s="1"/>
  <c r="AN190" i="2262" s="1"/>
  <c r="AK191" i="2262"/>
  <c r="AM191" i="2262" s="1"/>
  <c r="AN191" i="2262" s="1"/>
  <c r="AK35" i="2262"/>
  <c r="AM35" i="2262" s="1"/>
  <c r="AN35" i="2262" s="1"/>
  <c r="AK172" i="2262"/>
  <c r="AM172" i="2262" s="1"/>
  <c r="AN172" i="2262" s="1"/>
  <c r="AK184" i="2262"/>
  <c r="AM184" i="2262" s="1"/>
  <c r="AN184" i="2262" s="1"/>
  <c r="AK189" i="2262"/>
  <c r="AM189" i="2262" s="1"/>
  <c r="AN189" i="2262" s="1"/>
  <c r="AK60" i="2262"/>
  <c r="AM60" i="2262" s="1"/>
  <c r="AN60" i="2262" s="1"/>
  <c r="AK168" i="2262"/>
  <c r="AM168" i="2262" s="1"/>
  <c r="AN168" i="2262" s="1"/>
  <c r="AK185" i="2262"/>
  <c r="AM185" i="2262" s="1"/>
  <c r="AN185" i="2262" s="1"/>
  <c r="AK175" i="2262"/>
  <c r="AM175" i="2262" s="1"/>
  <c r="AN175" i="2262" s="1"/>
  <c r="AK7" i="2262"/>
  <c r="AK52" i="2262"/>
  <c r="AM52" i="2262" s="1"/>
  <c r="AN52" i="2262" s="1"/>
  <c r="AK181" i="2262"/>
  <c r="AM181" i="2262" s="1"/>
  <c r="AN181" i="2262" s="1"/>
  <c r="AK182" i="2262"/>
  <c r="AM182" i="2262" s="1"/>
  <c r="AN182" i="2262" s="1"/>
  <c r="AK69" i="2262"/>
  <c r="AM69" i="2262" s="1"/>
  <c r="AN69" i="2262" s="1"/>
  <c r="AK176" i="2262"/>
  <c r="AM176" i="2262" s="1"/>
  <c r="AN176" i="2262" s="1"/>
  <c r="AK179" i="2262"/>
  <c r="AM179" i="2262" s="1"/>
  <c r="AN179" i="2262" s="1"/>
  <c r="AK183" i="2262"/>
  <c r="AM183" i="2262" s="1"/>
  <c r="AN183" i="2262" s="1"/>
  <c r="AK187" i="2262"/>
  <c r="AM187" i="2262" s="1"/>
  <c r="AN187" i="2262" s="1"/>
  <c r="AK12" i="2262"/>
  <c r="AM12" i="2262" s="1"/>
  <c r="AN12" i="2262" s="1"/>
  <c r="AK165" i="2262"/>
  <c r="AM165" i="2262" s="1"/>
  <c r="AN165" i="2262" s="1"/>
  <c r="AK178" i="2262"/>
  <c r="AM178" i="2262" s="1"/>
  <c r="AN178" i="2262" s="1"/>
  <c r="AK186" i="2262"/>
  <c r="AM186" i="2262" s="1"/>
  <c r="AN186" i="2262" s="1"/>
  <c r="AK11" i="2262"/>
  <c r="AM11" i="2262" s="1"/>
  <c r="AN11" i="2262" s="1"/>
  <c r="G308" i="2262"/>
  <c r="AK103" i="2262"/>
  <c r="AM103" i="2262" s="1"/>
  <c r="AN103" i="2262" s="1"/>
  <c r="AK105" i="2262"/>
  <c r="AM105" i="2262" s="1"/>
  <c r="AN105" i="2262" s="1"/>
  <c r="AK108" i="2262"/>
  <c r="AM108" i="2262" s="1"/>
  <c r="AN108" i="2262" s="1"/>
  <c r="AK112" i="2262"/>
  <c r="AM112" i="2262" s="1"/>
  <c r="AN112" i="2262" s="1"/>
  <c r="AK110" i="2262"/>
  <c r="AM110" i="2262" s="1"/>
  <c r="AN110" i="2262" s="1"/>
  <c r="AK114" i="2262"/>
  <c r="AM114" i="2262" s="1"/>
  <c r="AN114" i="2262" s="1"/>
  <c r="AK117" i="2262"/>
  <c r="AM117" i="2262" s="1"/>
  <c r="AN117" i="2262" s="1"/>
  <c r="AK104" i="2262"/>
  <c r="AM104" i="2262" s="1"/>
  <c r="AN104" i="2262" s="1"/>
  <c r="AK106" i="2262"/>
  <c r="AM106" i="2262" s="1"/>
  <c r="AN106" i="2262" s="1"/>
  <c r="AK113" i="2262"/>
  <c r="AM113" i="2262" s="1"/>
  <c r="AN113" i="2262" s="1"/>
  <c r="AK115" i="2262"/>
  <c r="AM115" i="2262" s="1"/>
  <c r="AN115" i="2262" s="1"/>
  <c r="AK111" i="2262"/>
  <c r="AM111" i="2262" s="1"/>
  <c r="AN111" i="2262" s="1"/>
  <c r="AK116" i="2262"/>
  <c r="AM116" i="2262" s="1"/>
  <c r="AN116" i="2262" s="1"/>
  <c r="AK109" i="2262"/>
  <c r="AM109" i="2262" s="1"/>
  <c r="AN109" i="2262" s="1"/>
  <c r="AK107" i="2262"/>
  <c r="AM107" i="2262" s="1"/>
  <c r="AN107" i="2262" s="1"/>
  <c r="AK302" i="2262"/>
  <c r="AM302" i="2262" s="1"/>
  <c r="AN302" i="2262" s="1"/>
  <c r="AK323" i="2262"/>
  <c r="AM323" i="2262" s="1"/>
  <c r="AN323" i="2262" s="1"/>
  <c r="AK324" i="2262"/>
  <c r="AM324" i="2262" s="1"/>
  <c r="AN324" i="2262" s="1"/>
  <c r="AK327" i="2262"/>
  <c r="AM327" i="2262" s="1"/>
  <c r="AN327" i="2262" s="1"/>
  <c r="AK322" i="2262"/>
  <c r="AM322" i="2262" s="1"/>
  <c r="AN322" i="2262" s="1"/>
  <c r="AK326" i="2262"/>
  <c r="AM326" i="2262" s="1"/>
  <c r="AN326" i="2262" s="1"/>
  <c r="AK325" i="2262"/>
  <c r="AM325" i="2262" s="1"/>
  <c r="AN325" i="2262" s="1"/>
  <c r="P28" i="2262"/>
  <c r="P30" i="2262"/>
  <c r="P29" i="2262"/>
  <c r="P17" i="2262"/>
  <c r="P21" i="2262"/>
  <c r="P40" i="2262"/>
  <c r="P42" i="2262"/>
  <c r="P48" i="2262"/>
  <c r="P50" i="2262"/>
  <c r="P64" i="2262"/>
  <c r="P66" i="2262"/>
  <c r="P11" i="2262"/>
  <c r="P12" i="2262"/>
  <c r="P13" i="2262"/>
  <c r="P22" i="2262"/>
  <c r="P23" i="2262"/>
  <c r="P14" i="2262"/>
  <c r="P15" i="2262"/>
  <c r="P18" i="2262"/>
  <c r="P19" i="2262"/>
  <c r="P41" i="2262"/>
  <c r="P43" i="2262"/>
  <c r="P54" i="2262"/>
  <c r="P46" i="2262" s="1"/>
  <c r="P57" i="2262"/>
  <c r="P63" i="2262"/>
  <c r="P65" i="2262"/>
  <c r="P69" i="2262"/>
  <c r="P71" i="2262"/>
  <c r="P78" i="2262"/>
  <c r="P80" i="2262"/>
  <c r="P8" i="2262"/>
  <c r="P52" i="2262"/>
  <c r="P55" i="2262"/>
  <c r="P60" i="2262"/>
  <c r="P67" i="2262"/>
  <c r="P73" i="2262"/>
  <c r="P84" i="2262"/>
  <c r="P86" i="2262"/>
  <c r="P87" i="2262"/>
  <c r="P45" i="2262" s="1"/>
  <c r="P16" i="2262"/>
  <c r="P62" i="2262"/>
  <c r="P72" i="2262"/>
  <c r="P85" i="2262"/>
  <c r="P90" i="2262"/>
  <c r="P92" i="2262"/>
  <c r="P121" i="2262"/>
  <c r="P10" i="2262"/>
  <c r="P59" i="2262"/>
  <c r="P61" i="2262"/>
  <c r="P81" i="2262"/>
  <c r="P82" i="2262"/>
  <c r="P94" i="2262"/>
  <c r="P120" i="2262"/>
  <c r="P123" i="2262"/>
  <c r="P175" i="2262"/>
  <c r="P58" i="2262"/>
  <c r="P68" i="2262"/>
  <c r="P182" i="2262"/>
  <c r="P49" i="2262"/>
  <c r="P51" i="2262"/>
  <c r="P53" i="2262"/>
  <c r="P70" i="2262"/>
  <c r="P127" i="2262"/>
  <c r="P176" i="2262"/>
  <c r="P181" i="2262"/>
  <c r="P88" i="2262"/>
  <c r="P178" i="2262"/>
  <c r="P186" i="2262"/>
  <c r="P7" i="2262"/>
  <c r="P77" i="2262"/>
  <c r="P89" i="2262"/>
  <c r="P91" i="2262"/>
  <c r="P56" i="2262"/>
  <c r="P79" i="2262"/>
  <c r="P119" i="2262"/>
  <c r="P177" i="2262"/>
  <c r="P47" i="2262"/>
  <c r="P93" i="2262"/>
  <c r="P95" i="2262"/>
  <c r="P183" i="2262"/>
  <c r="AK85" i="2262"/>
  <c r="AM85" i="2262" s="1"/>
  <c r="AN85" i="2262" s="1"/>
  <c r="AK130" i="2262"/>
  <c r="AM130" i="2262" s="1"/>
  <c r="AN130" i="2262" s="1"/>
  <c r="AK162" i="2262"/>
  <c r="AM162" i="2262" s="1"/>
  <c r="AN162" i="2262" s="1"/>
  <c r="AK84" i="2262"/>
  <c r="AM84" i="2262" s="1"/>
  <c r="AN84" i="2262" s="1"/>
  <c r="AK159" i="2262"/>
  <c r="AM159" i="2262" s="1"/>
  <c r="AN159" i="2262" s="1"/>
  <c r="AK129" i="2262"/>
  <c r="AM129" i="2262" s="1"/>
  <c r="AN129" i="2262" s="1"/>
  <c r="AK125" i="2262"/>
  <c r="AM125" i="2262" s="1"/>
  <c r="AN125" i="2262" s="1"/>
  <c r="AK128" i="2262"/>
  <c r="AM128" i="2262" s="1"/>
  <c r="AN128" i="2262" s="1"/>
  <c r="AK134" i="2262"/>
  <c r="AM134" i="2262" s="1"/>
  <c r="AN134" i="2262" s="1"/>
  <c r="AK154" i="2262"/>
  <c r="AM154" i="2262" s="1"/>
  <c r="AN154" i="2262" s="1"/>
  <c r="AK164" i="2262"/>
  <c r="AM164" i="2262" s="1"/>
  <c r="AN164" i="2262" s="1"/>
  <c r="AK153" i="2262"/>
  <c r="AM153" i="2262" s="1"/>
  <c r="AN153" i="2262" s="1"/>
  <c r="AK163" i="2262"/>
  <c r="AM163" i="2262" s="1"/>
  <c r="AN163" i="2262" s="1"/>
  <c r="AK126" i="2262"/>
  <c r="AM126" i="2262" s="1"/>
  <c r="AN126" i="2262" s="1"/>
  <c r="AK133" i="2262"/>
  <c r="AM133" i="2262" s="1"/>
  <c r="AN133" i="2262" s="1"/>
  <c r="AK124" i="2262"/>
  <c r="AM124" i="2262" s="1"/>
  <c r="AN124" i="2262" s="1"/>
  <c r="P75" i="2262"/>
  <c r="P100" i="2262"/>
  <c r="P96" i="2262"/>
  <c r="P118" i="2262"/>
  <c r="P134" i="2262"/>
  <c r="P136" i="2262"/>
  <c r="P156" i="2262"/>
  <c r="P74" i="2262"/>
  <c r="P99" i="2262"/>
  <c r="P135" i="2262"/>
  <c r="P155" i="2262"/>
  <c r="P165" i="2262"/>
  <c r="P140" i="2262"/>
  <c r="P138" i="2262"/>
  <c r="P83" i="2262"/>
  <c r="P25" i="2262"/>
  <c r="P26" i="2262"/>
  <c r="P24" i="2262"/>
  <c r="P27" i="2262"/>
  <c r="P31" i="2262"/>
  <c r="P9" i="2262"/>
  <c r="P20" i="2262"/>
  <c r="G310" i="2262"/>
  <c r="F311" i="2262"/>
  <c r="BC301" i="2262"/>
  <c r="BC300" i="2262"/>
  <c r="BC299" i="2262"/>
  <c r="BC298" i="2262"/>
  <c r="BC297" i="2262"/>
  <c r="BC296" i="2262"/>
  <c r="BC295" i="2262"/>
  <c r="BC294" i="2262"/>
  <c r="BC293" i="2262"/>
  <c r="BC292" i="2262"/>
  <c r="BC291" i="2262"/>
  <c r="BC290" i="2262"/>
  <c r="BC289" i="2262"/>
  <c r="BC288" i="2262"/>
  <c r="BC287" i="2262"/>
  <c r="BC286" i="2262"/>
  <c r="BC285" i="2262"/>
  <c r="BC284" i="2262"/>
  <c r="BC283" i="2262"/>
  <c r="BC282" i="2262"/>
  <c r="BC281" i="2262"/>
  <c r="BC280" i="2262"/>
  <c r="BC279" i="2262"/>
  <c r="BC278" i="2262"/>
  <c r="BC277" i="2262"/>
  <c r="BC276" i="2262"/>
  <c r="BC275" i="2262"/>
  <c r="BC274" i="2262"/>
  <c r="BC273" i="2262"/>
  <c r="BC272" i="2262"/>
  <c r="BC271" i="2262"/>
  <c r="BC270" i="2262"/>
  <c r="BC269" i="2262"/>
  <c r="BC268" i="2262"/>
  <c r="BC267" i="2262"/>
  <c r="BC266" i="2262"/>
  <c r="BC265" i="2262"/>
  <c r="BC264" i="2262"/>
  <c r="BC263" i="2262"/>
  <c r="BC262" i="2262"/>
  <c r="BC261" i="2262"/>
  <c r="BC260" i="2262"/>
  <c r="BC259" i="2262"/>
  <c r="BC258" i="2262"/>
  <c r="BC257" i="2262"/>
  <c r="BC256" i="2262"/>
  <c r="BC255" i="2262"/>
  <c r="BC254" i="2262"/>
  <c r="BC253" i="2262"/>
  <c r="BC252" i="2262"/>
  <c r="BC251" i="2262"/>
  <c r="BC250" i="2262"/>
  <c r="BC249" i="2262"/>
  <c r="BC248" i="2262"/>
  <c r="BC247" i="2262"/>
  <c r="BC246" i="2262"/>
  <c r="BC245" i="2262"/>
  <c r="BC244" i="2262"/>
  <c r="BC243" i="2262"/>
  <c r="BC242" i="2262"/>
  <c r="BC241" i="2262"/>
  <c r="BC240" i="2262"/>
  <c r="BC239" i="2262"/>
  <c r="BC238" i="2262"/>
  <c r="BC237" i="2262"/>
  <c r="BC236" i="2262"/>
  <c r="BC235" i="2262"/>
  <c r="BC234" i="2262"/>
  <c r="BC233" i="2262"/>
  <c r="BC232" i="2262"/>
  <c r="BC231" i="2262"/>
  <c r="BC230" i="2262"/>
  <c r="BC229" i="2262"/>
  <c r="BC228" i="2262"/>
  <c r="BC227" i="2262"/>
  <c r="BC226" i="2262"/>
  <c r="BC225" i="2262"/>
  <c r="BC224" i="2262"/>
  <c r="BC223" i="2262"/>
  <c r="BC222" i="2262"/>
  <c r="BC221" i="2262"/>
  <c r="BC220" i="2262"/>
  <c r="BC219" i="2262"/>
  <c r="BC218" i="2262"/>
  <c r="BC217" i="2262"/>
  <c r="BC216" i="2262"/>
  <c r="BC215" i="2262"/>
  <c r="BC214" i="2262"/>
  <c r="BC213" i="2262"/>
  <c r="BC212" i="2262"/>
  <c r="BC211" i="2262"/>
  <c r="BC210" i="2262"/>
  <c r="BC209" i="2262"/>
  <c r="BC208" i="2262"/>
  <c r="BC207" i="2262"/>
  <c r="BC206" i="2262"/>
  <c r="BC205" i="2262"/>
  <c r="BC204" i="2262"/>
  <c r="BC203" i="2262"/>
  <c r="BC202" i="2262"/>
  <c r="BC201" i="2262"/>
  <c r="BC200" i="2262"/>
  <c r="BC199" i="2262"/>
  <c r="BC198" i="2262"/>
  <c r="BC197" i="2262"/>
  <c r="BC196" i="2262"/>
  <c r="BC195" i="2262"/>
  <c r="BC194" i="2262"/>
  <c r="BC193" i="2262"/>
  <c r="AM8" i="2262" l="1"/>
  <c r="AN8" i="2262" s="1"/>
  <c r="AM7" i="2262"/>
  <c r="AN7" i="2262" s="1"/>
  <c r="N310" i="2262"/>
  <c r="N309" i="2262"/>
  <c r="N308" i="2262"/>
  <c r="AO307" i="2262"/>
  <c r="BA307" i="2262"/>
  <c r="AZ307" i="2262"/>
  <c r="AY307" i="2262"/>
  <c r="AW307" i="2262"/>
  <c r="AX307" i="2262"/>
  <c r="AV307" i="2262"/>
  <c r="AS307" i="2262"/>
  <c r="AP307" i="2262"/>
  <c r="AR307" i="2262"/>
  <c r="AQ307" i="2262"/>
  <c r="AO306" i="2262"/>
  <c r="BA306" i="2262"/>
  <c r="AZ306" i="2262"/>
  <c r="AY306" i="2262"/>
  <c r="AX306" i="2262"/>
  <c r="AW306" i="2262"/>
  <c r="AS306" i="2262"/>
  <c r="AV306" i="2262"/>
  <c r="AR306" i="2262"/>
  <c r="AQ306" i="2262"/>
  <c r="AP306" i="2262"/>
  <c r="AO304" i="2262"/>
  <c r="BA304" i="2262"/>
  <c r="AZ304" i="2262"/>
  <c r="AY304" i="2262"/>
  <c r="AX304" i="2262"/>
  <c r="AW304" i="2262"/>
  <c r="AS304" i="2262"/>
  <c r="AV304" i="2262"/>
  <c r="AQ304" i="2262"/>
  <c r="AR304" i="2262"/>
  <c r="AP304" i="2262"/>
  <c r="AO303" i="2262"/>
  <c r="BA303" i="2262"/>
  <c r="AZ303" i="2262"/>
  <c r="AY303" i="2262"/>
  <c r="AW303" i="2262"/>
  <c r="AX303" i="2262"/>
  <c r="AV303" i="2262"/>
  <c r="AS303" i="2262"/>
  <c r="AR303" i="2262"/>
  <c r="AP303" i="2262"/>
  <c r="AQ303" i="2262"/>
  <c r="AO305" i="2262"/>
  <c r="BA305" i="2262"/>
  <c r="AZ305" i="2262"/>
  <c r="AY305" i="2262"/>
  <c r="AW305" i="2262"/>
  <c r="AX305" i="2262"/>
  <c r="AV305" i="2262"/>
  <c r="AS305" i="2262"/>
  <c r="AR305" i="2262"/>
  <c r="AP305" i="2262"/>
  <c r="AQ305" i="2262"/>
  <c r="O309" i="2262"/>
  <c r="AB309" i="2262"/>
  <c r="O308" i="2262"/>
  <c r="AB308" i="2262"/>
  <c r="AK44" i="2262"/>
  <c r="F312" i="2262"/>
  <c r="G311" i="2262"/>
  <c r="AB310" i="2262"/>
  <c r="O310" i="2262"/>
  <c r="AH309" i="2262" l="1"/>
  <c r="AI309" i="2262" s="1"/>
  <c r="AH308" i="2262"/>
  <c r="AI308" i="2262" s="1"/>
  <c r="AH310" i="2262"/>
  <c r="AI310" i="2262" s="1"/>
  <c r="AM44" i="2262"/>
  <c r="AN44" i="2262" s="1"/>
  <c r="N311" i="2262"/>
  <c r="F313" i="2262"/>
  <c r="G312" i="2262"/>
  <c r="O311" i="2262"/>
  <c r="AB311" i="2262"/>
  <c r="AH311" i="2262" l="1"/>
  <c r="AI311" i="2262" s="1"/>
  <c r="N312" i="2262"/>
  <c r="AO308" i="2262"/>
  <c r="BA308" i="2262"/>
  <c r="AZ308" i="2262"/>
  <c r="AY308" i="2262"/>
  <c r="AX308" i="2262"/>
  <c r="AW308" i="2262"/>
  <c r="AS308" i="2262"/>
  <c r="AV308" i="2262"/>
  <c r="AR308" i="2262"/>
  <c r="AQ308" i="2262"/>
  <c r="AP308" i="2262"/>
  <c r="AO310" i="2262"/>
  <c r="BA310" i="2262"/>
  <c r="AZ310" i="2262"/>
  <c r="AY310" i="2262"/>
  <c r="AX310" i="2262"/>
  <c r="AW310" i="2262"/>
  <c r="AS310" i="2262"/>
  <c r="AV310" i="2262"/>
  <c r="AR310" i="2262"/>
  <c r="AQ310" i="2262"/>
  <c r="AP310" i="2262"/>
  <c r="AO309" i="2262"/>
  <c r="BA309" i="2262"/>
  <c r="AZ309" i="2262"/>
  <c r="AY309" i="2262"/>
  <c r="AW309" i="2262"/>
  <c r="AX309" i="2262"/>
  <c r="AV309" i="2262"/>
  <c r="AS309" i="2262"/>
  <c r="AR309" i="2262"/>
  <c r="AP309" i="2262"/>
  <c r="AQ309" i="2262"/>
  <c r="O312" i="2262"/>
  <c r="AB312" i="2262"/>
  <c r="G313" i="2262"/>
  <c r="F314" i="2262"/>
  <c r="AH312" i="2262" l="1"/>
  <c r="AI312" i="2262" s="1"/>
  <c r="N313" i="2262"/>
  <c r="AO311" i="2262"/>
  <c r="BA311" i="2262"/>
  <c r="AZ311" i="2262"/>
  <c r="AY311" i="2262"/>
  <c r="AW311" i="2262"/>
  <c r="AX311" i="2262"/>
  <c r="AV311" i="2262"/>
  <c r="AS311" i="2262"/>
  <c r="AP311" i="2262"/>
  <c r="AR311" i="2262"/>
  <c r="AQ311" i="2262"/>
  <c r="G314" i="2262"/>
  <c r="F315" i="2262"/>
  <c r="AB313" i="2262"/>
  <c r="O313" i="2262"/>
  <c r="A1" i="2274"/>
  <c r="AH313" i="2262" l="1"/>
  <c r="AI313" i="2262" s="1"/>
  <c r="N314" i="2262"/>
  <c r="AO312" i="2262"/>
  <c r="BA312" i="2262"/>
  <c r="AZ312" i="2262"/>
  <c r="AY312" i="2262"/>
  <c r="AX312" i="2262"/>
  <c r="AW312" i="2262"/>
  <c r="AS312" i="2262"/>
  <c r="AV312" i="2262"/>
  <c r="AR312" i="2262"/>
  <c r="AQ312" i="2262"/>
  <c r="AP312" i="2262"/>
  <c r="F316" i="2262"/>
  <c r="G315" i="2262"/>
  <c r="AB314" i="2262"/>
  <c r="O314" i="2262"/>
  <c r="D48" i="2273"/>
  <c r="C48" i="2273" s="1"/>
  <c r="AH314" i="2262" l="1"/>
  <c r="AI314" i="2262" s="1"/>
  <c r="N315" i="2262"/>
  <c r="AO313" i="2262"/>
  <c r="BA313" i="2262"/>
  <c r="AZ313" i="2262"/>
  <c r="AY313" i="2262"/>
  <c r="AW313" i="2262"/>
  <c r="AX313" i="2262"/>
  <c r="AV313" i="2262"/>
  <c r="AS313" i="2262"/>
  <c r="AR313" i="2262"/>
  <c r="AP313" i="2262"/>
  <c r="AQ313" i="2262"/>
  <c r="F317" i="2262"/>
  <c r="G316" i="2262"/>
  <c r="O315" i="2262"/>
  <c r="AB315" i="2262"/>
  <c r="AH315" i="2262" l="1"/>
  <c r="AI315" i="2262" s="1"/>
  <c r="N316" i="2262"/>
  <c r="AO314" i="2262"/>
  <c r="BA314" i="2262"/>
  <c r="AZ314" i="2262"/>
  <c r="AY314" i="2262"/>
  <c r="AX314" i="2262"/>
  <c r="AW314" i="2262"/>
  <c r="AS314" i="2262"/>
  <c r="AV314" i="2262"/>
  <c r="AR314" i="2262"/>
  <c r="AQ314" i="2262"/>
  <c r="AP314" i="2262"/>
  <c r="G317" i="2262"/>
  <c r="F318" i="2262"/>
  <c r="O316" i="2262"/>
  <c r="AB316" i="2262"/>
  <c r="AH316" i="2262" l="1"/>
  <c r="AI316" i="2262" s="1"/>
  <c r="N317" i="2262"/>
  <c r="AO315" i="2262"/>
  <c r="BA315" i="2262"/>
  <c r="AZ315" i="2262"/>
  <c r="AY315" i="2262"/>
  <c r="AW315" i="2262"/>
  <c r="AX315" i="2262"/>
  <c r="AV315" i="2262"/>
  <c r="AS315" i="2262"/>
  <c r="AP315" i="2262"/>
  <c r="AR315" i="2262"/>
  <c r="AQ315" i="2262"/>
  <c r="AB317" i="2262"/>
  <c r="O317" i="2262"/>
  <c r="G318" i="2262"/>
  <c r="F319" i="2262"/>
  <c r="AH317" i="2262" l="1"/>
  <c r="AI317" i="2262" s="1"/>
  <c r="N318" i="2262"/>
  <c r="AO316" i="2262"/>
  <c r="BA316" i="2262"/>
  <c r="AZ316" i="2262"/>
  <c r="AY316" i="2262"/>
  <c r="AX316" i="2262"/>
  <c r="AW316" i="2262"/>
  <c r="AS316" i="2262"/>
  <c r="AV316" i="2262"/>
  <c r="AR316" i="2262"/>
  <c r="AQ316" i="2262"/>
  <c r="AP316" i="2262"/>
  <c r="T75" i="2262"/>
  <c r="T108" i="2262"/>
  <c r="T112" i="2262"/>
  <c r="T115" i="2262"/>
  <c r="T123" i="2262"/>
  <c r="T125" i="2262"/>
  <c r="T143" i="2262"/>
  <c r="T74" i="2262"/>
  <c r="T103" i="2262"/>
  <c r="T110" i="2262"/>
  <c r="T114" i="2262"/>
  <c r="T117" i="2262"/>
  <c r="T130" i="2262"/>
  <c r="T141" i="2262"/>
  <c r="T149" i="2262"/>
  <c r="T151" i="2262"/>
  <c r="T162" i="2262"/>
  <c r="T104" i="2262"/>
  <c r="T105" i="2262"/>
  <c r="T106" i="2262"/>
  <c r="T107" i="2262"/>
  <c r="T113" i="2262"/>
  <c r="T122" i="2262"/>
  <c r="T189" i="2262"/>
  <c r="T109" i="2262"/>
  <c r="T134" i="2262"/>
  <c r="T158" i="2262"/>
  <c r="T116" i="2262"/>
  <c r="T131" i="2262"/>
  <c r="T126" i="2262"/>
  <c r="T133" i="2262"/>
  <c r="T139" i="2262"/>
  <c r="T187" i="2262"/>
  <c r="T111" i="2262"/>
  <c r="T124" i="2262"/>
  <c r="T148" i="2262"/>
  <c r="T9" i="2262"/>
  <c r="T27" i="2262"/>
  <c r="T29" i="2262"/>
  <c r="T31" i="2262"/>
  <c r="T33" i="2262"/>
  <c r="T36" i="2262"/>
  <c r="T38" i="2262"/>
  <c r="T41" i="2262"/>
  <c r="T43" i="2262"/>
  <c r="T54" i="2262"/>
  <c r="T56" i="2262"/>
  <c r="T58" i="2262"/>
  <c r="T61" i="2262"/>
  <c r="T67" i="2262"/>
  <c r="T20" i="2262"/>
  <c r="T24" i="2262"/>
  <c r="T32" i="2262"/>
  <c r="T47" i="2262"/>
  <c r="T48" i="2262"/>
  <c r="T49" i="2262"/>
  <c r="T55" i="2262"/>
  <c r="T30" i="2262"/>
  <c r="T37" i="2262"/>
  <c r="T42" i="2262"/>
  <c r="T50" i="2262"/>
  <c r="T53" i="2262"/>
  <c r="T68" i="2262"/>
  <c r="T70" i="2262"/>
  <c r="T72" i="2262"/>
  <c r="T77" i="2262"/>
  <c r="T79" i="2262"/>
  <c r="T81" i="2262"/>
  <c r="T83" i="2262"/>
  <c r="T85" i="2262"/>
  <c r="T26" i="2262"/>
  <c r="T34" i="2262"/>
  <c r="T52" i="2262"/>
  <c r="T57" i="2262"/>
  <c r="T63" i="2262"/>
  <c r="T69" i="2262"/>
  <c r="T78" i="2262"/>
  <c r="T82" i="2262"/>
  <c r="T94" i="2262"/>
  <c r="T102" i="2262"/>
  <c r="T118" i="2262"/>
  <c r="T120" i="2262"/>
  <c r="T129" i="2262"/>
  <c r="T132" i="2262"/>
  <c r="T136" i="2262"/>
  <c r="T137" i="2262"/>
  <c r="T145" i="2262"/>
  <c r="T152" i="2262"/>
  <c r="T154" i="2262"/>
  <c r="T156" i="2262"/>
  <c r="T160" i="2262"/>
  <c r="T164" i="2262"/>
  <c r="T167" i="2262"/>
  <c r="T25" i="2262"/>
  <c r="T28" i="2262"/>
  <c r="T40" i="2262"/>
  <c r="T51" i="2262"/>
  <c r="T65" i="2262"/>
  <c r="T71" i="2262"/>
  <c r="T73" i="2262"/>
  <c r="T89" i="2262"/>
  <c r="T91" i="2262"/>
  <c r="T95" i="2262"/>
  <c r="T97" i="2262"/>
  <c r="T99" i="2262"/>
  <c r="T101" i="2262"/>
  <c r="T127" i="2262"/>
  <c r="T135" i="2262"/>
  <c r="T147" i="2262"/>
  <c r="T157" i="2262"/>
  <c r="T159" i="2262"/>
  <c r="T161" i="2262"/>
  <c r="T169" i="2262"/>
  <c r="T173" i="2262"/>
  <c r="T177" i="2262"/>
  <c r="T179" i="2262"/>
  <c r="T59" i="2262"/>
  <c r="T62" i="2262"/>
  <c r="T80" i="2262"/>
  <c r="T84" i="2262"/>
  <c r="T88" i="2262"/>
  <c r="T90" i="2262"/>
  <c r="T93" i="2262"/>
  <c r="T138" i="2262"/>
  <c r="T144" i="2262"/>
  <c r="T150" i="2262"/>
  <c r="T170" i="2262"/>
  <c r="T174" i="2262"/>
  <c r="T188" i="2262"/>
  <c r="T190" i="2262"/>
  <c r="T35" i="2262"/>
  <c r="T98" i="2262"/>
  <c r="T100" i="2262"/>
  <c r="T119" i="2262"/>
  <c r="T121" i="2262"/>
  <c r="T128" i="2262"/>
  <c r="T171" i="2262"/>
  <c r="T180" i="2262"/>
  <c r="T184" i="2262"/>
  <c r="T191" i="2262"/>
  <c r="T39" i="2262"/>
  <c r="T64" i="2262"/>
  <c r="T140" i="2262"/>
  <c r="T153" i="2262"/>
  <c r="T163" i="2262"/>
  <c r="T181" i="2262"/>
  <c r="T182" i="2262"/>
  <c r="T146" i="2262"/>
  <c r="T165" i="2262"/>
  <c r="T172" i="2262"/>
  <c r="T176" i="2262"/>
  <c r="T178" i="2262"/>
  <c r="T186" i="2262"/>
  <c r="T66" i="2262"/>
  <c r="T92" i="2262"/>
  <c r="T60" i="2262"/>
  <c r="T86" i="2262"/>
  <c r="T87" i="2262"/>
  <c r="T96" i="2262"/>
  <c r="T142" i="2262"/>
  <c r="T168" i="2262"/>
  <c r="T183" i="2262"/>
  <c r="T185" i="2262"/>
  <c r="T155" i="2262"/>
  <c r="T166" i="2262"/>
  <c r="T175" i="2262"/>
  <c r="T192" i="2262"/>
  <c r="AB318" i="2262"/>
  <c r="O318" i="2262"/>
  <c r="F320" i="2262"/>
  <c r="F321" i="2262" s="1"/>
  <c r="G321" i="2262" s="1"/>
  <c r="G319" i="2262"/>
  <c r="AL45" i="2262"/>
  <c r="AH318" i="2262" l="1"/>
  <c r="AI318" i="2262" s="1"/>
  <c r="N319" i="2262"/>
  <c r="AO317" i="2262"/>
  <c r="BA317" i="2262"/>
  <c r="AZ317" i="2262"/>
  <c r="AY317" i="2262"/>
  <c r="AW317" i="2262"/>
  <c r="AX317" i="2262"/>
  <c r="AV317" i="2262"/>
  <c r="AS317" i="2262"/>
  <c r="AR317" i="2262"/>
  <c r="AP317" i="2262"/>
  <c r="AQ317" i="2262"/>
  <c r="Q294" i="2262"/>
  <c r="Q286" i="2262"/>
  <c r="Q278" i="2262"/>
  <c r="Q270" i="2262"/>
  <c r="Q262" i="2262"/>
  <c r="Q222" i="2262"/>
  <c r="Q214" i="2262"/>
  <c r="Q209" i="2262"/>
  <c r="Q279" i="2262"/>
  <c r="Q293" i="2262"/>
  <c r="Q285" i="2262"/>
  <c r="Q277" i="2262"/>
  <c r="Q269" i="2262"/>
  <c r="Q261" i="2262"/>
  <c r="Q221" i="2262"/>
  <c r="Q213" i="2262"/>
  <c r="Q295" i="2262"/>
  <c r="Q215" i="2262"/>
  <c r="Q300" i="2262"/>
  <c r="Q292" i="2262"/>
  <c r="Q284" i="2262"/>
  <c r="Q276" i="2262"/>
  <c r="Q268" i="2262"/>
  <c r="Q260" i="2262"/>
  <c r="Q228" i="2262"/>
  <c r="Q220" i="2262"/>
  <c r="Q212" i="2262"/>
  <c r="Q287" i="2262"/>
  <c r="Q207" i="2262"/>
  <c r="Q299" i="2262"/>
  <c r="Q291" i="2262"/>
  <c r="Q283" i="2262"/>
  <c r="Q275" i="2262"/>
  <c r="Q267" i="2262"/>
  <c r="Q259" i="2262"/>
  <c r="Q227" i="2262"/>
  <c r="Q219" i="2262"/>
  <c r="Q211" i="2262"/>
  <c r="Q298" i="2262"/>
  <c r="Q290" i="2262"/>
  <c r="Q282" i="2262"/>
  <c r="Q274" i="2262"/>
  <c r="Q266" i="2262"/>
  <c r="Q258" i="2262"/>
  <c r="Q226" i="2262"/>
  <c r="Q218" i="2262"/>
  <c r="Q210" i="2262"/>
  <c r="Q271" i="2262"/>
  <c r="Q297" i="2262"/>
  <c r="Q289" i="2262"/>
  <c r="Q281" i="2262"/>
  <c r="Q273" i="2262"/>
  <c r="Q265" i="2262"/>
  <c r="Q257" i="2262"/>
  <c r="Q225" i="2262"/>
  <c r="Q217" i="2262"/>
  <c r="Q223" i="2262"/>
  <c r="Q296" i="2262"/>
  <c r="Q288" i="2262"/>
  <c r="Q280" i="2262"/>
  <c r="Q272" i="2262"/>
  <c r="Q264" i="2262"/>
  <c r="Q224" i="2262"/>
  <c r="Q216" i="2262"/>
  <c r="Q208" i="2262"/>
  <c r="Q263" i="2262"/>
  <c r="U66" i="2262"/>
  <c r="U172" i="2262"/>
  <c r="U146" i="2262"/>
  <c r="U153" i="2262"/>
  <c r="U191" i="2262"/>
  <c r="U128" i="2262"/>
  <c r="U192" i="2262"/>
  <c r="U166" i="2262"/>
  <c r="U185" i="2262"/>
  <c r="U168" i="2262"/>
  <c r="U96" i="2262"/>
  <c r="U86" i="2262"/>
  <c r="U92" i="2262"/>
  <c r="U186" i="2262"/>
  <c r="U176" i="2262"/>
  <c r="U165" i="2262"/>
  <c r="U182" i="2262"/>
  <c r="U163" i="2262"/>
  <c r="U140" i="2262"/>
  <c r="U39" i="2262"/>
  <c r="U184" i="2262"/>
  <c r="U171" i="2262"/>
  <c r="U121" i="2262"/>
  <c r="U100" i="2262"/>
  <c r="U35" i="2262"/>
  <c r="U188" i="2262"/>
  <c r="U170" i="2262"/>
  <c r="U144" i="2262"/>
  <c r="U93" i="2262"/>
  <c r="U88" i="2262"/>
  <c r="U80" i="2262"/>
  <c r="U59" i="2262"/>
  <c r="U177" i="2262"/>
  <c r="U169" i="2262"/>
  <c r="U159" i="2262"/>
  <c r="U147" i="2262"/>
  <c r="U127" i="2262"/>
  <c r="U99" i="2262"/>
  <c r="U95" i="2262"/>
  <c r="U89" i="2262"/>
  <c r="U71" i="2262"/>
  <c r="U51" i="2262"/>
  <c r="U28" i="2262"/>
  <c r="U167" i="2262"/>
  <c r="U160" i="2262"/>
  <c r="U154" i="2262"/>
  <c r="U145" i="2262"/>
  <c r="U136" i="2262"/>
  <c r="U129" i="2262"/>
  <c r="U118" i="2262"/>
  <c r="U94" i="2262"/>
  <c r="U78" i="2262"/>
  <c r="U63" i="2262"/>
  <c r="U52" i="2262"/>
  <c r="U26" i="2262"/>
  <c r="U83" i="2262"/>
  <c r="U79" i="2262"/>
  <c r="U72" i="2262"/>
  <c r="U68" i="2262"/>
  <c r="U50" i="2262"/>
  <c r="U37" i="2262"/>
  <c r="U55" i="2262"/>
  <c r="U48" i="2262"/>
  <c r="U32" i="2262"/>
  <c r="U20" i="2262"/>
  <c r="U61" i="2262"/>
  <c r="U56" i="2262"/>
  <c r="U43" i="2262"/>
  <c r="U33" i="2262"/>
  <c r="U29" i="2262"/>
  <c r="U9" i="2262"/>
  <c r="U124" i="2262"/>
  <c r="U187" i="2262"/>
  <c r="U133" i="2262"/>
  <c r="U131" i="2262"/>
  <c r="U158" i="2262"/>
  <c r="U109" i="2262"/>
  <c r="N109" i="2262"/>
  <c r="U122" i="2262"/>
  <c r="U107" i="2262"/>
  <c r="N107" i="2262"/>
  <c r="U105" i="2262"/>
  <c r="N105" i="2262"/>
  <c r="U162" i="2262"/>
  <c r="U149" i="2262"/>
  <c r="U130" i="2262"/>
  <c r="U114" i="2262"/>
  <c r="N114" i="2262"/>
  <c r="U103" i="2262"/>
  <c r="N103" i="2262"/>
  <c r="U143" i="2262"/>
  <c r="U123" i="2262"/>
  <c r="U112" i="2262"/>
  <c r="N112" i="2262"/>
  <c r="U75" i="2262"/>
  <c r="U175" i="2262"/>
  <c r="U155" i="2262"/>
  <c r="U183" i="2262"/>
  <c r="U142" i="2262"/>
  <c r="U60" i="2262"/>
  <c r="U178" i="2262"/>
  <c r="U181" i="2262"/>
  <c r="U64" i="2262"/>
  <c r="U180" i="2262"/>
  <c r="U119" i="2262"/>
  <c r="U98" i="2262"/>
  <c r="U190" i="2262"/>
  <c r="U174" i="2262"/>
  <c r="U150" i="2262"/>
  <c r="U138" i="2262"/>
  <c r="U90" i="2262"/>
  <c r="U84" i="2262"/>
  <c r="U62" i="2262"/>
  <c r="U179" i="2262"/>
  <c r="U173" i="2262"/>
  <c r="U161" i="2262"/>
  <c r="N161" i="2262"/>
  <c r="U157" i="2262"/>
  <c r="U135" i="2262"/>
  <c r="U101" i="2262"/>
  <c r="U97" i="2262"/>
  <c r="U91" i="2262"/>
  <c r="U73" i="2262"/>
  <c r="U65" i="2262"/>
  <c r="U40" i="2262"/>
  <c r="U25" i="2262"/>
  <c r="U164" i="2262"/>
  <c r="U156" i="2262"/>
  <c r="U152" i="2262"/>
  <c r="U137" i="2262"/>
  <c r="U132" i="2262"/>
  <c r="U120" i="2262"/>
  <c r="U102" i="2262"/>
  <c r="U82" i="2262"/>
  <c r="U69" i="2262"/>
  <c r="U57" i="2262"/>
  <c r="U34" i="2262"/>
  <c r="U85" i="2262"/>
  <c r="U81" i="2262"/>
  <c r="U77" i="2262"/>
  <c r="U70" i="2262"/>
  <c r="U53" i="2262"/>
  <c r="U42" i="2262"/>
  <c r="U30" i="2262"/>
  <c r="U49" i="2262"/>
  <c r="U47" i="2262"/>
  <c r="U24" i="2262"/>
  <c r="U67" i="2262"/>
  <c r="U58" i="2262"/>
  <c r="U41" i="2262"/>
  <c r="U36" i="2262"/>
  <c r="U31" i="2262"/>
  <c r="U27" i="2262"/>
  <c r="U148" i="2262"/>
  <c r="U111" i="2262"/>
  <c r="N111" i="2262"/>
  <c r="U139" i="2262"/>
  <c r="U126" i="2262"/>
  <c r="U116" i="2262"/>
  <c r="N116" i="2262"/>
  <c r="U134" i="2262"/>
  <c r="U189" i="2262"/>
  <c r="U113" i="2262"/>
  <c r="N113" i="2262"/>
  <c r="U106" i="2262"/>
  <c r="N106" i="2262"/>
  <c r="U104" i="2262"/>
  <c r="N104" i="2262"/>
  <c r="U151" i="2262"/>
  <c r="U141" i="2262"/>
  <c r="U117" i="2262"/>
  <c r="N117" i="2262"/>
  <c r="U110" i="2262"/>
  <c r="N110" i="2262"/>
  <c r="U74" i="2262"/>
  <c r="U125" i="2262"/>
  <c r="U115" i="2262"/>
  <c r="N115" i="2262"/>
  <c r="U108" i="2262"/>
  <c r="N108" i="2262"/>
  <c r="T44" i="2262"/>
  <c r="U38" i="2262"/>
  <c r="U87" i="2262"/>
  <c r="U45" i="2262" s="1"/>
  <c r="T45" i="2262"/>
  <c r="U54" i="2262"/>
  <c r="Q15" i="2262"/>
  <c r="Q27" i="2262"/>
  <c r="Q31" i="2262"/>
  <c r="Q38" i="2262"/>
  <c r="Q42" i="2262"/>
  <c r="Q56" i="2262"/>
  <c r="Q64" i="2262"/>
  <c r="Q96" i="2262"/>
  <c r="Q99" i="2262"/>
  <c r="Q102" i="2262"/>
  <c r="Q106" i="2262"/>
  <c r="Q110" i="2262"/>
  <c r="Q7" i="2262"/>
  <c r="Q10" i="2262"/>
  <c r="Q18" i="2262"/>
  <c r="Q21" i="2262"/>
  <c r="Q35" i="2262"/>
  <c r="Q48" i="2262"/>
  <c r="Q59" i="2262"/>
  <c r="Q67" i="2262"/>
  <c r="Q70" i="2262"/>
  <c r="Q73" i="2262"/>
  <c r="Q76" i="2262"/>
  <c r="Q79" i="2262"/>
  <c r="Q82" i="2262"/>
  <c r="Q87" i="2262"/>
  <c r="Q89" i="2262"/>
  <c r="Q13" i="2262"/>
  <c r="Q24" i="2262"/>
  <c r="Q28" i="2262"/>
  <c r="Q39" i="2262"/>
  <c r="Q43" i="2262"/>
  <c r="Q46" i="2262"/>
  <c r="Q51" i="2262"/>
  <c r="Q54" i="2262"/>
  <c r="Q62" i="2262"/>
  <c r="Q85" i="2262"/>
  <c r="Q94" i="2262"/>
  <c r="Q97" i="2262"/>
  <c r="Q103" i="2262"/>
  <c r="Q107" i="2262"/>
  <c r="Q111" i="2262"/>
  <c r="Q120" i="2262"/>
  <c r="Q16" i="2262"/>
  <c r="Q32" i="2262"/>
  <c r="Q36" i="2262"/>
  <c r="Q57" i="2262"/>
  <c r="Q65" i="2262"/>
  <c r="Q68" i="2262"/>
  <c r="Q74" i="2262"/>
  <c r="Q77" i="2262"/>
  <c r="Q92" i="2262"/>
  <c r="Q100" i="2262"/>
  <c r="Q8" i="2262"/>
  <c r="Q11" i="2262"/>
  <c r="Q19" i="2262"/>
  <c r="Q22" i="2262"/>
  <c r="Q25" i="2262"/>
  <c r="Q29" i="2262"/>
  <c r="Q40" i="2262"/>
  <c r="Q49" i="2262"/>
  <c r="Q60" i="2262"/>
  <c r="Q71" i="2262"/>
  <c r="Q80" i="2262"/>
  <c r="Q83" i="2262"/>
  <c r="Q90" i="2262"/>
  <c r="Q104" i="2262"/>
  <c r="Q14" i="2262"/>
  <c r="Q33" i="2262"/>
  <c r="Q52" i="2262"/>
  <c r="Q55" i="2262"/>
  <c r="Q63" i="2262"/>
  <c r="Q86" i="2262"/>
  <c r="Q88" i="2262"/>
  <c r="Q95" i="2262"/>
  <c r="Q98" i="2262"/>
  <c r="Q17" i="2262"/>
  <c r="Q26" i="2262"/>
  <c r="Q30" i="2262"/>
  <c r="Q37" i="2262"/>
  <c r="Q41" i="2262"/>
  <c r="Q47" i="2262"/>
  <c r="Q58" i="2262"/>
  <c r="Q66" i="2262"/>
  <c r="Q69" i="2262"/>
  <c r="Q72" i="2262"/>
  <c r="Q75" i="2262"/>
  <c r="Q78" i="2262"/>
  <c r="Q101" i="2262"/>
  <c r="Q105" i="2262"/>
  <c r="Q109" i="2262"/>
  <c r="Q9" i="2262"/>
  <c r="Q12" i="2262"/>
  <c r="Q20" i="2262"/>
  <c r="Q23" i="2262"/>
  <c r="Q34" i="2262"/>
  <c r="Q50" i="2262"/>
  <c r="Q53" i="2262"/>
  <c r="Q61" i="2262"/>
  <c r="Q81" i="2262"/>
  <c r="Q84" i="2262"/>
  <c r="Q91" i="2262"/>
  <c r="Q93" i="2262"/>
  <c r="Q114" i="2262"/>
  <c r="Q123" i="2262"/>
  <c r="Q126" i="2262"/>
  <c r="Q135" i="2262"/>
  <c r="Q138" i="2262"/>
  <c r="Q141" i="2262"/>
  <c r="Q155" i="2262"/>
  <c r="Q166" i="2262"/>
  <c r="Q168" i="2262"/>
  <c r="Q180" i="2262"/>
  <c r="Q182" i="2262"/>
  <c r="Q108" i="2262"/>
  <c r="Q129" i="2262"/>
  <c r="Q132" i="2262"/>
  <c r="Q144" i="2262"/>
  <c r="Q150" i="2262"/>
  <c r="Q164" i="2262"/>
  <c r="Q171" i="2262"/>
  <c r="Q187" i="2262"/>
  <c r="Q112" i="2262"/>
  <c r="Q117" i="2262"/>
  <c r="Q121" i="2262"/>
  <c r="Q147" i="2262"/>
  <c r="Q153" i="2262"/>
  <c r="Q158" i="2262"/>
  <c r="Q161" i="2262"/>
  <c r="Q174" i="2262"/>
  <c r="Q176" i="2262"/>
  <c r="Q178" i="2262"/>
  <c r="Q185" i="2262"/>
  <c r="Q191" i="2262"/>
  <c r="Q115" i="2262"/>
  <c r="Q124" i="2262"/>
  <c r="Q127" i="2262"/>
  <c r="Q136" i="2262"/>
  <c r="Q139" i="2262"/>
  <c r="Q142" i="2262"/>
  <c r="Q156" i="2262"/>
  <c r="Q162" i="2262"/>
  <c r="Q169" i="2262"/>
  <c r="Q188" i="2262"/>
  <c r="Q118" i="2262"/>
  <c r="Q130" i="2262"/>
  <c r="Q133" i="2262"/>
  <c r="Q145" i="2262"/>
  <c r="Q151" i="2262"/>
  <c r="Q159" i="2262"/>
  <c r="Q165" i="2262"/>
  <c r="Q167" i="2262"/>
  <c r="Q172" i="2262"/>
  <c r="Q181" i="2262"/>
  <c r="Q183" i="2262"/>
  <c r="Q192" i="2262"/>
  <c r="Q113" i="2262"/>
  <c r="Q122" i="2262"/>
  <c r="Q125" i="2262"/>
  <c r="Q140" i="2262"/>
  <c r="Q148" i="2262"/>
  <c r="Q154" i="2262"/>
  <c r="Q179" i="2262"/>
  <c r="Q189" i="2262"/>
  <c r="Q119" i="2262"/>
  <c r="Q128" i="2262"/>
  <c r="Q131" i="2262"/>
  <c r="Q134" i="2262"/>
  <c r="Q137" i="2262"/>
  <c r="Q143" i="2262"/>
  <c r="Q157" i="2262"/>
  <c r="Q163" i="2262"/>
  <c r="Q170" i="2262"/>
  <c r="Q175" i="2262"/>
  <c r="Q177" i="2262"/>
  <c r="Q186" i="2262"/>
  <c r="Q116" i="2262"/>
  <c r="Q146" i="2262"/>
  <c r="Q149" i="2262"/>
  <c r="Q152" i="2262"/>
  <c r="Q160" i="2262"/>
  <c r="Q173" i="2262"/>
  <c r="Q184" i="2262"/>
  <c r="Q190" i="2262"/>
  <c r="N321" i="2262"/>
  <c r="G320" i="2262"/>
  <c r="O319" i="2262"/>
  <c r="AB319" i="2262"/>
  <c r="AH319" i="2262" l="1"/>
  <c r="AH108" i="2262"/>
  <c r="AI108" i="2262" s="1"/>
  <c r="AH115" i="2262"/>
  <c r="AI115" i="2262" s="1"/>
  <c r="AH110" i="2262"/>
  <c r="AI110" i="2262" s="1"/>
  <c r="AH117" i="2262"/>
  <c r="AI117" i="2262" s="1"/>
  <c r="AH104" i="2262"/>
  <c r="AI104" i="2262" s="1"/>
  <c r="AH106" i="2262"/>
  <c r="AI106" i="2262" s="1"/>
  <c r="AH113" i="2262"/>
  <c r="AI113" i="2262" s="1"/>
  <c r="AH116" i="2262"/>
  <c r="AI116" i="2262" s="1"/>
  <c r="AH111" i="2262"/>
  <c r="AI111" i="2262" s="1"/>
  <c r="AH112" i="2262"/>
  <c r="AI112" i="2262" s="1"/>
  <c r="AH103" i="2262"/>
  <c r="AI103" i="2262" s="1"/>
  <c r="AH114" i="2262"/>
  <c r="AI114" i="2262" s="1"/>
  <c r="AH109" i="2262"/>
  <c r="AI109" i="2262" s="1"/>
  <c r="AI319" i="2262"/>
  <c r="AH161" i="2262"/>
  <c r="AI161" i="2262" s="1"/>
  <c r="AH105" i="2262"/>
  <c r="AI105" i="2262" s="1"/>
  <c r="AH107" i="2262"/>
  <c r="AI107" i="2262" s="1"/>
  <c r="N320" i="2262"/>
  <c r="AO318" i="2262"/>
  <c r="BA318" i="2262"/>
  <c r="AZ318" i="2262"/>
  <c r="AY318" i="2262"/>
  <c r="AX318" i="2262"/>
  <c r="AW318" i="2262"/>
  <c r="AS318" i="2262"/>
  <c r="AV318" i="2262"/>
  <c r="AR318" i="2262"/>
  <c r="AQ318" i="2262"/>
  <c r="AP318" i="2262"/>
  <c r="Q254" i="2262"/>
  <c r="Q246" i="2262"/>
  <c r="Q238" i="2262"/>
  <c r="Q230" i="2262"/>
  <c r="Q206" i="2262"/>
  <c r="Q198" i="2262"/>
  <c r="Q199" i="2262"/>
  <c r="Q301" i="2262"/>
  <c r="Q253" i="2262"/>
  <c r="Q245" i="2262"/>
  <c r="Q237" i="2262"/>
  <c r="Q229" i="2262"/>
  <c r="Q205" i="2262"/>
  <c r="Q197" i="2262"/>
  <c r="Q252" i="2262"/>
  <c r="Q244" i="2262"/>
  <c r="Q236" i="2262"/>
  <c r="Q204" i="2262"/>
  <c r="Q196" i="2262"/>
  <c r="Q195" i="2262"/>
  <c r="Q251" i="2262"/>
  <c r="Q243" i="2262"/>
  <c r="Q235" i="2262"/>
  <c r="Q203" i="2262"/>
  <c r="Q200" i="2262"/>
  <c r="Q255" i="2262"/>
  <c r="Q239" i="2262"/>
  <c r="Q250" i="2262"/>
  <c r="Q242" i="2262"/>
  <c r="Q234" i="2262"/>
  <c r="Q202" i="2262"/>
  <c r="Q194" i="2262"/>
  <c r="Q249" i="2262"/>
  <c r="Q241" i="2262"/>
  <c r="Q233" i="2262"/>
  <c r="Q201" i="2262"/>
  <c r="Q247" i="2262"/>
  <c r="Q256" i="2262"/>
  <c r="Q248" i="2262"/>
  <c r="Q240" i="2262"/>
  <c r="Q232" i="2262"/>
  <c r="Q231" i="2262"/>
  <c r="U44" i="2262"/>
  <c r="AB321" i="2262"/>
  <c r="O321" i="2262"/>
  <c r="Q44" i="2262"/>
  <c r="Q45" i="2262"/>
  <c r="O320" i="2262"/>
  <c r="AB320" i="2262"/>
  <c r="AH321" i="2262" l="1"/>
  <c r="AI321" i="2262" s="1"/>
  <c r="AH320" i="2262"/>
  <c r="AI320" i="2262" s="1"/>
  <c r="AO319" i="2262"/>
  <c r="BA319" i="2262"/>
  <c r="AZ319" i="2262"/>
  <c r="AY319" i="2262"/>
  <c r="AW319" i="2262"/>
  <c r="AX319" i="2262"/>
  <c r="AV319" i="2262"/>
  <c r="AS319" i="2262"/>
  <c r="AP319" i="2262"/>
  <c r="AR319" i="2262"/>
  <c r="AQ319" i="2262"/>
  <c r="AO104" i="2262"/>
  <c r="BA104" i="2262"/>
  <c r="AZ104" i="2262"/>
  <c r="AY104" i="2262"/>
  <c r="AX104" i="2262"/>
  <c r="AW104" i="2262"/>
  <c r="AS104" i="2262"/>
  <c r="AV104" i="2262"/>
  <c r="AQ104" i="2262"/>
  <c r="AR104" i="2262"/>
  <c r="AP104" i="2262"/>
  <c r="AO117" i="2262"/>
  <c r="BA117" i="2262"/>
  <c r="AZ117" i="2262"/>
  <c r="AY117" i="2262"/>
  <c r="AW117" i="2262"/>
  <c r="AX117" i="2262"/>
  <c r="AV117" i="2262"/>
  <c r="AS117" i="2262"/>
  <c r="AR117" i="2262"/>
  <c r="AP117" i="2262"/>
  <c r="AQ117" i="2262"/>
  <c r="AO109" i="2262"/>
  <c r="BA109" i="2262"/>
  <c r="AZ109" i="2262"/>
  <c r="AY109" i="2262"/>
  <c r="AW109" i="2262"/>
  <c r="AX109" i="2262"/>
  <c r="AV109" i="2262"/>
  <c r="AS109" i="2262"/>
  <c r="AR109" i="2262"/>
  <c r="AP109" i="2262"/>
  <c r="AQ109" i="2262"/>
  <c r="AO103" i="2262"/>
  <c r="BA103" i="2262"/>
  <c r="AZ103" i="2262"/>
  <c r="AY103" i="2262"/>
  <c r="AW103" i="2262"/>
  <c r="AX103" i="2262"/>
  <c r="AV103" i="2262"/>
  <c r="AS103" i="2262"/>
  <c r="AR103" i="2262"/>
  <c r="AP103" i="2262"/>
  <c r="AQ103" i="2262"/>
  <c r="AO116" i="2262"/>
  <c r="BA116" i="2262"/>
  <c r="AZ116" i="2262"/>
  <c r="AY116" i="2262"/>
  <c r="AX116" i="2262"/>
  <c r="AW116" i="2262"/>
  <c r="AS116" i="2262"/>
  <c r="AV116" i="2262"/>
  <c r="AQ116" i="2262"/>
  <c r="AR116" i="2262"/>
  <c r="AP116" i="2262"/>
  <c r="AO111" i="2262"/>
  <c r="BA111" i="2262"/>
  <c r="AZ111" i="2262"/>
  <c r="AY111" i="2262"/>
  <c r="AW111" i="2262"/>
  <c r="AX111" i="2262"/>
  <c r="AV111" i="2262"/>
  <c r="AS111" i="2262"/>
  <c r="AR111" i="2262"/>
  <c r="AP111" i="2262"/>
  <c r="AQ111" i="2262"/>
  <c r="AO161" i="2262"/>
  <c r="BA161" i="2262"/>
  <c r="AZ161" i="2262"/>
  <c r="AY161" i="2262"/>
  <c r="AW161" i="2262"/>
  <c r="AX161" i="2262"/>
  <c r="AV161" i="2262"/>
  <c r="AS161" i="2262"/>
  <c r="AR161" i="2262"/>
  <c r="AP161" i="2262"/>
  <c r="AQ161" i="2262"/>
  <c r="AO115" i="2262"/>
  <c r="BA115" i="2262"/>
  <c r="AZ115" i="2262"/>
  <c r="AY115" i="2262"/>
  <c r="AW115" i="2262"/>
  <c r="AX115" i="2262"/>
  <c r="AV115" i="2262"/>
  <c r="AS115" i="2262"/>
  <c r="AR115" i="2262"/>
  <c r="AP115" i="2262"/>
  <c r="AQ115" i="2262"/>
  <c r="AO106" i="2262"/>
  <c r="BA106" i="2262"/>
  <c r="AZ106" i="2262"/>
  <c r="AY106" i="2262"/>
  <c r="AX106" i="2262"/>
  <c r="AW106" i="2262"/>
  <c r="AS106" i="2262"/>
  <c r="AV106" i="2262"/>
  <c r="AQ106" i="2262"/>
  <c r="AR106" i="2262"/>
  <c r="AP106" i="2262"/>
  <c r="AO108" i="2262"/>
  <c r="BA108" i="2262"/>
  <c r="AZ108" i="2262"/>
  <c r="AY108" i="2262"/>
  <c r="AX108" i="2262"/>
  <c r="AW108" i="2262"/>
  <c r="AS108" i="2262"/>
  <c r="AV108" i="2262"/>
  <c r="AQ108" i="2262"/>
  <c r="AR108" i="2262"/>
  <c r="AP108" i="2262"/>
  <c r="AO107" i="2262"/>
  <c r="BA107" i="2262"/>
  <c r="AZ107" i="2262"/>
  <c r="AY107" i="2262"/>
  <c r="AW107" i="2262"/>
  <c r="AX107" i="2262"/>
  <c r="AV107" i="2262"/>
  <c r="AS107" i="2262"/>
  <c r="AR107" i="2262"/>
  <c r="AP107" i="2262"/>
  <c r="AQ107" i="2262"/>
  <c r="AO110" i="2262"/>
  <c r="BA110" i="2262"/>
  <c r="AZ110" i="2262"/>
  <c r="AY110" i="2262"/>
  <c r="AX110" i="2262"/>
  <c r="AW110" i="2262"/>
  <c r="AS110" i="2262"/>
  <c r="AV110" i="2262"/>
  <c r="AQ110" i="2262"/>
  <c r="AR110" i="2262"/>
  <c r="AP110" i="2262"/>
  <c r="AO114" i="2262"/>
  <c r="BA114" i="2262"/>
  <c r="AZ114" i="2262"/>
  <c r="AY114" i="2262"/>
  <c r="AX114" i="2262"/>
  <c r="AW114" i="2262"/>
  <c r="AS114" i="2262"/>
  <c r="AV114" i="2262"/>
  <c r="AQ114" i="2262"/>
  <c r="AR114" i="2262"/>
  <c r="AP114" i="2262"/>
  <c r="AO105" i="2262"/>
  <c r="BA105" i="2262"/>
  <c r="AZ105" i="2262"/>
  <c r="AY105" i="2262"/>
  <c r="AW105" i="2262"/>
  <c r="AX105" i="2262"/>
  <c r="AV105" i="2262"/>
  <c r="AS105" i="2262"/>
  <c r="AR105" i="2262"/>
  <c r="AP105" i="2262"/>
  <c r="AQ105" i="2262"/>
  <c r="AO113" i="2262"/>
  <c r="BA113" i="2262"/>
  <c r="AZ113" i="2262"/>
  <c r="AY113" i="2262"/>
  <c r="AW113" i="2262"/>
  <c r="AX113" i="2262"/>
  <c r="AV113" i="2262"/>
  <c r="AS113" i="2262"/>
  <c r="AR113" i="2262"/>
  <c r="AP113" i="2262"/>
  <c r="AQ113" i="2262"/>
  <c r="AO112" i="2262"/>
  <c r="BA112" i="2262"/>
  <c r="AZ112" i="2262"/>
  <c r="AY112" i="2262"/>
  <c r="AX112" i="2262"/>
  <c r="AW112" i="2262"/>
  <c r="AS112" i="2262"/>
  <c r="AV112" i="2262"/>
  <c r="AQ112" i="2262"/>
  <c r="AR112" i="2262"/>
  <c r="AP112" i="2262"/>
  <c r="AO320" i="2262" l="1"/>
  <c r="BA320" i="2262"/>
  <c r="AZ320" i="2262"/>
  <c r="AY320" i="2262"/>
  <c r="AX320" i="2262"/>
  <c r="AW320" i="2262"/>
  <c r="AS320" i="2262"/>
  <c r="AV320" i="2262"/>
  <c r="AR320" i="2262"/>
  <c r="AQ320" i="2262"/>
  <c r="AP320" i="2262"/>
  <c r="AO321" i="2262"/>
  <c r="BA321" i="2262"/>
  <c r="AZ321" i="2262"/>
  <c r="AY321" i="2262"/>
  <c r="AW321" i="2262"/>
  <c r="AX321" i="2262"/>
  <c r="AV321" i="2262"/>
  <c r="AS321" i="2262"/>
  <c r="AR321" i="2262"/>
  <c r="AP321" i="2262"/>
  <c r="AQ321" i="2262"/>
  <c r="AU112" i="2262"/>
  <c r="AU110" i="2262"/>
  <c r="AU108" i="2262"/>
  <c r="AU116" i="2262"/>
  <c r="AU104" i="2262"/>
  <c r="AU114" i="2262"/>
  <c r="AU115" i="2262"/>
  <c r="AU111" i="2262"/>
  <c r="AU103" i="2262"/>
  <c r="AU117" i="2262"/>
  <c r="AU105" i="2262"/>
  <c r="AU161" i="2262"/>
  <c r="AU109" i="2262"/>
  <c r="AU113" i="2262"/>
  <c r="AU107" i="2262"/>
  <c r="AU106" i="2262"/>
  <c r="AT111" i="2262"/>
  <c r="AT112" i="2262"/>
  <c r="AT116" i="2262"/>
  <c r="AT107" i="2262"/>
  <c r="AT104" i="2262"/>
  <c r="AT114" i="2262"/>
  <c r="AT113" i="2262"/>
  <c r="AT110" i="2262"/>
  <c r="AT103" i="2262"/>
  <c r="AT105" i="2262"/>
  <c r="AT161" i="2262"/>
  <c r="AT109" i="2262"/>
  <c r="AT115" i="2262"/>
  <c r="AT108" i="2262"/>
  <c r="AT106" i="2262"/>
  <c r="AT117" i="2262"/>
  <c r="T198" i="2262"/>
  <c r="T202" i="2262"/>
  <c r="T206" i="2262"/>
  <c r="T211" i="2262"/>
  <c r="T212" i="2262"/>
  <c r="T213" i="2262"/>
  <c r="T218" i="2262"/>
  <c r="T231" i="2262"/>
  <c r="T232" i="2262"/>
  <c r="T233" i="2262"/>
  <c r="T234" i="2262"/>
  <c r="T235" i="2262"/>
  <c r="T243" i="2262"/>
  <c r="T244" i="2262"/>
  <c r="T248" i="2262"/>
  <c r="T249" i="2262"/>
  <c r="T250" i="2262"/>
  <c r="T255" i="2262"/>
  <c r="T259" i="2262"/>
  <c r="T260" i="2262"/>
  <c r="T264" i="2262"/>
  <c r="T265" i="2262"/>
  <c r="T266" i="2262"/>
  <c r="T272" i="2262"/>
  <c r="T277" i="2262"/>
  <c r="T278" i="2262"/>
  <c r="T279" i="2262"/>
  <c r="T280" i="2262"/>
  <c r="T281" i="2262"/>
  <c r="T282" i="2262"/>
  <c r="T286" i="2262"/>
  <c r="T290" i="2262"/>
  <c r="T299" i="2262"/>
  <c r="T300" i="2262"/>
  <c r="T194" i="2262"/>
  <c r="T195" i="2262"/>
  <c r="T196" i="2262"/>
  <c r="T197" i="2262"/>
  <c r="T201" i="2262"/>
  <c r="T205" i="2262"/>
  <c r="T216" i="2262"/>
  <c r="T217" i="2262"/>
  <c r="T221" i="2262"/>
  <c r="T222" i="2262"/>
  <c r="T223" i="2262"/>
  <c r="T224" i="2262"/>
  <c r="T225" i="2262"/>
  <c r="T226" i="2262"/>
  <c r="T227" i="2262"/>
  <c r="T228" i="2262"/>
  <c r="T229" i="2262"/>
  <c r="T240" i="2262"/>
  <c r="T241" i="2262"/>
  <c r="T242" i="2262"/>
  <c r="T247" i="2262"/>
  <c r="T254" i="2262"/>
  <c r="T258" i="2262"/>
  <c r="T263" i="2262"/>
  <c r="T271" i="2262"/>
  <c r="T276" i="2262"/>
  <c r="T285" i="2262"/>
  <c r="T289" i="2262"/>
  <c r="T293" i="2262"/>
  <c r="T294" i="2262"/>
  <c r="T296" i="2262"/>
  <c r="T298" i="2262"/>
  <c r="T193" i="2262"/>
  <c r="T210" i="2262"/>
  <c r="T215" i="2262"/>
  <c r="T253" i="2262"/>
  <c r="T257" i="2262"/>
  <c r="T268" i="2262"/>
  <c r="T273" i="2262"/>
  <c r="T284" i="2262"/>
  <c r="T291" i="2262"/>
  <c r="T209" i="2262"/>
  <c r="T256" i="2262"/>
  <c r="T283" i="2262"/>
  <c r="T287" i="2262"/>
  <c r="T295" i="2262"/>
  <c r="T200" i="2262"/>
  <c r="T204" i="2262"/>
  <c r="T230" i="2262"/>
  <c r="T251" i="2262"/>
  <c r="T262" i="2262"/>
  <c r="T269" i="2262"/>
  <c r="T292" i="2262"/>
  <c r="T199" i="2262"/>
  <c r="T203" i="2262"/>
  <c r="T207" i="2262"/>
  <c r="T219" i="2262"/>
  <c r="T236" i="2262"/>
  <c r="T239" i="2262"/>
  <c r="N239" i="2262" s="1"/>
  <c r="T246" i="2262"/>
  <c r="T261" i="2262"/>
  <c r="T275" i="2262"/>
  <c r="T288" i="2262"/>
  <c r="T297" i="2262"/>
  <c r="T301" i="2262"/>
  <c r="T214" i="2262"/>
  <c r="T238" i="2262"/>
  <c r="T252" i="2262"/>
  <c r="T267" i="2262"/>
  <c r="T270" i="2262"/>
  <c r="T208" i="2262"/>
  <c r="T220" i="2262"/>
  <c r="T237" i="2262"/>
  <c r="T245" i="2262"/>
  <c r="T274" i="2262"/>
  <c r="U252" i="2262" l="1"/>
  <c r="N252" i="2262"/>
  <c r="U207" i="2262"/>
  <c r="N207" i="2262"/>
  <c r="U253" i="2262"/>
  <c r="N253" i="2262"/>
  <c r="U263" i="2262"/>
  <c r="N263" i="2262"/>
  <c r="U224" i="2262"/>
  <c r="N224" i="2262"/>
  <c r="U300" i="2262"/>
  <c r="N300" i="2262"/>
  <c r="U265" i="2262"/>
  <c r="N265" i="2262"/>
  <c r="U244" i="2262"/>
  <c r="N244" i="2262"/>
  <c r="U233" i="2262"/>
  <c r="N233" i="2262"/>
  <c r="U274" i="2262"/>
  <c r="N274" i="2262"/>
  <c r="U238" i="2262"/>
  <c r="N238" i="2262"/>
  <c r="U245" i="2262"/>
  <c r="N245" i="2262"/>
  <c r="U214" i="2262"/>
  <c r="N214" i="2262"/>
  <c r="U237" i="2262"/>
  <c r="N237" i="2262"/>
  <c r="U267" i="2262"/>
  <c r="N267" i="2262"/>
  <c r="U301" i="2262"/>
  <c r="N301" i="2262"/>
  <c r="U261" i="2262"/>
  <c r="N261" i="2262"/>
  <c r="U219" i="2262"/>
  <c r="N219" i="2262"/>
  <c r="U292" i="2262"/>
  <c r="N292" i="2262"/>
  <c r="U230" i="2262"/>
  <c r="N230" i="2262"/>
  <c r="U287" i="2262"/>
  <c r="N287" i="2262"/>
  <c r="U291" i="2262"/>
  <c r="N291" i="2262"/>
  <c r="U257" i="2262"/>
  <c r="N257" i="2262"/>
  <c r="U193" i="2262"/>
  <c r="N193" i="2262"/>
  <c r="U293" i="2262"/>
  <c r="N293" i="2262"/>
  <c r="U271" i="2262"/>
  <c r="N271" i="2262"/>
  <c r="U247" i="2262"/>
  <c r="N247" i="2262"/>
  <c r="U229" i="2262"/>
  <c r="N229" i="2262"/>
  <c r="U225" i="2262"/>
  <c r="N225" i="2262"/>
  <c r="U221" i="2262"/>
  <c r="N221" i="2262"/>
  <c r="U201" i="2262"/>
  <c r="N201" i="2262"/>
  <c r="U194" i="2262"/>
  <c r="N194" i="2262"/>
  <c r="U286" i="2262"/>
  <c r="N286" i="2262"/>
  <c r="U279" i="2262"/>
  <c r="N279" i="2262"/>
  <c r="U266" i="2262"/>
  <c r="N266" i="2262"/>
  <c r="U259" i="2262"/>
  <c r="N259" i="2262"/>
  <c r="U248" i="2262"/>
  <c r="N248" i="2262"/>
  <c r="U234" i="2262"/>
  <c r="N234" i="2262"/>
  <c r="U218" i="2262"/>
  <c r="N218" i="2262"/>
  <c r="U206" i="2262"/>
  <c r="N206" i="2262"/>
  <c r="U297" i="2262"/>
  <c r="N297" i="2262"/>
  <c r="U269" i="2262"/>
  <c r="N269" i="2262"/>
  <c r="U283" i="2262"/>
  <c r="N283" i="2262"/>
  <c r="U289" i="2262"/>
  <c r="N289" i="2262"/>
  <c r="U228" i="2262"/>
  <c r="N228" i="2262"/>
  <c r="U197" i="2262"/>
  <c r="N197" i="2262"/>
  <c r="U282" i="2262"/>
  <c r="N282" i="2262"/>
  <c r="U255" i="2262"/>
  <c r="N255" i="2262"/>
  <c r="U202" i="2262"/>
  <c r="N202" i="2262"/>
  <c r="U208" i="2262"/>
  <c r="N208" i="2262"/>
  <c r="U203" i="2262"/>
  <c r="N203" i="2262"/>
  <c r="U262" i="2262"/>
  <c r="N262" i="2262"/>
  <c r="U200" i="2262"/>
  <c r="N200" i="2262"/>
  <c r="U256" i="2262"/>
  <c r="N256" i="2262"/>
  <c r="U273" i="2262"/>
  <c r="N273" i="2262"/>
  <c r="U215" i="2262"/>
  <c r="N215" i="2262"/>
  <c r="U296" i="2262"/>
  <c r="N296" i="2262"/>
  <c r="U285" i="2262"/>
  <c r="N285" i="2262"/>
  <c r="U258" i="2262"/>
  <c r="N258" i="2262"/>
  <c r="U241" i="2262"/>
  <c r="N241" i="2262"/>
  <c r="U227" i="2262"/>
  <c r="N227" i="2262"/>
  <c r="U223" i="2262"/>
  <c r="N223" i="2262"/>
  <c r="U216" i="2262"/>
  <c r="N216" i="2262"/>
  <c r="U196" i="2262"/>
  <c r="N196" i="2262"/>
  <c r="U299" i="2262"/>
  <c r="N299" i="2262"/>
  <c r="U281" i="2262"/>
  <c r="N281" i="2262"/>
  <c r="U277" i="2262"/>
  <c r="N277" i="2262"/>
  <c r="U264" i="2262"/>
  <c r="N264" i="2262"/>
  <c r="U250" i="2262"/>
  <c r="N250" i="2262"/>
  <c r="U243" i="2262"/>
  <c r="N243" i="2262"/>
  <c r="U232" i="2262"/>
  <c r="N232" i="2262"/>
  <c r="U212" i="2262"/>
  <c r="N212" i="2262"/>
  <c r="U198" i="2262"/>
  <c r="N198" i="2262"/>
  <c r="U220" i="2262"/>
  <c r="N220" i="2262"/>
  <c r="U246" i="2262"/>
  <c r="N246" i="2262"/>
  <c r="U204" i="2262"/>
  <c r="N204" i="2262"/>
  <c r="U284" i="2262"/>
  <c r="N284" i="2262"/>
  <c r="U298" i="2262"/>
  <c r="N298" i="2262"/>
  <c r="U242" i="2262"/>
  <c r="N242" i="2262"/>
  <c r="U217" i="2262"/>
  <c r="N217" i="2262"/>
  <c r="U278" i="2262"/>
  <c r="N278" i="2262"/>
  <c r="U213" i="2262"/>
  <c r="N213" i="2262"/>
  <c r="U288" i="2262"/>
  <c r="N288" i="2262"/>
  <c r="U270" i="2262"/>
  <c r="N270" i="2262"/>
  <c r="U275" i="2262"/>
  <c r="N275" i="2262"/>
  <c r="U236" i="2262"/>
  <c r="N236" i="2262"/>
  <c r="U199" i="2262"/>
  <c r="N199" i="2262"/>
  <c r="U251" i="2262"/>
  <c r="N251" i="2262"/>
  <c r="U295" i="2262"/>
  <c r="N295" i="2262"/>
  <c r="U209" i="2262"/>
  <c r="N209" i="2262"/>
  <c r="U268" i="2262"/>
  <c r="N268" i="2262"/>
  <c r="U210" i="2262"/>
  <c r="N210" i="2262"/>
  <c r="U294" i="2262"/>
  <c r="N294" i="2262"/>
  <c r="U276" i="2262"/>
  <c r="N276" i="2262"/>
  <c r="U254" i="2262"/>
  <c r="N254" i="2262"/>
  <c r="U240" i="2262"/>
  <c r="N240" i="2262"/>
  <c r="U226" i="2262"/>
  <c r="N226" i="2262"/>
  <c r="U222" i="2262"/>
  <c r="N222" i="2262"/>
  <c r="U205" i="2262"/>
  <c r="N205" i="2262"/>
  <c r="U195" i="2262"/>
  <c r="N195" i="2262"/>
  <c r="U290" i="2262"/>
  <c r="N290" i="2262"/>
  <c r="U280" i="2262"/>
  <c r="N280" i="2262"/>
  <c r="U272" i="2262"/>
  <c r="N272" i="2262"/>
  <c r="U260" i="2262"/>
  <c r="N260" i="2262"/>
  <c r="U249" i="2262"/>
  <c r="N249" i="2262"/>
  <c r="U235" i="2262"/>
  <c r="N235" i="2262"/>
  <c r="U231" i="2262"/>
  <c r="N231" i="2262"/>
  <c r="U211" i="2262"/>
  <c r="N211" i="2262"/>
  <c r="U239" i="2262"/>
  <c r="T46" i="2262"/>
  <c r="AH211" i="2262" l="1"/>
  <c r="AI211" i="2262" s="1"/>
  <c r="AH231" i="2262"/>
  <c r="AI231" i="2262" s="1"/>
  <c r="AH235" i="2262"/>
  <c r="AI235" i="2262" s="1"/>
  <c r="AH249" i="2262"/>
  <c r="AI249" i="2262" s="1"/>
  <c r="AH260" i="2262"/>
  <c r="AI260" i="2262" s="1"/>
  <c r="AH272" i="2262"/>
  <c r="AI272" i="2262" s="1"/>
  <c r="AH280" i="2262"/>
  <c r="AI280" i="2262" s="1"/>
  <c r="AH290" i="2262"/>
  <c r="AI290" i="2262" s="1"/>
  <c r="AH195" i="2262"/>
  <c r="AI195" i="2262" s="1"/>
  <c r="AH205" i="2262"/>
  <c r="AI205" i="2262" s="1"/>
  <c r="AH222" i="2262"/>
  <c r="AI222" i="2262" s="1"/>
  <c r="AH226" i="2262"/>
  <c r="AI226" i="2262" s="1"/>
  <c r="AH240" i="2262"/>
  <c r="AI240" i="2262" s="1"/>
  <c r="AH254" i="2262"/>
  <c r="AI254" i="2262" s="1"/>
  <c r="AH276" i="2262"/>
  <c r="AI276" i="2262" s="1"/>
  <c r="AH294" i="2262"/>
  <c r="AI294" i="2262" s="1"/>
  <c r="AH210" i="2262"/>
  <c r="AI210" i="2262" s="1"/>
  <c r="AH268" i="2262"/>
  <c r="AI268" i="2262" s="1"/>
  <c r="AH209" i="2262"/>
  <c r="AI209" i="2262" s="1"/>
  <c r="AH295" i="2262"/>
  <c r="AI295" i="2262" s="1"/>
  <c r="AH251" i="2262"/>
  <c r="AI251" i="2262" s="1"/>
  <c r="AH199" i="2262"/>
  <c r="AI199" i="2262" s="1"/>
  <c r="AH236" i="2262"/>
  <c r="AI236" i="2262" s="1"/>
  <c r="AH275" i="2262"/>
  <c r="AI275" i="2262" s="1"/>
  <c r="AH270" i="2262"/>
  <c r="AI270" i="2262" s="1"/>
  <c r="AH288" i="2262"/>
  <c r="AI288" i="2262" s="1"/>
  <c r="AH213" i="2262"/>
  <c r="AI213" i="2262" s="1"/>
  <c r="AH278" i="2262"/>
  <c r="AI278" i="2262" s="1"/>
  <c r="AH217" i="2262"/>
  <c r="AI217" i="2262" s="1"/>
  <c r="AH242" i="2262"/>
  <c r="AI242" i="2262" s="1"/>
  <c r="AH298" i="2262"/>
  <c r="AI298" i="2262" s="1"/>
  <c r="AH284" i="2262"/>
  <c r="AI284" i="2262" s="1"/>
  <c r="AH204" i="2262"/>
  <c r="AI204" i="2262" s="1"/>
  <c r="AH246" i="2262"/>
  <c r="AI246" i="2262" s="1"/>
  <c r="AH220" i="2262"/>
  <c r="AI220" i="2262" s="1"/>
  <c r="AH198" i="2262"/>
  <c r="AI198" i="2262" s="1"/>
  <c r="AH212" i="2262"/>
  <c r="AI212" i="2262" s="1"/>
  <c r="AH232" i="2262"/>
  <c r="AI232" i="2262" s="1"/>
  <c r="AH243" i="2262"/>
  <c r="AI243" i="2262" s="1"/>
  <c r="AH250" i="2262"/>
  <c r="AI250" i="2262" s="1"/>
  <c r="AH264" i="2262"/>
  <c r="AI264" i="2262" s="1"/>
  <c r="AH277" i="2262"/>
  <c r="AI277" i="2262" s="1"/>
  <c r="AH281" i="2262"/>
  <c r="AI281" i="2262" s="1"/>
  <c r="AH299" i="2262"/>
  <c r="AI299" i="2262" s="1"/>
  <c r="AH196" i="2262"/>
  <c r="AI196" i="2262" s="1"/>
  <c r="AH216" i="2262"/>
  <c r="AI216" i="2262" s="1"/>
  <c r="AH223" i="2262"/>
  <c r="AI223" i="2262" s="1"/>
  <c r="AH227" i="2262"/>
  <c r="AI227" i="2262" s="1"/>
  <c r="AH241" i="2262"/>
  <c r="AI241" i="2262" s="1"/>
  <c r="AH258" i="2262"/>
  <c r="AI258" i="2262" s="1"/>
  <c r="AH285" i="2262"/>
  <c r="AI285" i="2262" s="1"/>
  <c r="AH296" i="2262"/>
  <c r="AI296" i="2262" s="1"/>
  <c r="AH215" i="2262"/>
  <c r="AI215" i="2262" s="1"/>
  <c r="AH273" i="2262"/>
  <c r="AI273" i="2262" s="1"/>
  <c r="AH256" i="2262"/>
  <c r="AI256" i="2262" s="1"/>
  <c r="AH200" i="2262"/>
  <c r="AI200" i="2262" s="1"/>
  <c r="AH262" i="2262"/>
  <c r="AI262" i="2262" s="1"/>
  <c r="AH203" i="2262"/>
  <c r="AI203" i="2262" s="1"/>
  <c r="AH208" i="2262"/>
  <c r="AI208" i="2262" s="1"/>
  <c r="AH202" i="2262"/>
  <c r="AI202" i="2262" s="1"/>
  <c r="AH255" i="2262"/>
  <c r="AI255" i="2262" s="1"/>
  <c r="AH282" i="2262"/>
  <c r="AI282" i="2262" s="1"/>
  <c r="AH197" i="2262"/>
  <c r="AI197" i="2262" s="1"/>
  <c r="AH228" i="2262"/>
  <c r="AI228" i="2262" s="1"/>
  <c r="AH289" i="2262"/>
  <c r="AI289" i="2262" s="1"/>
  <c r="AH283" i="2262"/>
  <c r="AI283" i="2262" s="1"/>
  <c r="AH269" i="2262"/>
  <c r="AI269" i="2262" s="1"/>
  <c r="AH297" i="2262"/>
  <c r="AI297" i="2262" s="1"/>
  <c r="AH206" i="2262"/>
  <c r="AI206" i="2262" s="1"/>
  <c r="AH218" i="2262"/>
  <c r="AI218" i="2262" s="1"/>
  <c r="AH234" i="2262"/>
  <c r="AI234" i="2262" s="1"/>
  <c r="AH248" i="2262"/>
  <c r="AI248" i="2262" s="1"/>
  <c r="AH259" i="2262"/>
  <c r="AI259" i="2262" s="1"/>
  <c r="AH266" i="2262"/>
  <c r="AI266" i="2262" s="1"/>
  <c r="AH279" i="2262"/>
  <c r="AI279" i="2262" s="1"/>
  <c r="AH286" i="2262"/>
  <c r="AI286" i="2262" s="1"/>
  <c r="AH194" i="2262"/>
  <c r="AI194" i="2262" s="1"/>
  <c r="AH201" i="2262"/>
  <c r="AI201" i="2262" s="1"/>
  <c r="AH221" i="2262"/>
  <c r="AI221" i="2262" s="1"/>
  <c r="AH225" i="2262"/>
  <c r="AI225" i="2262" s="1"/>
  <c r="AH229" i="2262"/>
  <c r="AI229" i="2262" s="1"/>
  <c r="AH247" i="2262"/>
  <c r="AI247" i="2262" s="1"/>
  <c r="AH271" i="2262"/>
  <c r="AI271" i="2262" s="1"/>
  <c r="AH293" i="2262"/>
  <c r="AI293" i="2262" s="1"/>
  <c r="AH193" i="2262"/>
  <c r="AI193" i="2262" s="1"/>
  <c r="AH257" i="2262"/>
  <c r="AI257" i="2262" s="1"/>
  <c r="AH291" i="2262"/>
  <c r="AI291" i="2262" s="1"/>
  <c r="AH287" i="2262"/>
  <c r="AI287" i="2262" s="1"/>
  <c r="AH230" i="2262"/>
  <c r="AI230" i="2262" s="1"/>
  <c r="AH292" i="2262"/>
  <c r="AI292" i="2262" s="1"/>
  <c r="AH219" i="2262"/>
  <c r="AI219" i="2262" s="1"/>
  <c r="AH261" i="2262"/>
  <c r="AI261" i="2262" s="1"/>
  <c r="AH301" i="2262"/>
  <c r="AI301" i="2262" s="1"/>
  <c r="AH267" i="2262"/>
  <c r="AI267" i="2262" s="1"/>
  <c r="AH237" i="2262"/>
  <c r="AI237" i="2262" s="1"/>
  <c r="AH214" i="2262"/>
  <c r="AI214" i="2262" s="1"/>
  <c r="AH245" i="2262"/>
  <c r="AI245" i="2262" s="1"/>
  <c r="AH238" i="2262"/>
  <c r="AI238" i="2262" s="1"/>
  <c r="AH274" i="2262"/>
  <c r="AI274" i="2262" s="1"/>
  <c r="AH233" i="2262"/>
  <c r="AI233" i="2262" s="1"/>
  <c r="AH244" i="2262"/>
  <c r="AI244" i="2262" s="1"/>
  <c r="AH265" i="2262"/>
  <c r="AI265" i="2262" s="1"/>
  <c r="AH300" i="2262"/>
  <c r="AI300" i="2262" s="1"/>
  <c r="AH224" i="2262"/>
  <c r="AI224" i="2262" s="1"/>
  <c r="AH263" i="2262"/>
  <c r="AI263" i="2262" s="1"/>
  <c r="AH253" i="2262"/>
  <c r="AI253" i="2262" s="1"/>
  <c r="AH207" i="2262"/>
  <c r="AI207" i="2262" s="1"/>
  <c r="AH252" i="2262"/>
  <c r="AI252" i="2262" s="1"/>
  <c r="AH239" i="2262"/>
  <c r="AI239" i="2262" s="1"/>
  <c r="U46" i="2262"/>
  <c r="AO239" i="2262" l="1"/>
  <c r="AZ239" i="2262"/>
  <c r="AW239" i="2262"/>
  <c r="AV239" i="2262"/>
  <c r="AR239" i="2262"/>
  <c r="AQ239" i="2262"/>
  <c r="BA239" i="2262"/>
  <c r="AY239" i="2262"/>
  <c r="AX239" i="2262"/>
  <c r="AS239" i="2262"/>
  <c r="AP239" i="2262"/>
  <c r="AO252" i="2262"/>
  <c r="BA252" i="2262"/>
  <c r="AZ252" i="2262"/>
  <c r="AY252" i="2262"/>
  <c r="AX252" i="2262"/>
  <c r="AW252" i="2262"/>
  <c r="AS252" i="2262"/>
  <c r="AV252" i="2262"/>
  <c r="AQ252" i="2262"/>
  <c r="AR252" i="2262"/>
  <c r="AP252" i="2262"/>
  <c r="AO224" i="2262"/>
  <c r="BA224" i="2262"/>
  <c r="AZ224" i="2262"/>
  <c r="AY224" i="2262"/>
  <c r="AX224" i="2262"/>
  <c r="AW224" i="2262"/>
  <c r="AS224" i="2262"/>
  <c r="AV224" i="2262"/>
  <c r="AQ224" i="2262"/>
  <c r="AR224" i="2262"/>
  <c r="AP224" i="2262"/>
  <c r="AO233" i="2262"/>
  <c r="BA233" i="2262"/>
  <c r="AZ233" i="2262"/>
  <c r="AY233" i="2262"/>
  <c r="AW233" i="2262"/>
  <c r="AX233" i="2262"/>
  <c r="AV233" i="2262"/>
  <c r="AS233" i="2262"/>
  <c r="AR233" i="2262"/>
  <c r="AP233" i="2262"/>
  <c r="AQ233" i="2262"/>
  <c r="AO214" i="2262"/>
  <c r="BA214" i="2262"/>
  <c r="AZ214" i="2262"/>
  <c r="AY214" i="2262"/>
  <c r="AX214" i="2262"/>
  <c r="AW214" i="2262"/>
  <c r="AS214" i="2262"/>
  <c r="AV214" i="2262"/>
  <c r="AQ214" i="2262"/>
  <c r="AR214" i="2262"/>
  <c r="AP214" i="2262"/>
  <c r="AO261" i="2262"/>
  <c r="BA261" i="2262"/>
  <c r="AZ261" i="2262"/>
  <c r="AY261" i="2262"/>
  <c r="AW261" i="2262"/>
  <c r="AX261" i="2262"/>
  <c r="AV261" i="2262"/>
  <c r="AS261" i="2262"/>
  <c r="AR261" i="2262"/>
  <c r="AP261" i="2262"/>
  <c r="AQ261" i="2262"/>
  <c r="AO287" i="2262"/>
  <c r="BA287" i="2262"/>
  <c r="AZ287" i="2262"/>
  <c r="AY287" i="2262"/>
  <c r="AW287" i="2262"/>
  <c r="AX287" i="2262"/>
  <c r="AV287" i="2262"/>
  <c r="AS287" i="2262"/>
  <c r="AR287" i="2262"/>
  <c r="AP287" i="2262"/>
  <c r="AQ287" i="2262"/>
  <c r="AO293" i="2262"/>
  <c r="BA293" i="2262"/>
  <c r="AZ293" i="2262"/>
  <c r="AY293" i="2262"/>
  <c r="AW293" i="2262"/>
  <c r="AX293" i="2262"/>
  <c r="AV293" i="2262"/>
  <c r="AS293" i="2262"/>
  <c r="AR293" i="2262"/>
  <c r="AP293" i="2262"/>
  <c r="AQ293" i="2262"/>
  <c r="AO225" i="2262"/>
  <c r="BA225" i="2262"/>
  <c r="AZ225" i="2262"/>
  <c r="AY225" i="2262"/>
  <c r="AW225" i="2262"/>
  <c r="AX225" i="2262"/>
  <c r="AV225" i="2262"/>
  <c r="AS225" i="2262"/>
  <c r="AR225" i="2262"/>
  <c r="AP225" i="2262"/>
  <c r="AQ225" i="2262"/>
  <c r="AO286" i="2262"/>
  <c r="BA286" i="2262"/>
  <c r="AZ286" i="2262"/>
  <c r="AY286" i="2262"/>
  <c r="AX286" i="2262"/>
  <c r="AW286" i="2262"/>
  <c r="AS286" i="2262"/>
  <c r="AV286" i="2262"/>
  <c r="AQ286" i="2262"/>
  <c r="AR286" i="2262"/>
  <c r="AP286" i="2262"/>
  <c r="AO248" i="2262"/>
  <c r="BA248" i="2262"/>
  <c r="AZ248" i="2262"/>
  <c r="AY248" i="2262"/>
  <c r="AX248" i="2262"/>
  <c r="AW248" i="2262"/>
  <c r="AS248" i="2262"/>
  <c r="AV248" i="2262"/>
  <c r="AQ248" i="2262"/>
  <c r="AR248" i="2262"/>
  <c r="AP248" i="2262"/>
  <c r="AO297" i="2262"/>
  <c r="BA297" i="2262"/>
  <c r="AZ297" i="2262"/>
  <c r="AY297" i="2262"/>
  <c r="AW297" i="2262"/>
  <c r="AX297" i="2262"/>
  <c r="AV297" i="2262"/>
  <c r="AS297" i="2262"/>
  <c r="AR297" i="2262"/>
  <c r="AP297" i="2262"/>
  <c r="AQ297" i="2262"/>
  <c r="AO228" i="2262"/>
  <c r="BA228" i="2262"/>
  <c r="AZ228" i="2262"/>
  <c r="AY228" i="2262"/>
  <c r="AX228" i="2262"/>
  <c r="AW228" i="2262"/>
  <c r="AS228" i="2262"/>
  <c r="AV228" i="2262"/>
  <c r="AQ228" i="2262"/>
  <c r="AR228" i="2262"/>
  <c r="AP228" i="2262"/>
  <c r="AO202" i="2262"/>
  <c r="BA202" i="2262"/>
  <c r="AZ202" i="2262"/>
  <c r="AY202" i="2262"/>
  <c r="AX202" i="2262"/>
  <c r="AW202" i="2262"/>
  <c r="AS202" i="2262"/>
  <c r="AV202" i="2262"/>
  <c r="AQ202" i="2262"/>
  <c r="AR202" i="2262"/>
  <c r="AP202" i="2262"/>
  <c r="AO200" i="2262"/>
  <c r="BA200" i="2262"/>
  <c r="AZ200" i="2262"/>
  <c r="AY200" i="2262"/>
  <c r="AX200" i="2262"/>
  <c r="AW200" i="2262"/>
  <c r="AS200" i="2262"/>
  <c r="AV200" i="2262"/>
  <c r="AQ200" i="2262"/>
  <c r="AR200" i="2262"/>
  <c r="AP200" i="2262"/>
  <c r="AO296" i="2262"/>
  <c r="BA296" i="2262"/>
  <c r="AZ296" i="2262"/>
  <c r="AY296" i="2262"/>
  <c r="AX296" i="2262"/>
  <c r="AW296" i="2262"/>
  <c r="AS296" i="2262"/>
  <c r="AV296" i="2262"/>
  <c r="AQ296" i="2262"/>
  <c r="AR296" i="2262"/>
  <c r="AP296" i="2262"/>
  <c r="AO227" i="2262"/>
  <c r="BA227" i="2262"/>
  <c r="AZ227" i="2262"/>
  <c r="AY227" i="2262"/>
  <c r="AW227" i="2262"/>
  <c r="AX227" i="2262"/>
  <c r="AV227" i="2262"/>
  <c r="AS227" i="2262"/>
  <c r="AR227" i="2262"/>
  <c r="AP227" i="2262"/>
  <c r="AQ227" i="2262"/>
  <c r="AO299" i="2262"/>
  <c r="BA299" i="2262"/>
  <c r="AZ299" i="2262"/>
  <c r="AY299" i="2262"/>
  <c r="AW299" i="2262"/>
  <c r="AX299" i="2262"/>
  <c r="AV299" i="2262"/>
  <c r="AS299" i="2262"/>
  <c r="AR299" i="2262"/>
  <c r="AP299" i="2262"/>
  <c r="AQ299" i="2262"/>
  <c r="AO250" i="2262"/>
  <c r="BA250" i="2262"/>
  <c r="AZ250" i="2262"/>
  <c r="AY250" i="2262"/>
  <c r="AX250" i="2262"/>
  <c r="AW250" i="2262"/>
  <c r="AS250" i="2262"/>
  <c r="AV250" i="2262"/>
  <c r="AQ250" i="2262"/>
  <c r="AR250" i="2262"/>
  <c r="AP250" i="2262"/>
  <c r="AO198" i="2262"/>
  <c r="BA198" i="2262"/>
  <c r="AZ198" i="2262"/>
  <c r="AY198" i="2262"/>
  <c r="AX198" i="2262"/>
  <c r="AW198" i="2262"/>
  <c r="AS198" i="2262"/>
  <c r="AV198" i="2262"/>
  <c r="AQ198" i="2262"/>
  <c r="AR198" i="2262"/>
  <c r="AP198" i="2262"/>
  <c r="AO284" i="2262"/>
  <c r="BA284" i="2262"/>
  <c r="AZ284" i="2262"/>
  <c r="AY284" i="2262"/>
  <c r="AX284" i="2262"/>
  <c r="AW284" i="2262"/>
  <c r="AS284" i="2262"/>
  <c r="AV284" i="2262"/>
  <c r="AQ284" i="2262"/>
  <c r="AR284" i="2262"/>
  <c r="AP284" i="2262"/>
  <c r="AO278" i="2262"/>
  <c r="BA278" i="2262"/>
  <c r="AZ278" i="2262"/>
  <c r="AY278" i="2262"/>
  <c r="AX278" i="2262"/>
  <c r="AW278" i="2262"/>
  <c r="AS278" i="2262"/>
  <c r="AV278" i="2262"/>
  <c r="AQ278" i="2262"/>
  <c r="AR278" i="2262"/>
  <c r="AP278" i="2262"/>
  <c r="AO275" i="2262"/>
  <c r="BA275" i="2262"/>
  <c r="AZ275" i="2262"/>
  <c r="AY275" i="2262"/>
  <c r="AW275" i="2262"/>
  <c r="AX275" i="2262"/>
  <c r="AV275" i="2262"/>
  <c r="AS275" i="2262"/>
  <c r="AR275" i="2262"/>
  <c r="AP275" i="2262"/>
  <c r="AQ275" i="2262"/>
  <c r="AO295" i="2262"/>
  <c r="BA295" i="2262"/>
  <c r="AZ295" i="2262"/>
  <c r="AY295" i="2262"/>
  <c r="AW295" i="2262"/>
  <c r="AX295" i="2262"/>
  <c r="AV295" i="2262"/>
  <c r="AS295" i="2262"/>
  <c r="AR295" i="2262"/>
  <c r="AP295" i="2262"/>
  <c r="AQ295" i="2262"/>
  <c r="AO294" i="2262"/>
  <c r="BA294" i="2262"/>
  <c r="AZ294" i="2262"/>
  <c r="AY294" i="2262"/>
  <c r="AX294" i="2262"/>
  <c r="AW294" i="2262"/>
  <c r="AS294" i="2262"/>
  <c r="AV294" i="2262"/>
  <c r="AQ294" i="2262"/>
  <c r="AR294" i="2262"/>
  <c r="AP294" i="2262"/>
  <c r="AO226" i="2262"/>
  <c r="BA226" i="2262"/>
  <c r="AZ226" i="2262"/>
  <c r="AY226" i="2262"/>
  <c r="AX226" i="2262"/>
  <c r="AW226" i="2262"/>
  <c r="AS226" i="2262"/>
  <c r="AV226" i="2262"/>
  <c r="AQ226" i="2262"/>
  <c r="AR226" i="2262"/>
  <c r="AP226" i="2262"/>
  <c r="AO290" i="2262"/>
  <c r="BA290" i="2262"/>
  <c r="AZ290" i="2262"/>
  <c r="AY290" i="2262"/>
  <c r="AX290" i="2262"/>
  <c r="AW290" i="2262"/>
  <c r="AS290" i="2262"/>
  <c r="AV290" i="2262"/>
  <c r="AQ290" i="2262"/>
  <c r="AR290" i="2262"/>
  <c r="AP290" i="2262"/>
  <c r="AO249" i="2262"/>
  <c r="BA249" i="2262"/>
  <c r="AZ249" i="2262"/>
  <c r="AY249" i="2262"/>
  <c r="AW249" i="2262"/>
  <c r="AX249" i="2262"/>
  <c r="AV249" i="2262"/>
  <c r="AS249" i="2262"/>
  <c r="AR249" i="2262"/>
  <c r="AP249" i="2262"/>
  <c r="AQ249" i="2262"/>
  <c r="AO263" i="2262"/>
  <c r="BA263" i="2262"/>
  <c r="AZ263" i="2262"/>
  <c r="AY263" i="2262"/>
  <c r="AW263" i="2262"/>
  <c r="AX263" i="2262"/>
  <c r="AV263" i="2262"/>
  <c r="AS263" i="2262"/>
  <c r="AR263" i="2262"/>
  <c r="AP263" i="2262"/>
  <c r="AQ263" i="2262"/>
  <c r="AO244" i="2262"/>
  <c r="BA244" i="2262"/>
  <c r="AZ244" i="2262"/>
  <c r="AY244" i="2262"/>
  <c r="AX244" i="2262"/>
  <c r="AW244" i="2262"/>
  <c r="AS244" i="2262"/>
  <c r="AV244" i="2262"/>
  <c r="AQ244" i="2262"/>
  <c r="AR244" i="2262"/>
  <c r="AP244" i="2262"/>
  <c r="AO245" i="2262"/>
  <c r="BA245" i="2262"/>
  <c r="AZ245" i="2262"/>
  <c r="AY245" i="2262"/>
  <c r="AW245" i="2262"/>
  <c r="AX245" i="2262"/>
  <c r="AV245" i="2262"/>
  <c r="AS245" i="2262"/>
  <c r="AR245" i="2262"/>
  <c r="AP245" i="2262"/>
  <c r="AQ245" i="2262"/>
  <c r="AO301" i="2262"/>
  <c r="BA301" i="2262"/>
  <c r="AZ301" i="2262"/>
  <c r="AY301" i="2262"/>
  <c r="AW301" i="2262"/>
  <c r="AX301" i="2262"/>
  <c r="AV301" i="2262"/>
  <c r="AS301" i="2262"/>
  <c r="AR301" i="2262"/>
  <c r="AP301" i="2262"/>
  <c r="AQ301" i="2262"/>
  <c r="AO230" i="2262"/>
  <c r="BA230" i="2262"/>
  <c r="AZ230" i="2262"/>
  <c r="AY230" i="2262"/>
  <c r="AX230" i="2262"/>
  <c r="AW230" i="2262"/>
  <c r="AS230" i="2262"/>
  <c r="AV230" i="2262"/>
  <c r="AQ230" i="2262"/>
  <c r="AR230" i="2262"/>
  <c r="AP230" i="2262"/>
  <c r="AO193" i="2262"/>
  <c r="BA193" i="2262"/>
  <c r="AZ193" i="2262"/>
  <c r="AY193" i="2262"/>
  <c r="AW193" i="2262"/>
  <c r="AX193" i="2262"/>
  <c r="AV193" i="2262"/>
  <c r="AS193" i="2262"/>
  <c r="AR193" i="2262"/>
  <c r="AP193" i="2262"/>
  <c r="AQ193" i="2262"/>
  <c r="AO229" i="2262"/>
  <c r="BA229" i="2262"/>
  <c r="AZ229" i="2262"/>
  <c r="AY229" i="2262"/>
  <c r="AW229" i="2262"/>
  <c r="AX229" i="2262"/>
  <c r="AV229" i="2262"/>
  <c r="AS229" i="2262"/>
  <c r="AR229" i="2262"/>
  <c r="AP229" i="2262"/>
  <c r="AQ229" i="2262"/>
  <c r="AO194" i="2262"/>
  <c r="BA194" i="2262"/>
  <c r="AZ194" i="2262"/>
  <c r="AY194" i="2262"/>
  <c r="AX194" i="2262"/>
  <c r="AW194" i="2262"/>
  <c r="AS194" i="2262"/>
  <c r="AV194" i="2262"/>
  <c r="AQ194" i="2262"/>
  <c r="AR194" i="2262"/>
  <c r="AP194" i="2262"/>
  <c r="AO259" i="2262"/>
  <c r="BA259" i="2262"/>
  <c r="AZ259" i="2262"/>
  <c r="AY259" i="2262"/>
  <c r="AW259" i="2262"/>
  <c r="AX259" i="2262"/>
  <c r="AV259" i="2262"/>
  <c r="AS259" i="2262"/>
  <c r="AR259" i="2262"/>
  <c r="AP259" i="2262"/>
  <c r="AQ259" i="2262"/>
  <c r="AO206" i="2262"/>
  <c r="BA206" i="2262"/>
  <c r="AZ206" i="2262"/>
  <c r="AY206" i="2262"/>
  <c r="AX206" i="2262"/>
  <c r="AW206" i="2262"/>
  <c r="AS206" i="2262"/>
  <c r="AV206" i="2262"/>
  <c r="AQ206" i="2262"/>
  <c r="AR206" i="2262"/>
  <c r="AP206" i="2262"/>
  <c r="AO289" i="2262"/>
  <c r="BA289" i="2262"/>
  <c r="AZ289" i="2262"/>
  <c r="AY289" i="2262"/>
  <c r="AW289" i="2262"/>
  <c r="AX289" i="2262"/>
  <c r="AV289" i="2262"/>
  <c r="AS289" i="2262"/>
  <c r="AR289" i="2262"/>
  <c r="AP289" i="2262"/>
  <c r="AQ289" i="2262"/>
  <c r="AO255" i="2262"/>
  <c r="BA255" i="2262"/>
  <c r="AZ255" i="2262"/>
  <c r="AY255" i="2262"/>
  <c r="AW255" i="2262"/>
  <c r="AX255" i="2262"/>
  <c r="AV255" i="2262"/>
  <c r="AS255" i="2262"/>
  <c r="AR255" i="2262"/>
  <c r="AP255" i="2262"/>
  <c r="AQ255" i="2262"/>
  <c r="AO262" i="2262"/>
  <c r="BA262" i="2262"/>
  <c r="AZ262" i="2262"/>
  <c r="AY262" i="2262"/>
  <c r="AX262" i="2262"/>
  <c r="AW262" i="2262"/>
  <c r="AS262" i="2262"/>
  <c r="AV262" i="2262"/>
  <c r="AQ262" i="2262"/>
  <c r="AR262" i="2262"/>
  <c r="AP262" i="2262"/>
  <c r="AO215" i="2262"/>
  <c r="BA215" i="2262"/>
  <c r="AZ215" i="2262"/>
  <c r="AY215" i="2262"/>
  <c r="AW215" i="2262"/>
  <c r="AX215" i="2262"/>
  <c r="AV215" i="2262"/>
  <c r="AS215" i="2262"/>
  <c r="AR215" i="2262"/>
  <c r="AP215" i="2262"/>
  <c r="AQ215" i="2262"/>
  <c r="AO241" i="2262"/>
  <c r="BA241" i="2262"/>
  <c r="AZ241" i="2262"/>
  <c r="AY241" i="2262"/>
  <c r="AW241" i="2262"/>
  <c r="AX241" i="2262"/>
  <c r="AV241" i="2262"/>
  <c r="AS241" i="2262"/>
  <c r="AR241" i="2262"/>
  <c r="AP241" i="2262"/>
  <c r="AQ241" i="2262"/>
  <c r="AO196" i="2262"/>
  <c r="BA196" i="2262"/>
  <c r="AZ196" i="2262"/>
  <c r="AY196" i="2262"/>
  <c r="AX196" i="2262"/>
  <c r="AW196" i="2262"/>
  <c r="AS196" i="2262"/>
  <c r="AV196" i="2262"/>
  <c r="AQ196" i="2262"/>
  <c r="AR196" i="2262"/>
  <c r="AP196" i="2262"/>
  <c r="AO264" i="2262"/>
  <c r="BA264" i="2262"/>
  <c r="AZ264" i="2262"/>
  <c r="AY264" i="2262"/>
  <c r="AX264" i="2262"/>
  <c r="AW264" i="2262"/>
  <c r="AS264" i="2262"/>
  <c r="AV264" i="2262"/>
  <c r="AQ264" i="2262"/>
  <c r="AR264" i="2262"/>
  <c r="AP264" i="2262"/>
  <c r="AO212" i="2262"/>
  <c r="BA212" i="2262"/>
  <c r="AZ212" i="2262"/>
  <c r="AY212" i="2262"/>
  <c r="AX212" i="2262"/>
  <c r="AW212" i="2262"/>
  <c r="AS212" i="2262"/>
  <c r="AV212" i="2262"/>
  <c r="AQ212" i="2262"/>
  <c r="AR212" i="2262"/>
  <c r="AP212" i="2262"/>
  <c r="AO204" i="2262"/>
  <c r="BA204" i="2262"/>
  <c r="AZ204" i="2262"/>
  <c r="AY204" i="2262"/>
  <c r="AX204" i="2262"/>
  <c r="AW204" i="2262"/>
  <c r="AS204" i="2262"/>
  <c r="AV204" i="2262"/>
  <c r="AQ204" i="2262"/>
  <c r="AR204" i="2262"/>
  <c r="AP204" i="2262"/>
  <c r="AO217" i="2262"/>
  <c r="BA217" i="2262"/>
  <c r="AZ217" i="2262"/>
  <c r="AY217" i="2262"/>
  <c r="AW217" i="2262"/>
  <c r="AX217" i="2262"/>
  <c r="AV217" i="2262"/>
  <c r="AS217" i="2262"/>
  <c r="AR217" i="2262"/>
  <c r="AP217" i="2262"/>
  <c r="AQ217" i="2262"/>
  <c r="AO270" i="2262"/>
  <c r="BA270" i="2262"/>
  <c r="AZ270" i="2262"/>
  <c r="AY270" i="2262"/>
  <c r="AX270" i="2262"/>
  <c r="AW270" i="2262"/>
  <c r="AS270" i="2262"/>
  <c r="AV270" i="2262"/>
  <c r="AQ270" i="2262"/>
  <c r="AR270" i="2262"/>
  <c r="AP270" i="2262"/>
  <c r="AO251" i="2262"/>
  <c r="BA251" i="2262"/>
  <c r="AZ251" i="2262"/>
  <c r="AY251" i="2262"/>
  <c r="AW251" i="2262"/>
  <c r="AX251" i="2262"/>
  <c r="AV251" i="2262"/>
  <c r="AS251" i="2262"/>
  <c r="AR251" i="2262"/>
  <c r="AP251" i="2262"/>
  <c r="AQ251" i="2262"/>
  <c r="AO210" i="2262"/>
  <c r="BA210" i="2262"/>
  <c r="AZ210" i="2262"/>
  <c r="AY210" i="2262"/>
  <c r="AX210" i="2262"/>
  <c r="AW210" i="2262"/>
  <c r="AS210" i="2262"/>
  <c r="AV210" i="2262"/>
  <c r="AQ210" i="2262"/>
  <c r="AR210" i="2262"/>
  <c r="AP210" i="2262"/>
  <c r="AO240" i="2262"/>
  <c r="BA240" i="2262"/>
  <c r="AZ240" i="2262"/>
  <c r="AY240" i="2262"/>
  <c r="AX240" i="2262"/>
  <c r="AW240" i="2262"/>
  <c r="AS240" i="2262"/>
  <c r="AV240" i="2262"/>
  <c r="AQ240" i="2262"/>
  <c r="AR240" i="2262"/>
  <c r="AP240" i="2262"/>
  <c r="AO195" i="2262"/>
  <c r="BA195" i="2262"/>
  <c r="AZ195" i="2262"/>
  <c r="AY195" i="2262"/>
  <c r="AW195" i="2262"/>
  <c r="AX195" i="2262"/>
  <c r="AV195" i="2262"/>
  <c r="AS195" i="2262"/>
  <c r="AR195" i="2262"/>
  <c r="AP195" i="2262"/>
  <c r="AQ195" i="2262"/>
  <c r="AO260" i="2262"/>
  <c r="BA260" i="2262"/>
  <c r="AZ260" i="2262"/>
  <c r="AY260" i="2262"/>
  <c r="AX260" i="2262"/>
  <c r="AW260" i="2262"/>
  <c r="AS260" i="2262"/>
  <c r="AV260" i="2262"/>
  <c r="AQ260" i="2262"/>
  <c r="AR260" i="2262"/>
  <c r="AP260" i="2262"/>
  <c r="AO211" i="2262"/>
  <c r="BA211" i="2262"/>
  <c r="AZ211" i="2262"/>
  <c r="AY211" i="2262"/>
  <c r="AW211" i="2262"/>
  <c r="AX211" i="2262"/>
  <c r="AV211" i="2262"/>
  <c r="AS211" i="2262"/>
  <c r="AR211" i="2262"/>
  <c r="AP211" i="2262"/>
  <c r="AQ211" i="2262"/>
  <c r="AO253" i="2262"/>
  <c r="BA253" i="2262"/>
  <c r="AZ253" i="2262"/>
  <c r="AY253" i="2262"/>
  <c r="AW253" i="2262"/>
  <c r="AX253" i="2262"/>
  <c r="AV253" i="2262"/>
  <c r="AS253" i="2262"/>
  <c r="AR253" i="2262"/>
  <c r="AP253" i="2262"/>
  <c r="AQ253" i="2262"/>
  <c r="AO265" i="2262"/>
  <c r="BA265" i="2262"/>
  <c r="AZ265" i="2262"/>
  <c r="AY265" i="2262"/>
  <c r="AW265" i="2262"/>
  <c r="AX265" i="2262"/>
  <c r="AV265" i="2262"/>
  <c r="AS265" i="2262"/>
  <c r="AR265" i="2262"/>
  <c r="AP265" i="2262"/>
  <c r="AQ265" i="2262"/>
  <c r="AO238" i="2262"/>
  <c r="BA238" i="2262"/>
  <c r="AZ238" i="2262"/>
  <c r="AY238" i="2262"/>
  <c r="AX238" i="2262"/>
  <c r="AW238" i="2262"/>
  <c r="AS238" i="2262"/>
  <c r="AV238" i="2262"/>
  <c r="AQ238" i="2262"/>
  <c r="AR238" i="2262"/>
  <c r="AP238" i="2262"/>
  <c r="AO267" i="2262"/>
  <c r="BA267" i="2262"/>
  <c r="AZ267" i="2262"/>
  <c r="AY267" i="2262"/>
  <c r="AW267" i="2262"/>
  <c r="AX267" i="2262"/>
  <c r="AV267" i="2262"/>
  <c r="AS267" i="2262"/>
  <c r="AR267" i="2262"/>
  <c r="AP267" i="2262"/>
  <c r="AQ267" i="2262"/>
  <c r="AO292" i="2262"/>
  <c r="BA292" i="2262"/>
  <c r="AZ292" i="2262"/>
  <c r="AY292" i="2262"/>
  <c r="AX292" i="2262"/>
  <c r="AW292" i="2262"/>
  <c r="AS292" i="2262"/>
  <c r="AV292" i="2262"/>
  <c r="AQ292" i="2262"/>
  <c r="AR292" i="2262"/>
  <c r="AP292" i="2262"/>
  <c r="AO257" i="2262"/>
  <c r="BA257" i="2262"/>
  <c r="AZ257" i="2262"/>
  <c r="AY257" i="2262"/>
  <c r="AW257" i="2262"/>
  <c r="AX257" i="2262"/>
  <c r="AV257" i="2262"/>
  <c r="AS257" i="2262"/>
  <c r="AR257" i="2262"/>
  <c r="AP257" i="2262"/>
  <c r="AQ257" i="2262"/>
  <c r="AO247" i="2262"/>
  <c r="BA247" i="2262"/>
  <c r="AZ247" i="2262"/>
  <c r="AY247" i="2262"/>
  <c r="AW247" i="2262"/>
  <c r="AX247" i="2262"/>
  <c r="AV247" i="2262"/>
  <c r="AS247" i="2262"/>
  <c r="AR247" i="2262"/>
  <c r="AP247" i="2262"/>
  <c r="AQ247" i="2262"/>
  <c r="AO201" i="2262"/>
  <c r="BA201" i="2262"/>
  <c r="AZ201" i="2262"/>
  <c r="AY201" i="2262"/>
  <c r="AW201" i="2262"/>
  <c r="AX201" i="2262"/>
  <c r="AV201" i="2262"/>
  <c r="AS201" i="2262"/>
  <c r="AR201" i="2262"/>
  <c r="AP201" i="2262"/>
  <c r="AQ201" i="2262"/>
  <c r="AO266" i="2262"/>
  <c r="BA266" i="2262"/>
  <c r="AZ266" i="2262"/>
  <c r="AY266" i="2262"/>
  <c r="AX266" i="2262"/>
  <c r="AW266" i="2262"/>
  <c r="AS266" i="2262"/>
  <c r="AV266" i="2262"/>
  <c r="AQ266" i="2262"/>
  <c r="AR266" i="2262"/>
  <c r="AP266" i="2262"/>
  <c r="AO218" i="2262"/>
  <c r="BA218" i="2262"/>
  <c r="AZ218" i="2262"/>
  <c r="AY218" i="2262"/>
  <c r="AX218" i="2262"/>
  <c r="AW218" i="2262"/>
  <c r="AS218" i="2262"/>
  <c r="AV218" i="2262"/>
  <c r="AQ218" i="2262"/>
  <c r="AR218" i="2262"/>
  <c r="AP218" i="2262"/>
  <c r="AO283" i="2262"/>
  <c r="BA283" i="2262"/>
  <c r="AZ283" i="2262"/>
  <c r="AY283" i="2262"/>
  <c r="AW283" i="2262"/>
  <c r="AX283" i="2262"/>
  <c r="AV283" i="2262"/>
  <c r="AS283" i="2262"/>
  <c r="AR283" i="2262"/>
  <c r="AP283" i="2262"/>
  <c r="AQ283" i="2262"/>
  <c r="AO282" i="2262"/>
  <c r="BA282" i="2262"/>
  <c r="AZ282" i="2262"/>
  <c r="AY282" i="2262"/>
  <c r="AX282" i="2262"/>
  <c r="AW282" i="2262"/>
  <c r="AS282" i="2262"/>
  <c r="AV282" i="2262"/>
  <c r="AQ282" i="2262"/>
  <c r="AR282" i="2262"/>
  <c r="AP282" i="2262"/>
  <c r="AO203" i="2262"/>
  <c r="BA203" i="2262"/>
  <c r="AZ203" i="2262"/>
  <c r="AY203" i="2262"/>
  <c r="AW203" i="2262"/>
  <c r="AX203" i="2262"/>
  <c r="AV203" i="2262"/>
  <c r="AS203" i="2262"/>
  <c r="AR203" i="2262"/>
  <c r="AP203" i="2262"/>
  <c r="AQ203" i="2262"/>
  <c r="AO273" i="2262"/>
  <c r="BA273" i="2262"/>
  <c r="AZ273" i="2262"/>
  <c r="AY273" i="2262"/>
  <c r="AW273" i="2262"/>
  <c r="AX273" i="2262"/>
  <c r="AV273" i="2262"/>
  <c r="AS273" i="2262"/>
  <c r="AR273" i="2262"/>
  <c r="AP273" i="2262"/>
  <c r="AQ273" i="2262"/>
  <c r="AO258" i="2262"/>
  <c r="BA258" i="2262"/>
  <c r="AZ258" i="2262"/>
  <c r="AY258" i="2262"/>
  <c r="AX258" i="2262"/>
  <c r="AW258" i="2262"/>
  <c r="AS258" i="2262"/>
  <c r="AV258" i="2262"/>
  <c r="AQ258" i="2262"/>
  <c r="AR258" i="2262"/>
  <c r="AP258" i="2262"/>
  <c r="AO216" i="2262"/>
  <c r="BA216" i="2262"/>
  <c r="AZ216" i="2262"/>
  <c r="AY216" i="2262"/>
  <c r="AX216" i="2262"/>
  <c r="AW216" i="2262"/>
  <c r="AS216" i="2262"/>
  <c r="AV216" i="2262"/>
  <c r="AQ216" i="2262"/>
  <c r="AR216" i="2262"/>
  <c r="AP216" i="2262"/>
  <c r="AO277" i="2262"/>
  <c r="BA277" i="2262"/>
  <c r="AZ277" i="2262"/>
  <c r="AY277" i="2262"/>
  <c r="AW277" i="2262"/>
  <c r="AX277" i="2262"/>
  <c r="AV277" i="2262"/>
  <c r="AS277" i="2262"/>
  <c r="AR277" i="2262"/>
  <c r="AP277" i="2262"/>
  <c r="AQ277" i="2262"/>
  <c r="AO232" i="2262"/>
  <c r="BA232" i="2262"/>
  <c r="AZ232" i="2262"/>
  <c r="AY232" i="2262"/>
  <c r="AX232" i="2262"/>
  <c r="AW232" i="2262"/>
  <c r="AS232" i="2262"/>
  <c r="AV232" i="2262"/>
  <c r="AQ232" i="2262"/>
  <c r="AR232" i="2262"/>
  <c r="AP232" i="2262"/>
  <c r="AO246" i="2262"/>
  <c r="BA246" i="2262"/>
  <c r="AZ246" i="2262"/>
  <c r="AY246" i="2262"/>
  <c r="AX246" i="2262"/>
  <c r="AW246" i="2262"/>
  <c r="AS246" i="2262"/>
  <c r="AV246" i="2262"/>
  <c r="AQ246" i="2262"/>
  <c r="AR246" i="2262"/>
  <c r="AP246" i="2262"/>
  <c r="AO242" i="2262"/>
  <c r="BA242" i="2262"/>
  <c r="AZ242" i="2262"/>
  <c r="AY242" i="2262"/>
  <c r="AX242" i="2262"/>
  <c r="AW242" i="2262"/>
  <c r="AS242" i="2262"/>
  <c r="AV242" i="2262"/>
  <c r="AQ242" i="2262"/>
  <c r="AR242" i="2262"/>
  <c r="AP242" i="2262"/>
  <c r="AO288" i="2262"/>
  <c r="BA288" i="2262"/>
  <c r="AZ288" i="2262"/>
  <c r="AY288" i="2262"/>
  <c r="AX288" i="2262"/>
  <c r="AW288" i="2262"/>
  <c r="AS288" i="2262"/>
  <c r="AV288" i="2262"/>
  <c r="AQ288" i="2262"/>
  <c r="AR288" i="2262"/>
  <c r="AP288" i="2262"/>
  <c r="AO199" i="2262"/>
  <c r="BA199" i="2262"/>
  <c r="AZ199" i="2262"/>
  <c r="AY199" i="2262"/>
  <c r="AW199" i="2262"/>
  <c r="AX199" i="2262"/>
  <c r="AV199" i="2262"/>
  <c r="AS199" i="2262"/>
  <c r="AR199" i="2262"/>
  <c r="AP199" i="2262"/>
  <c r="AQ199" i="2262"/>
  <c r="AO268" i="2262"/>
  <c r="BA268" i="2262"/>
  <c r="AZ268" i="2262"/>
  <c r="AY268" i="2262"/>
  <c r="AX268" i="2262"/>
  <c r="AW268" i="2262"/>
  <c r="AS268" i="2262"/>
  <c r="AV268" i="2262"/>
  <c r="AQ268" i="2262"/>
  <c r="AR268" i="2262"/>
  <c r="AP268" i="2262"/>
  <c r="AO254" i="2262"/>
  <c r="BA254" i="2262"/>
  <c r="AZ254" i="2262"/>
  <c r="AY254" i="2262"/>
  <c r="AX254" i="2262"/>
  <c r="AW254" i="2262"/>
  <c r="AS254" i="2262"/>
  <c r="AV254" i="2262"/>
  <c r="AQ254" i="2262"/>
  <c r="AR254" i="2262"/>
  <c r="AP254" i="2262"/>
  <c r="AO205" i="2262"/>
  <c r="BA205" i="2262"/>
  <c r="AZ205" i="2262"/>
  <c r="AY205" i="2262"/>
  <c r="AW205" i="2262"/>
  <c r="AX205" i="2262"/>
  <c r="AV205" i="2262"/>
  <c r="AS205" i="2262"/>
  <c r="AR205" i="2262"/>
  <c r="AP205" i="2262"/>
  <c r="AQ205" i="2262"/>
  <c r="AO272" i="2262"/>
  <c r="BA272" i="2262"/>
  <c r="AZ272" i="2262"/>
  <c r="AY272" i="2262"/>
  <c r="AX272" i="2262"/>
  <c r="AW272" i="2262"/>
  <c r="AS272" i="2262"/>
  <c r="AV272" i="2262"/>
  <c r="AQ272" i="2262"/>
  <c r="AR272" i="2262"/>
  <c r="AP272" i="2262"/>
  <c r="AO231" i="2262"/>
  <c r="BA231" i="2262"/>
  <c r="AZ231" i="2262"/>
  <c r="AY231" i="2262"/>
  <c r="AW231" i="2262"/>
  <c r="AX231" i="2262"/>
  <c r="AV231" i="2262"/>
  <c r="AS231" i="2262"/>
  <c r="AR231" i="2262"/>
  <c r="AP231" i="2262"/>
  <c r="AQ231" i="2262"/>
  <c r="AO207" i="2262"/>
  <c r="BA207" i="2262"/>
  <c r="AZ207" i="2262"/>
  <c r="AY207" i="2262"/>
  <c r="AW207" i="2262"/>
  <c r="AX207" i="2262"/>
  <c r="AV207" i="2262"/>
  <c r="AS207" i="2262"/>
  <c r="AR207" i="2262"/>
  <c r="AP207" i="2262"/>
  <c r="AQ207" i="2262"/>
  <c r="AO300" i="2262"/>
  <c r="BA300" i="2262"/>
  <c r="AZ300" i="2262"/>
  <c r="AY300" i="2262"/>
  <c r="AX300" i="2262"/>
  <c r="AW300" i="2262"/>
  <c r="AS300" i="2262"/>
  <c r="AV300" i="2262"/>
  <c r="AQ300" i="2262"/>
  <c r="AR300" i="2262"/>
  <c r="AP300" i="2262"/>
  <c r="AO274" i="2262"/>
  <c r="BA274" i="2262"/>
  <c r="AZ274" i="2262"/>
  <c r="AY274" i="2262"/>
  <c r="AX274" i="2262"/>
  <c r="AW274" i="2262"/>
  <c r="AS274" i="2262"/>
  <c r="AV274" i="2262"/>
  <c r="AQ274" i="2262"/>
  <c r="AR274" i="2262"/>
  <c r="AP274" i="2262"/>
  <c r="AO237" i="2262"/>
  <c r="BA237" i="2262"/>
  <c r="AZ237" i="2262"/>
  <c r="AY237" i="2262"/>
  <c r="AW237" i="2262"/>
  <c r="AX237" i="2262"/>
  <c r="AV237" i="2262"/>
  <c r="AS237" i="2262"/>
  <c r="AR237" i="2262"/>
  <c r="AP237" i="2262"/>
  <c r="AQ237" i="2262"/>
  <c r="AO219" i="2262"/>
  <c r="BA219" i="2262"/>
  <c r="AZ219" i="2262"/>
  <c r="AY219" i="2262"/>
  <c r="AW219" i="2262"/>
  <c r="AX219" i="2262"/>
  <c r="AV219" i="2262"/>
  <c r="AS219" i="2262"/>
  <c r="AR219" i="2262"/>
  <c r="AP219" i="2262"/>
  <c r="AQ219" i="2262"/>
  <c r="AO291" i="2262"/>
  <c r="BA291" i="2262"/>
  <c r="AZ291" i="2262"/>
  <c r="AY291" i="2262"/>
  <c r="AW291" i="2262"/>
  <c r="AX291" i="2262"/>
  <c r="AV291" i="2262"/>
  <c r="AS291" i="2262"/>
  <c r="AR291" i="2262"/>
  <c r="AP291" i="2262"/>
  <c r="AQ291" i="2262"/>
  <c r="AO271" i="2262"/>
  <c r="BA271" i="2262"/>
  <c r="AZ271" i="2262"/>
  <c r="AY271" i="2262"/>
  <c r="AW271" i="2262"/>
  <c r="AX271" i="2262"/>
  <c r="AV271" i="2262"/>
  <c r="AS271" i="2262"/>
  <c r="AR271" i="2262"/>
  <c r="AP271" i="2262"/>
  <c r="AQ271" i="2262"/>
  <c r="AO221" i="2262"/>
  <c r="BA221" i="2262"/>
  <c r="AZ221" i="2262"/>
  <c r="AY221" i="2262"/>
  <c r="AW221" i="2262"/>
  <c r="AX221" i="2262"/>
  <c r="AV221" i="2262"/>
  <c r="AS221" i="2262"/>
  <c r="AR221" i="2262"/>
  <c r="AP221" i="2262"/>
  <c r="AQ221" i="2262"/>
  <c r="AO279" i="2262"/>
  <c r="BA279" i="2262"/>
  <c r="AZ279" i="2262"/>
  <c r="AY279" i="2262"/>
  <c r="AW279" i="2262"/>
  <c r="AX279" i="2262"/>
  <c r="AV279" i="2262"/>
  <c r="AS279" i="2262"/>
  <c r="AR279" i="2262"/>
  <c r="AP279" i="2262"/>
  <c r="AQ279" i="2262"/>
  <c r="AO234" i="2262"/>
  <c r="BA234" i="2262"/>
  <c r="AZ234" i="2262"/>
  <c r="AY234" i="2262"/>
  <c r="AX234" i="2262"/>
  <c r="AW234" i="2262"/>
  <c r="AS234" i="2262"/>
  <c r="AV234" i="2262"/>
  <c r="AQ234" i="2262"/>
  <c r="AR234" i="2262"/>
  <c r="AP234" i="2262"/>
  <c r="AO269" i="2262"/>
  <c r="BA269" i="2262"/>
  <c r="AZ269" i="2262"/>
  <c r="AY269" i="2262"/>
  <c r="AW269" i="2262"/>
  <c r="AX269" i="2262"/>
  <c r="AV269" i="2262"/>
  <c r="AS269" i="2262"/>
  <c r="AR269" i="2262"/>
  <c r="AP269" i="2262"/>
  <c r="AQ269" i="2262"/>
  <c r="AO197" i="2262"/>
  <c r="BA197" i="2262"/>
  <c r="AZ197" i="2262"/>
  <c r="AY197" i="2262"/>
  <c r="AW197" i="2262"/>
  <c r="AX197" i="2262"/>
  <c r="AV197" i="2262"/>
  <c r="AS197" i="2262"/>
  <c r="AR197" i="2262"/>
  <c r="AP197" i="2262"/>
  <c r="AQ197" i="2262"/>
  <c r="AO208" i="2262"/>
  <c r="BA208" i="2262"/>
  <c r="AZ208" i="2262"/>
  <c r="AY208" i="2262"/>
  <c r="AX208" i="2262"/>
  <c r="AW208" i="2262"/>
  <c r="AS208" i="2262"/>
  <c r="AV208" i="2262"/>
  <c r="AQ208" i="2262"/>
  <c r="AR208" i="2262"/>
  <c r="AP208" i="2262"/>
  <c r="AO256" i="2262"/>
  <c r="BA256" i="2262"/>
  <c r="AZ256" i="2262"/>
  <c r="AY256" i="2262"/>
  <c r="AX256" i="2262"/>
  <c r="AW256" i="2262"/>
  <c r="AS256" i="2262"/>
  <c r="AV256" i="2262"/>
  <c r="AQ256" i="2262"/>
  <c r="AR256" i="2262"/>
  <c r="AP256" i="2262"/>
  <c r="AO285" i="2262"/>
  <c r="BA285" i="2262"/>
  <c r="AZ285" i="2262"/>
  <c r="AY285" i="2262"/>
  <c r="AW285" i="2262"/>
  <c r="AX285" i="2262"/>
  <c r="AV285" i="2262"/>
  <c r="AS285" i="2262"/>
  <c r="AR285" i="2262"/>
  <c r="AP285" i="2262"/>
  <c r="AQ285" i="2262"/>
  <c r="AO223" i="2262"/>
  <c r="BA223" i="2262"/>
  <c r="AZ223" i="2262"/>
  <c r="AY223" i="2262"/>
  <c r="AW223" i="2262"/>
  <c r="AX223" i="2262"/>
  <c r="AV223" i="2262"/>
  <c r="AS223" i="2262"/>
  <c r="AR223" i="2262"/>
  <c r="AP223" i="2262"/>
  <c r="AQ223" i="2262"/>
  <c r="AO281" i="2262"/>
  <c r="BA281" i="2262"/>
  <c r="AZ281" i="2262"/>
  <c r="AY281" i="2262"/>
  <c r="AW281" i="2262"/>
  <c r="AX281" i="2262"/>
  <c r="AV281" i="2262"/>
  <c r="AS281" i="2262"/>
  <c r="AR281" i="2262"/>
  <c r="AP281" i="2262"/>
  <c r="AQ281" i="2262"/>
  <c r="AO243" i="2262"/>
  <c r="BA243" i="2262"/>
  <c r="AZ243" i="2262"/>
  <c r="AY243" i="2262"/>
  <c r="AW243" i="2262"/>
  <c r="AX243" i="2262"/>
  <c r="AV243" i="2262"/>
  <c r="AS243" i="2262"/>
  <c r="AR243" i="2262"/>
  <c r="AP243" i="2262"/>
  <c r="AQ243" i="2262"/>
  <c r="AO220" i="2262"/>
  <c r="BA220" i="2262"/>
  <c r="AZ220" i="2262"/>
  <c r="AY220" i="2262"/>
  <c r="AX220" i="2262"/>
  <c r="AW220" i="2262"/>
  <c r="AS220" i="2262"/>
  <c r="AV220" i="2262"/>
  <c r="AQ220" i="2262"/>
  <c r="AR220" i="2262"/>
  <c r="AP220" i="2262"/>
  <c r="AO298" i="2262"/>
  <c r="BA298" i="2262"/>
  <c r="AZ298" i="2262"/>
  <c r="AY298" i="2262"/>
  <c r="AX298" i="2262"/>
  <c r="AW298" i="2262"/>
  <c r="AS298" i="2262"/>
  <c r="AV298" i="2262"/>
  <c r="AQ298" i="2262"/>
  <c r="AR298" i="2262"/>
  <c r="AP298" i="2262"/>
  <c r="AO213" i="2262"/>
  <c r="BA213" i="2262"/>
  <c r="AZ213" i="2262"/>
  <c r="AY213" i="2262"/>
  <c r="AW213" i="2262"/>
  <c r="AX213" i="2262"/>
  <c r="AV213" i="2262"/>
  <c r="AS213" i="2262"/>
  <c r="AR213" i="2262"/>
  <c r="AP213" i="2262"/>
  <c r="AQ213" i="2262"/>
  <c r="AO236" i="2262"/>
  <c r="BA236" i="2262"/>
  <c r="AZ236" i="2262"/>
  <c r="AY236" i="2262"/>
  <c r="AX236" i="2262"/>
  <c r="AW236" i="2262"/>
  <c r="AS236" i="2262"/>
  <c r="AV236" i="2262"/>
  <c r="AQ236" i="2262"/>
  <c r="AR236" i="2262"/>
  <c r="AP236" i="2262"/>
  <c r="AO209" i="2262"/>
  <c r="BA209" i="2262"/>
  <c r="AZ209" i="2262"/>
  <c r="AY209" i="2262"/>
  <c r="AW209" i="2262"/>
  <c r="AX209" i="2262"/>
  <c r="AV209" i="2262"/>
  <c r="AS209" i="2262"/>
  <c r="AR209" i="2262"/>
  <c r="AP209" i="2262"/>
  <c r="AQ209" i="2262"/>
  <c r="AO276" i="2262"/>
  <c r="BA276" i="2262"/>
  <c r="AZ276" i="2262"/>
  <c r="AY276" i="2262"/>
  <c r="AX276" i="2262"/>
  <c r="AW276" i="2262"/>
  <c r="AS276" i="2262"/>
  <c r="AV276" i="2262"/>
  <c r="AQ276" i="2262"/>
  <c r="AR276" i="2262"/>
  <c r="AP276" i="2262"/>
  <c r="AO222" i="2262"/>
  <c r="BA222" i="2262"/>
  <c r="AZ222" i="2262"/>
  <c r="AY222" i="2262"/>
  <c r="AX222" i="2262"/>
  <c r="AW222" i="2262"/>
  <c r="AS222" i="2262"/>
  <c r="AV222" i="2262"/>
  <c r="AQ222" i="2262"/>
  <c r="AR222" i="2262"/>
  <c r="AP222" i="2262"/>
  <c r="AO280" i="2262"/>
  <c r="BA280" i="2262"/>
  <c r="AZ280" i="2262"/>
  <c r="AY280" i="2262"/>
  <c r="AX280" i="2262"/>
  <c r="AW280" i="2262"/>
  <c r="AS280" i="2262"/>
  <c r="AV280" i="2262"/>
  <c r="AQ280" i="2262"/>
  <c r="AR280" i="2262"/>
  <c r="AP280" i="2262"/>
  <c r="AO235" i="2262"/>
  <c r="BA235" i="2262"/>
  <c r="AZ235" i="2262"/>
  <c r="AY235" i="2262"/>
  <c r="AW235" i="2262"/>
  <c r="AX235" i="2262"/>
  <c r="AV235" i="2262"/>
  <c r="AS235" i="2262"/>
  <c r="AR235" i="2262"/>
  <c r="AP235" i="2262"/>
  <c r="AQ235" i="2262"/>
  <c r="S324" i="2262"/>
  <c r="S327" i="2262"/>
  <c r="S302" i="2262"/>
  <c r="S322" i="2262"/>
  <c r="S325" i="2262"/>
  <c r="S323" i="2262"/>
  <c r="S326" i="2262"/>
  <c r="S130" i="2262"/>
  <c r="N130" i="2262" s="1"/>
  <c r="S159" i="2262"/>
  <c r="N159" i="2262" s="1"/>
  <c r="S162" i="2262"/>
  <c r="N162" i="2262" s="1"/>
  <c r="S84" i="2262"/>
  <c r="N84" i="2262" s="1"/>
  <c r="S85" i="2262"/>
  <c r="N85" i="2262" s="1"/>
  <c r="S124" i="2262"/>
  <c r="N124" i="2262" s="1"/>
  <c r="S126" i="2262"/>
  <c r="N126" i="2262" s="1"/>
  <c r="S128" i="2262"/>
  <c r="N128" i="2262" s="1"/>
  <c r="S133" i="2262"/>
  <c r="N133" i="2262" s="1"/>
  <c r="S153" i="2262"/>
  <c r="N153" i="2262" s="1"/>
  <c r="S163" i="2262"/>
  <c r="N163" i="2262" s="1"/>
  <c r="S129" i="2262"/>
  <c r="N129" i="2262" s="1"/>
  <c r="S134" i="2262"/>
  <c r="N134" i="2262" s="1"/>
  <c r="S154" i="2262"/>
  <c r="N154" i="2262" s="1"/>
  <c r="S164" i="2262"/>
  <c r="N164" i="2262" s="1"/>
  <c r="S125" i="2262"/>
  <c r="N125" i="2262" s="1"/>
  <c r="S47" i="2262"/>
  <c r="N47" i="2262" s="1"/>
  <c r="S49" i="2262"/>
  <c r="N49" i="2262" s="1"/>
  <c r="S63" i="2262"/>
  <c r="N63" i="2262" s="1"/>
  <c r="S65" i="2262"/>
  <c r="N65" i="2262" s="1"/>
  <c r="S42" i="2262"/>
  <c r="N42" i="2262" s="1"/>
  <c r="S50" i="2262"/>
  <c r="N50" i="2262" s="1"/>
  <c r="S58" i="2262"/>
  <c r="N58" i="2262" s="1"/>
  <c r="S68" i="2262"/>
  <c r="N68" i="2262" s="1"/>
  <c r="S70" i="2262"/>
  <c r="N70" i="2262" s="1"/>
  <c r="S72" i="2262"/>
  <c r="N72" i="2262" s="1"/>
  <c r="S75" i="2262"/>
  <c r="N75" i="2262" s="1"/>
  <c r="S77" i="2262"/>
  <c r="N77" i="2262" s="1"/>
  <c r="S79" i="2262"/>
  <c r="N79" i="2262" s="1"/>
  <c r="S43" i="2262"/>
  <c r="N43" i="2262" s="1"/>
  <c r="S56" i="2262"/>
  <c r="N56" i="2262" s="1"/>
  <c r="S59" i="2262"/>
  <c r="N59" i="2262" s="1"/>
  <c r="S61" i="2262"/>
  <c r="N61" i="2262" s="1"/>
  <c r="S62" i="2262"/>
  <c r="N62" i="2262" s="1"/>
  <c r="S64" i="2262"/>
  <c r="N64" i="2262" s="1"/>
  <c r="S74" i="2262"/>
  <c r="N74" i="2262" s="1"/>
  <c r="S67" i="2262"/>
  <c r="N67" i="2262" s="1"/>
  <c r="S76" i="2262"/>
  <c r="N76" i="2262" s="1"/>
  <c r="S89" i="2262"/>
  <c r="N89" i="2262" s="1"/>
  <c r="S91" i="2262"/>
  <c r="N91" i="2262" s="1"/>
  <c r="S95" i="2262"/>
  <c r="N95" i="2262" s="1"/>
  <c r="S97" i="2262"/>
  <c r="N97" i="2262" s="1"/>
  <c r="S99" i="2262"/>
  <c r="N99" i="2262" s="1"/>
  <c r="S101" i="2262"/>
  <c r="N101" i="2262" s="1"/>
  <c r="S127" i="2262"/>
  <c r="N127" i="2262" s="1"/>
  <c r="S135" i="2262"/>
  <c r="N135" i="2262" s="1"/>
  <c r="S141" i="2262"/>
  <c r="N141" i="2262" s="1"/>
  <c r="S147" i="2262"/>
  <c r="N147" i="2262" s="1"/>
  <c r="S149" i="2262"/>
  <c r="N149" i="2262" s="1"/>
  <c r="S151" i="2262"/>
  <c r="N151" i="2262" s="1"/>
  <c r="S157" i="2262"/>
  <c r="N157" i="2262" s="1"/>
  <c r="S48" i="2262"/>
  <c r="N48" i="2262" s="1"/>
  <c r="S55" i="2262"/>
  <c r="N55" i="2262" s="1"/>
  <c r="S66" i="2262"/>
  <c r="N66" i="2262" s="1"/>
  <c r="S83" i="2262"/>
  <c r="N83" i="2262" s="1"/>
  <c r="S86" i="2262"/>
  <c r="N86" i="2262" s="1"/>
  <c r="S88" i="2262"/>
  <c r="N88" i="2262" s="1"/>
  <c r="S93" i="2262"/>
  <c r="N93" i="2262" s="1"/>
  <c r="S98" i="2262"/>
  <c r="N98" i="2262" s="1"/>
  <c r="S119" i="2262"/>
  <c r="N119" i="2262" s="1"/>
  <c r="S131" i="2262"/>
  <c r="N131" i="2262" s="1"/>
  <c r="S138" i="2262"/>
  <c r="N138" i="2262" s="1"/>
  <c r="S140" i="2262"/>
  <c r="N140" i="2262" s="1"/>
  <c r="S144" i="2262"/>
  <c r="N144" i="2262" s="1"/>
  <c r="S54" i="2262"/>
  <c r="N54" i="2262" s="1"/>
  <c r="S94" i="2262"/>
  <c r="N94" i="2262" s="1"/>
  <c r="S100" i="2262"/>
  <c r="N100" i="2262" s="1"/>
  <c r="S121" i="2262"/>
  <c r="N121" i="2262" s="1"/>
  <c r="S137" i="2262"/>
  <c r="N137" i="2262" s="1"/>
  <c r="S78" i="2262"/>
  <c r="N78" i="2262" s="1"/>
  <c r="S82" i="2262"/>
  <c r="N82" i="2262" s="1"/>
  <c r="S120" i="2262"/>
  <c r="N120" i="2262" s="1"/>
  <c r="S136" i="2262"/>
  <c r="N136" i="2262" s="1"/>
  <c r="S142" i="2262"/>
  <c r="S143" i="2262"/>
  <c r="N143" i="2262" s="1"/>
  <c r="S148" i="2262"/>
  <c r="N148" i="2262" s="1"/>
  <c r="S156" i="2262"/>
  <c r="N156" i="2262" s="1"/>
  <c r="S57" i="2262"/>
  <c r="N57" i="2262" s="1"/>
  <c r="S80" i="2262"/>
  <c r="N80" i="2262" s="1"/>
  <c r="S87" i="2262"/>
  <c r="N87" i="2262" s="1"/>
  <c r="S96" i="2262"/>
  <c r="N96" i="2262" s="1"/>
  <c r="S118" i="2262"/>
  <c r="N118" i="2262" s="1"/>
  <c r="S192" i="2262"/>
  <c r="N192" i="2262" s="1"/>
  <c r="S158" i="2262"/>
  <c r="N158" i="2262" s="1"/>
  <c r="S90" i="2262"/>
  <c r="N90" i="2262" s="1"/>
  <c r="S102" i="2262"/>
  <c r="N102" i="2262" s="1"/>
  <c r="S139" i="2262"/>
  <c r="N139" i="2262" s="1"/>
  <c r="S146" i="2262"/>
  <c r="N146" i="2262" s="1"/>
  <c r="S150" i="2262"/>
  <c r="N150" i="2262" s="1"/>
  <c r="S81" i="2262"/>
  <c r="N81" i="2262" s="1"/>
  <c r="S92" i="2262"/>
  <c r="N92" i="2262" s="1"/>
  <c r="S145" i="2262"/>
  <c r="N145" i="2262" s="1"/>
  <c r="S152" i="2262"/>
  <c r="N152" i="2262" s="1"/>
  <c r="S132" i="2262"/>
  <c r="N132" i="2262" s="1"/>
  <c r="S10" i="2262"/>
  <c r="N10" i="2262" s="1"/>
  <c r="S15" i="2262"/>
  <c r="N15" i="2262" s="1"/>
  <c r="S16" i="2262"/>
  <c r="N16" i="2262" s="1"/>
  <c r="S19" i="2262"/>
  <c r="N19" i="2262" s="1"/>
  <c r="S20" i="2262"/>
  <c r="N20" i="2262" s="1"/>
  <c r="S24" i="2262"/>
  <c r="N24" i="2262" s="1"/>
  <c r="S34" i="2262"/>
  <c r="S39" i="2262"/>
  <c r="N39" i="2262" s="1"/>
  <c r="S60" i="2262"/>
  <c r="N60" i="2262" s="1"/>
  <c r="S17" i="2262"/>
  <c r="N17" i="2262" s="1"/>
  <c r="S21" i="2262"/>
  <c r="N21" i="2262" s="1"/>
  <c r="S25" i="2262"/>
  <c r="N25" i="2262" s="1"/>
  <c r="S28" i="2262"/>
  <c r="N28" i="2262" s="1"/>
  <c r="S30" i="2262"/>
  <c r="N30" i="2262" s="1"/>
  <c r="S37" i="2262"/>
  <c r="N37" i="2262" s="1"/>
  <c r="S38" i="2262"/>
  <c r="N38" i="2262" s="1"/>
  <c r="S53" i="2262"/>
  <c r="N53" i="2262" s="1"/>
  <c r="S13" i="2262"/>
  <c r="N13" i="2262" s="1"/>
  <c r="S14" i="2262"/>
  <c r="N14" i="2262" s="1"/>
  <c r="S18" i="2262"/>
  <c r="N18" i="2262" s="1"/>
  <c r="S23" i="2262"/>
  <c r="N23" i="2262" s="1"/>
  <c r="S26" i="2262"/>
  <c r="N26" i="2262" s="1"/>
  <c r="S27" i="2262"/>
  <c r="N27" i="2262" s="1"/>
  <c r="S31" i="2262"/>
  <c r="N31" i="2262" s="1"/>
  <c r="S35" i="2262"/>
  <c r="N35" i="2262" s="1"/>
  <c r="S40" i="2262"/>
  <c r="N40" i="2262" s="1"/>
  <c r="S41" i="2262"/>
  <c r="N41" i="2262" s="1"/>
  <c r="S51" i="2262"/>
  <c r="N51" i="2262" s="1"/>
  <c r="S71" i="2262"/>
  <c r="N71" i="2262" s="1"/>
  <c r="S9" i="2262"/>
  <c r="N9" i="2262" s="1"/>
  <c r="S29" i="2262"/>
  <c r="N29" i="2262" s="1"/>
  <c r="S73" i="2262"/>
  <c r="N73" i="2262" s="1"/>
  <c r="S169" i="2262"/>
  <c r="N169" i="2262" s="1"/>
  <c r="S8" i="2262"/>
  <c r="N8" i="2262" s="1"/>
  <c r="S22" i="2262"/>
  <c r="N22" i="2262" s="1"/>
  <c r="S33" i="2262"/>
  <c r="N33" i="2262" s="1"/>
  <c r="S36" i="2262"/>
  <c r="N36" i="2262" s="1"/>
  <c r="S122" i="2262"/>
  <c r="N122" i="2262" s="1"/>
  <c r="S155" i="2262"/>
  <c r="N155" i="2262" s="1"/>
  <c r="S165" i="2262"/>
  <c r="N165" i="2262" s="1"/>
  <c r="S166" i="2262"/>
  <c r="N166" i="2262" s="1"/>
  <c r="S170" i="2262"/>
  <c r="N170" i="2262" s="1"/>
  <c r="S174" i="2262"/>
  <c r="N174" i="2262" s="1"/>
  <c r="S176" i="2262"/>
  <c r="N176" i="2262" s="1"/>
  <c r="S181" i="2262"/>
  <c r="N181" i="2262" s="1"/>
  <c r="S123" i="2262"/>
  <c r="N123" i="2262" s="1"/>
  <c r="S171" i="2262"/>
  <c r="N171" i="2262" s="1"/>
  <c r="S180" i="2262"/>
  <c r="N180" i="2262" s="1"/>
  <c r="S184" i="2262"/>
  <c r="N184" i="2262" s="1"/>
  <c r="S189" i="2262"/>
  <c r="N189" i="2262" s="1"/>
  <c r="S191" i="2262"/>
  <c r="N191" i="2262" s="1"/>
  <c r="S172" i="2262"/>
  <c r="N172" i="2262" s="1"/>
  <c r="S173" i="2262"/>
  <c r="N173" i="2262" s="1"/>
  <c r="S177" i="2262"/>
  <c r="N177" i="2262" s="1"/>
  <c r="S178" i="2262"/>
  <c r="N178" i="2262" s="1"/>
  <c r="S183" i="2262"/>
  <c r="N183" i="2262" s="1"/>
  <c r="S186" i="2262"/>
  <c r="N186" i="2262" s="1"/>
  <c r="S52" i="2262"/>
  <c r="N52" i="2262" s="1"/>
  <c r="S168" i="2262"/>
  <c r="N168" i="2262" s="1"/>
  <c r="S185" i="2262"/>
  <c r="N185" i="2262" s="1"/>
  <c r="S160" i="2262"/>
  <c r="N160" i="2262" s="1"/>
  <c r="S167" i="2262"/>
  <c r="N167" i="2262" s="1"/>
  <c r="S187" i="2262"/>
  <c r="N187" i="2262" s="1"/>
  <c r="S188" i="2262"/>
  <c r="N188" i="2262" s="1"/>
  <c r="S12" i="2262"/>
  <c r="N12" i="2262" s="1"/>
  <c r="S32" i="2262"/>
  <c r="N32" i="2262" s="1"/>
  <c r="S69" i="2262"/>
  <c r="N69" i="2262" s="1"/>
  <c r="S175" i="2262"/>
  <c r="N175" i="2262" s="1"/>
  <c r="S179" i="2262"/>
  <c r="N179" i="2262" s="1"/>
  <c r="S190" i="2262"/>
  <c r="N190" i="2262" s="1"/>
  <c r="S7" i="2262"/>
  <c r="N7" i="2262" s="1"/>
  <c r="S182" i="2262"/>
  <c r="N182" i="2262" s="1"/>
  <c r="S11" i="2262"/>
  <c r="N11" i="2262" s="1"/>
  <c r="N34" i="2262" l="1"/>
  <c r="AB34" i="2262"/>
  <c r="N142" i="2262"/>
  <c r="AB142" i="2262"/>
  <c r="AB7" i="2262"/>
  <c r="O7" i="2262"/>
  <c r="AB187" i="2262"/>
  <c r="O187" i="2262"/>
  <c r="O178" i="2262"/>
  <c r="AB178" i="2262"/>
  <c r="AB171" i="2262"/>
  <c r="O171" i="2262"/>
  <c r="Z171" i="2262"/>
  <c r="O155" i="2262"/>
  <c r="AB155" i="2262"/>
  <c r="O29" i="2262"/>
  <c r="AB29" i="2262"/>
  <c r="AB27" i="2262"/>
  <c r="O27" i="2262"/>
  <c r="O37" i="2262"/>
  <c r="AB37" i="2262"/>
  <c r="O34" i="2262"/>
  <c r="AB16" i="2262"/>
  <c r="O16" i="2262"/>
  <c r="AB150" i="2262"/>
  <c r="O150" i="2262"/>
  <c r="AB96" i="2262"/>
  <c r="O96" i="2262"/>
  <c r="AB136" i="2262"/>
  <c r="O136" i="2262"/>
  <c r="S46" i="2262"/>
  <c r="N46" i="2262" s="1"/>
  <c r="O54" i="2262"/>
  <c r="AB54" i="2262"/>
  <c r="O88" i="2262"/>
  <c r="AB88" i="2262"/>
  <c r="AB149" i="2262"/>
  <c r="O149" i="2262"/>
  <c r="O95" i="2262"/>
  <c r="AB95" i="2262"/>
  <c r="O61" i="2262"/>
  <c r="AB61" i="2262"/>
  <c r="O79" i="2262"/>
  <c r="AB79" i="2262"/>
  <c r="AB42" i="2262"/>
  <c r="O42" i="2262"/>
  <c r="O47" i="2262"/>
  <c r="AB47" i="2262"/>
  <c r="AB134" i="2262"/>
  <c r="O134" i="2262"/>
  <c r="O133" i="2262"/>
  <c r="AB133" i="2262"/>
  <c r="O85" i="2262"/>
  <c r="AB85" i="2262"/>
  <c r="AB130" i="2262"/>
  <c r="O130" i="2262"/>
  <c r="AB32" i="2262"/>
  <c r="O32" i="2262"/>
  <c r="O52" i="2262"/>
  <c r="AB52" i="2262"/>
  <c r="O177" i="2262"/>
  <c r="AB177" i="2262"/>
  <c r="O123" i="2262"/>
  <c r="AB123" i="2262"/>
  <c r="Z170" i="2262"/>
  <c r="AB170" i="2262"/>
  <c r="O170" i="2262"/>
  <c r="AB122" i="2262"/>
  <c r="O122" i="2262"/>
  <c r="AB8" i="2262"/>
  <c r="O8" i="2262"/>
  <c r="AB9" i="2262"/>
  <c r="O9" i="2262"/>
  <c r="O40" i="2262"/>
  <c r="AB40" i="2262"/>
  <c r="O26" i="2262"/>
  <c r="AB26" i="2262"/>
  <c r="AB13" i="2262"/>
  <c r="O13" i="2262"/>
  <c r="O30" i="2262"/>
  <c r="AB30" i="2262"/>
  <c r="O17" i="2262"/>
  <c r="AB17" i="2262"/>
  <c r="O24" i="2262"/>
  <c r="AB24" i="2262"/>
  <c r="AB15" i="2262"/>
  <c r="O15" i="2262"/>
  <c r="AB145" i="2262"/>
  <c r="O145" i="2262"/>
  <c r="AB146" i="2262"/>
  <c r="O146" i="2262"/>
  <c r="O158" i="2262"/>
  <c r="AB158" i="2262"/>
  <c r="S45" i="2262"/>
  <c r="N45" i="2262" s="1"/>
  <c r="AB87" i="2262"/>
  <c r="O87" i="2262"/>
  <c r="O148" i="2262"/>
  <c r="AB148" i="2262"/>
  <c r="O120" i="2262"/>
  <c r="AB120" i="2262"/>
  <c r="AB121" i="2262"/>
  <c r="O121" i="2262"/>
  <c r="AB144" i="2262"/>
  <c r="O144" i="2262"/>
  <c r="AB119" i="2262"/>
  <c r="O119" i="2262"/>
  <c r="AB86" i="2262"/>
  <c r="O86" i="2262"/>
  <c r="AB48" i="2262"/>
  <c r="O48" i="2262"/>
  <c r="AB147" i="2262"/>
  <c r="O147" i="2262"/>
  <c r="AB101" i="2262"/>
  <c r="O101" i="2262"/>
  <c r="O91" i="2262"/>
  <c r="AB91" i="2262"/>
  <c r="O74" i="2262"/>
  <c r="AB74" i="2262"/>
  <c r="AB59" i="2262"/>
  <c r="O59" i="2262"/>
  <c r="O77" i="2262"/>
  <c r="AB77" i="2262"/>
  <c r="O68" i="2262"/>
  <c r="AB68" i="2262"/>
  <c r="AB65" i="2262"/>
  <c r="O65" i="2262"/>
  <c r="O125" i="2262"/>
  <c r="AB125" i="2262"/>
  <c r="AB129" i="2262"/>
  <c r="O129" i="2262"/>
  <c r="O128" i="2262"/>
  <c r="AB128" i="2262"/>
  <c r="O84" i="2262"/>
  <c r="AB84" i="2262"/>
  <c r="O326" i="2262"/>
  <c r="AB326" i="2262"/>
  <c r="O302" i="2262"/>
  <c r="AB302" i="2262"/>
  <c r="AB11" i="2262"/>
  <c r="O11" i="2262"/>
  <c r="AB179" i="2262"/>
  <c r="O179" i="2262"/>
  <c r="AB12" i="2262"/>
  <c r="O12" i="2262"/>
  <c r="Z160" i="2262"/>
  <c r="AB160" i="2262"/>
  <c r="O160" i="2262"/>
  <c r="AB186" i="2262"/>
  <c r="O186" i="2262"/>
  <c r="O173" i="2262"/>
  <c r="AB173" i="2262"/>
  <c r="Z173" i="2262"/>
  <c r="AB184" i="2262"/>
  <c r="O184" i="2262"/>
  <c r="O181" i="2262"/>
  <c r="AB181" i="2262"/>
  <c r="AB166" i="2262"/>
  <c r="Z166" i="2262"/>
  <c r="O166" i="2262"/>
  <c r="O36" i="2262"/>
  <c r="Z36" i="2262"/>
  <c r="AB36" i="2262"/>
  <c r="O169" i="2262"/>
  <c r="Z169" i="2262"/>
  <c r="AB169" i="2262"/>
  <c r="AB71" i="2262"/>
  <c r="O71" i="2262"/>
  <c r="AB35" i="2262"/>
  <c r="O35" i="2262"/>
  <c r="AB23" i="2262"/>
  <c r="O23" i="2262"/>
  <c r="AB53" i="2262"/>
  <c r="O53" i="2262"/>
  <c r="AB28" i="2262"/>
  <c r="O28" i="2262"/>
  <c r="AB60" i="2262"/>
  <c r="O60" i="2262"/>
  <c r="AB20" i="2262"/>
  <c r="O20" i="2262"/>
  <c r="AB10" i="2262"/>
  <c r="O10" i="2262"/>
  <c r="O92" i="2262"/>
  <c r="AB92" i="2262"/>
  <c r="AB139" i="2262"/>
  <c r="O139" i="2262"/>
  <c r="AB192" i="2262"/>
  <c r="O192" i="2262"/>
  <c r="AB80" i="2262"/>
  <c r="O80" i="2262"/>
  <c r="AB143" i="2262"/>
  <c r="O143" i="2262"/>
  <c r="AB82" i="2262"/>
  <c r="O82" i="2262"/>
  <c r="AB100" i="2262"/>
  <c r="O100" i="2262"/>
  <c r="O140" i="2262"/>
  <c r="AB140" i="2262"/>
  <c r="AB98" i="2262"/>
  <c r="O98" i="2262"/>
  <c r="O83" i="2262"/>
  <c r="AB83" i="2262"/>
  <c r="AB157" i="2262"/>
  <c r="O157" i="2262"/>
  <c r="O141" i="2262"/>
  <c r="AB141" i="2262"/>
  <c r="AB99" i="2262"/>
  <c r="O99" i="2262"/>
  <c r="O89" i="2262"/>
  <c r="AB89" i="2262"/>
  <c r="AB64" i="2262"/>
  <c r="O64" i="2262"/>
  <c r="AB56" i="2262"/>
  <c r="O56" i="2262"/>
  <c r="O75" i="2262"/>
  <c r="AB75" i="2262"/>
  <c r="AB58" i="2262"/>
  <c r="O58" i="2262"/>
  <c r="AB63" i="2262"/>
  <c r="O63" i="2262"/>
  <c r="O164" i="2262"/>
  <c r="AB164" i="2262"/>
  <c r="O163" i="2262"/>
  <c r="AB163" i="2262"/>
  <c r="O126" i="2262"/>
  <c r="AB126" i="2262"/>
  <c r="O162" i="2262"/>
  <c r="AB162" i="2262"/>
  <c r="AB323" i="2262"/>
  <c r="O323" i="2262"/>
  <c r="O327" i="2262"/>
  <c r="AB327" i="2262"/>
  <c r="AB69" i="2262"/>
  <c r="O69" i="2262"/>
  <c r="O168" i="2262"/>
  <c r="AB168" i="2262"/>
  <c r="Z168" i="2262"/>
  <c r="O191" i="2262"/>
  <c r="AB191" i="2262"/>
  <c r="O174" i="2262"/>
  <c r="Z174" i="2262"/>
  <c r="AB174" i="2262"/>
  <c r="AB22" i="2262"/>
  <c r="O22" i="2262"/>
  <c r="AB41" i="2262"/>
  <c r="O41" i="2262"/>
  <c r="AB14" i="2262"/>
  <c r="O14" i="2262"/>
  <c r="AB21" i="2262"/>
  <c r="O21" i="2262"/>
  <c r="O152" i="2262"/>
  <c r="AB152" i="2262"/>
  <c r="AB90" i="2262"/>
  <c r="O90" i="2262"/>
  <c r="AB156" i="2262"/>
  <c r="O156" i="2262"/>
  <c r="O137" i="2262"/>
  <c r="AB137" i="2262"/>
  <c r="O131" i="2262"/>
  <c r="AB131" i="2262"/>
  <c r="AB55" i="2262"/>
  <c r="O55" i="2262"/>
  <c r="AB127" i="2262"/>
  <c r="O127" i="2262"/>
  <c r="AB67" i="2262"/>
  <c r="O67" i="2262"/>
  <c r="AB70" i="2262"/>
  <c r="O70" i="2262"/>
  <c r="O322" i="2262"/>
  <c r="AB322" i="2262"/>
  <c r="O190" i="2262"/>
  <c r="AB190" i="2262"/>
  <c r="Z167" i="2262"/>
  <c r="O167" i="2262"/>
  <c r="AB167" i="2262"/>
  <c r="AB189" i="2262"/>
  <c r="O189" i="2262"/>
  <c r="AH189" i="2262" s="1"/>
  <c r="O182" i="2262"/>
  <c r="AB182" i="2262"/>
  <c r="O175" i="2262"/>
  <c r="AB175" i="2262"/>
  <c r="AB188" i="2262"/>
  <c r="O188" i="2262"/>
  <c r="AB185" i="2262"/>
  <c r="O185" i="2262"/>
  <c r="O183" i="2262"/>
  <c r="AB183" i="2262"/>
  <c r="O172" i="2262"/>
  <c r="AB172" i="2262"/>
  <c r="Z172" i="2262"/>
  <c r="AB180" i="2262"/>
  <c r="O180" i="2262"/>
  <c r="O176" i="2262"/>
  <c r="AB176" i="2262"/>
  <c r="Z165" i="2262"/>
  <c r="O165" i="2262"/>
  <c r="AB165" i="2262"/>
  <c r="AB33" i="2262"/>
  <c r="O33" i="2262"/>
  <c r="AB73" i="2262"/>
  <c r="O73" i="2262"/>
  <c r="AB51" i="2262"/>
  <c r="O51" i="2262"/>
  <c r="AB31" i="2262"/>
  <c r="O31" i="2262"/>
  <c r="Z31" i="2262"/>
  <c r="O18" i="2262"/>
  <c r="AB18" i="2262"/>
  <c r="S44" i="2262"/>
  <c r="N44" i="2262" s="1"/>
  <c r="AB38" i="2262"/>
  <c r="O38" i="2262"/>
  <c r="AB25" i="2262"/>
  <c r="O25" i="2262"/>
  <c r="O39" i="2262"/>
  <c r="AB39" i="2262"/>
  <c r="AB19" i="2262"/>
  <c r="O19" i="2262"/>
  <c r="O132" i="2262"/>
  <c r="AB132" i="2262"/>
  <c r="AB81" i="2262"/>
  <c r="O81" i="2262"/>
  <c r="AB102" i="2262"/>
  <c r="O102" i="2262"/>
  <c r="AB118" i="2262"/>
  <c r="O118" i="2262"/>
  <c r="AB57" i="2262"/>
  <c r="O57" i="2262"/>
  <c r="O142" i="2262"/>
  <c r="O78" i="2262"/>
  <c r="AB78" i="2262"/>
  <c r="O94" i="2262"/>
  <c r="AB94" i="2262"/>
  <c r="AB138" i="2262"/>
  <c r="O138" i="2262"/>
  <c r="AB93" i="2262"/>
  <c r="O93" i="2262"/>
  <c r="AB66" i="2262"/>
  <c r="O66" i="2262"/>
  <c r="AB151" i="2262"/>
  <c r="O151" i="2262"/>
  <c r="O135" i="2262"/>
  <c r="AB135" i="2262"/>
  <c r="O97" i="2262"/>
  <c r="AB97" i="2262"/>
  <c r="AB76" i="2262"/>
  <c r="O76" i="2262"/>
  <c r="O62" i="2262"/>
  <c r="AB62" i="2262"/>
  <c r="AB43" i="2262"/>
  <c r="O43" i="2262"/>
  <c r="AB72" i="2262"/>
  <c r="O72" i="2262"/>
  <c r="AB50" i="2262"/>
  <c r="O50" i="2262"/>
  <c r="AB49" i="2262"/>
  <c r="O49" i="2262"/>
  <c r="AB154" i="2262"/>
  <c r="O154" i="2262"/>
  <c r="AB153" i="2262"/>
  <c r="O153" i="2262"/>
  <c r="AB124" i="2262"/>
  <c r="O124" i="2262"/>
  <c r="AB159" i="2262"/>
  <c r="O159" i="2262"/>
  <c r="O325" i="2262"/>
  <c r="AB325" i="2262"/>
  <c r="O324" i="2262"/>
  <c r="AB324" i="2262"/>
  <c r="AH48" i="2262" l="1"/>
  <c r="AH190" i="2262"/>
  <c r="AI190" i="2262" s="1"/>
  <c r="AH187" i="2262"/>
  <c r="AI187" i="2262" s="1"/>
  <c r="AH188" i="2262"/>
  <c r="AI188" i="2262" s="1"/>
  <c r="AH324" i="2262"/>
  <c r="AI324" i="2262" s="1"/>
  <c r="AH323" i="2262"/>
  <c r="AI323" i="2262" s="1"/>
  <c r="AH302" i="2262"/>
  <c r="AI302" i="2262" s="1"/>
  <c r="AH326" i="2262"/>
  <c r="AI326" i="2262" s="1"/>
  <c r="AH130" i="2262"/>
  <c r="AI130" i="2262" s="1"/>
  <c r="AH162" i="2262"/>
  <c r="AI162" i="2262" s="1"/>
  <c r="AH85" i="2262"/>
  <c r="AI85" i="2262" s="1"/>
  <c r="AH126" i="2262"/>
  <c r="AI126" i="2262" s="1"/>
  <c r="AH133" i="2262"/>
  <c r="AI133" i="2262" s="1"/>
  <c r="AH163" i="2262"/>
  <c r="AI163" i="2262" s="1"/>
  <c r="AH134" i="2262"/>
  <c r="AI134" i="2262" s="1"/>
  <c r="AH164" i="2262"/>
  <c r="AI164" i="2262" s="1"/>
  <c r="AH47" i="2262"/>
  <c r="AI47" i="2262" s="1"/>
  <c r="AH63" i="2262"/>
  <c r="AI63" i="2262" s="1"/>
  <c r="AH42" i="2262"/>
  <c r="AI42" i="2262" s="1"/>
  <c r="AH58" i="2262"/>
  <c r="AI58" i="2262" s="1"/>
  <c r="AH70" i="2262"/>
  <c r="AI70" i="2262" s="1"/>
  <c r="AH75" i="2262"/>
  <c r="AI75" i="2262" s="1"/>
  <c r="AH79" i="2262"/>
  <c r="AI79" i="2262" s="1"/>
  <c r="AH56" i="2262"/>
  <c r="AI56" i="2262" s="1"/>
  <c r="AH61" i="2262"/>
  <c r="AI61" i="2262" s="1"/>
  <c r="AH64" i="2262"/>
  <c r="AI64" i="2262" s="1"/>
  <c r="AH67" i="2262"/>
  <c r="AI67" i="2262" s="1"/>
  <c r="AH89" i="2262"/>
  <c r="AI89" i="2262" s="1"/>
  <c r="AH95" i="2262"/>
  <c r="AI95" i="2262" s="1"/>
  <c r="AH99" i="2262"/>
  <c r="AI99" i="2262" s="1"/>
  <c r="AH127" i="2262"/>
  <c r="AI127" i="2262" s="1"/>
  <c r="AH141" i="2262"/>
  <c r="AI141" i="2262" s="1"/>
  <c r="AH149" i="2262"/>
  <c r="AI149" i="2262" s="1"/>
  <c r="AH157" i="2262"/>
  <c r="AI157" i="2262" s="1"/>
  <c r="AH55" i="2262"/>
  <c r="AI55" i="2262" s="1"/>
  <c r="AH83" i="2262"/>
  <c r="AI83" i="2262" s="1"/>
  <c r="AH88" i="2262"/>
  <c r="AI88" i="2262" s="1"/>
  <c r="AH98" i="2262"/>
  <c r="AI98" i="2262" s="1"/>
  <c r="AH131" i="2262"/>
  <c r="AI131" i="2262" s="1"/>
  <c r="AH140" i="2262"/>
  <c r="AI140" i="2262" s="1"/>
  <c r="AH54" i="2262"/>
  <c r="AI54" i="2262" s="1"/>
  <c r="AH100" i="2262"/>
  <c r="AI100" i="2262" s="1"/>
  <c r="AH137" i="2262"/>
  <c r="AI137" i="2262" s="1"/>
  <c r="AH82" i="2262"/>
  <c r="AI82" i="2262" s="1"/>
  <c r="AH136" i="2262"/>
  <c r="AI136" i="2262" s="1"/>
  <c r="AH143" i="2262"/>
  <c r="AI143" i="2262" s="1"/>
  <c r="AH156" i="2262"/>
  <c r="AI156" i="2262" s="1"/>
  <c r="AH80" i="2262"/>
  <c r="AI80" i="2262" s="1"/>
  <c r="AH96" i="2262"/>
  <c r="AI96" i="2262" s="1"/>
  <c r="AH192" i="2262"/>
  <c r="AI192" i="2262" s="1"/>
  <c r="AH90" i="2262"/>
  <c r="AI90" i="2262" s="1"/>
  <c r="AH139" i="2262"/>
  <c r="AI139" i="2262" s="1"/>
  <c r="AH150" i="2262"/>
  <c r="AI150" i="2262" s="1"/>
  <c r="AH92" i="2262"/>
  <c r="AI92" i="2262" s="1"/>
  <c r="AH152" i="2262"/>
  <c r="AI152" i="2262" s="1"/>
  <c r="AH10" i="2262"/>
  <c r="AI10" i="2262" s="1"/>
  <c r="AH16" i="2262"/>
  <c r="AI16" i="2262" s="1"/>
  <c r="AH20" i="2262"/>
  <c r="AI20" i="2262" s="1"/>
  <c r="AH60" i="2262"/>
  <c r="AI60" i="2262" s="1"/>
  <c r="AH21" i="2262"/>
  <c r="AI21" i="2262" s="1"/>
  <c r="AH28" i="2262"/>
  <c r="AI28" i="2262" s="1"/>
  <c r="AH37" i="2262"/>
  <c r="AI37" i="2262" s="1"/>
  <c r="AH53" i="2262"/>
  <c r="AI53" i="2262" s="1"/>
  <c r="AH14" i="2262"/>
  <c r="AI14" i="2262" s="1"/>
  <c r="AH23" i="2262"/>
  <c r="AI23" i="2262" s="1"/>
  <c r="AH27" i="2262"/>
  <c r="AI27" i="2262" s="1"/>
  <c r="AH35" i="2262"/>
  <c r="AI35" i="2262" s="1"/>
  <c r="AH41" i="2262"/>
  <c r="AI41" i="2262" s="1"/>
  <c r="AH71" i="2262"/>
  <c r="AI71" i="2262" s="1"/>
  <c r="AH29" i="2262"/>
  <c r="AI29" i="2262" s="1"/>
  <c r="AH169" i="2262"/>
  <c r="AI169" i="2262" s="1"/>
  <c r="AH22" i="2262"/>
  <c r="AI22" i="2262" s="1"/>
  <c r="AH36" i="2262"/>
  <c r="AI36" i="2262" s="1"/>
  <c r="AH155" i="2262"/>
  <c r="AI155" i="2262" s="1"/>
  <c r="AH174" i="2262"/>
  <c r="AI174" i="2262" s="1"/>
  <c r="AH171" i="2262"/>
  <c r="AI171" i="2262" s="1"/>
  <c r="AH191" i="2262"/>
  <c r="AI191" i="2262" s="1"/>
  <c r="AH186" i="2262"/>
  <c r="AI186" i="2262" s="1"/>
  <c r="AH160" i="2262"/>
  <c r="AI160" i="2262" s="1"/>
  <c r="AH12" i="2262"/>
  <c r="AI12" i="2262" s="1"/>
  <c r="AH159" i="2262"/>
  <c r="AI159" i="2262" s="1"/>
  <c r="AH84" i="2262"/>
  <c r="AI84" i="2262" s="1"/>
  <c r="AH124" i="2262"/>
  <c r="AI124" i="2262" s="1"/>
  <c r="AH128" i="2262"/>
  <c r="AI128" i="2262" s="1"/>
  <c r="AH153" i="2262"/>
  <c r="AI153" i="2262" s="1"/>
  <c r="AH129" i="2262"/>
  <c r="AI129" i="2262" s="1"/>
  <c r="AH154" i="2262"/>
  <c r="AI154" i="2262" s="1"/>
  <c r="AH125" i="2262"/>
  <c r="AI125" i="2262" s="1"/>
  <c r="AH49" i="2262"/>
  <c r="AI49" i="2262" s="1"/>
  <c r="AH65" i="2262"/>
  <c r="AI65" i="2262" s="1"/>
  <c r="AH50" i="2262"/>
  <c r="AI50" i="2262" s="1"/>
  <c r="AH68" i="2262"/>
  <c r="AI68" i="2262" s="1"/>
  <c r="AH72" i="2262"/>
  <c r="AI72" i="2262" s="1"/>
  <c r="AH77" i="2262"/>
  <c r="AI77" i="2262" s="1"/>
  <c r="AH43" i="2262"/>
  <c r="AI43" i="2262" s="1"/>
  <c r="AH59" i="2262"/>
  <c r="AI59" i="2262" s="1"/>
  <c r="AH62" i="2262"/>
  <c r="AI62" i="2262" s="1"/>
  <c r="AH74" i="2262"/>
  <c r="AI74" i="2262" s="1"/>
  <c r="AH76" i="2262"/>
  <c r="AI76" i="2262" s="1"/>
  <c r="AH91" i="2262"/>
  <c r="AI91" i="2262" s="1"/>
  <c r="AH97" i="2262"/>
  <c r="AI97" i="2262" s="1"/>
  <c r="AH101" i="2262"/>
  <c r="AI101" i="2262" s="1"/>
  <c r="AH135" i="2262"/>
  <c r="AI135" i="2262" s="1"/>
  <c r="AH147" i="2262"/>
  <c r="AI147" i="2262" s="1"/>
  <c r="AH151" i="2262"/>
  <c r="AI151" i="2262" s="1"/>
  <c r="AI48" i="2262"/>
  <c r="AH66" i="2262"/>
  <c r="AI66" i="2262" s="1"/>
  <c r="AH86" i="2262"/>
  <c r="AI86" i="2262" s="1"/>
  <c r="AH93" i="2262"/>
  <c r="AI93" i="2262" s="1"/>
  <c r="AH119" i="2262"/>
  <c r="AI119" i="2262" s="1"/>
  <c r="AH138" i="2262"/>
  <c r="AI138" i="2262" s="1"/>
  <c r="AH144" i="2262"/>
  <c r="AI144" i="2262" s="1"/>
  <c r="AH94" i="2262"/>
  <c r="AI94" i="2262" s="1"/>
  <c r="AH121" i="2262"/>
  <c r="AI121" i="2262" s="1"/>
  <c r="AH78" i="2262"/>
  <c r="AI78" i="2262" s="1"/>
  <c r="AH120" i="2262"/>
  <c r="AI120" i="2262" s="1"/>
  <c r="AH148" i="2262"/>
  <c r="AI148" i="2262" s="1"/>
  <c r="AH57" i="2262"/>
  <c r="AI57" i="2262" s="1"/>
  <c r="AH87" i="2262"/>
  <c r="AI87" i="2262" s="1"/>
  <c r="AH118" i="2262"/>
  <c r="AI118" i="2262" s="1"/>
  <c r="AH158" i="2262"/>
  <c r="AI158" i="2262" s="1"/>
  <c r="AH102" i="2262"/>
  <c r="AI102" i="2262" s="1"/>
  <c r="AH146" i="2262"/>
  <c r="AI146" i="2262" s="1"/>
  <c r="AH81" i="2262"/>
  <c r="AI81" i="2262" s="1"/>
  <c r="AH145" i="2262"/>
  <c r="AI145" i="2262" s="1"/>
  <c r="AH132" i="2262"/>
  <c r="AI132" i="2262" s="1"/>
  <c r="AH15" i="2262"/>
  <c r="AI15" i="2262" s="1"/>
  <c r="AH19" i="2262"/>
  <c r="AI19" i="2262" s="1"/>
  <c r="AH24" i="2262"/>
  <c r="AI24" i="2262" s="1"/>
  <c r="AH39" i="2262"/>
  <c r="AI39" i="2262" s="1"/>
  <c r="AH17" i="2262"/>
  <c r="AI17" i="2262" s="1"/>
  <c r="AH25" i="2262"/>
  <c r="AI25" i="2262" s="1"/>
  <c r="AH30" i="2262"/>
  <c r="AI30" i="2262" s="1"/>
  <c r="AH38" i="2262"/>
  <c r="AI38" i="2262" s="1"/>
  <c r="AH13" i="2262"/>
  <c r="AI13" i="2262" s="1"/>
  <c r="AH18" i="2262"/>
  <c r="AI18" i="2262" s="1"/>
  <c r="AH26" i="2262"/>
  <c r="AI26" i="2262" s="1"/>
  <c r="AH31" i="2262"/>
  <c r="AI31" i="2262" s="1"/>
  <c r="AH40" i="2262"/>
  <c r="AI40" i="2262" s="1"/>
  <c r="AH51" i="2262"/>
  <c r="AI51" i="2262" s="1"/>
  <c r="AH9" i="2262"/>
  <c r="AI9" i="2262" s="1"/>
  <c r="AH73" i="2262"/>
  <c r="AI73" i="2262" s="1"/>
  <c r="AH8" i="2262"/>
  <c r="AI8" i="2262" s="1"/>
  <c r="AH33" i="2262"/>
  <c r="AI33" i="2262" s="1"/>
  <c r="AH122" i="2262"/>
  <c r="AI122" i="2262" s="1"/>
  <c r="AH165" i="2262"/>
  <c r="AI165" i="2262" s="1"/>
  <c r="AH170" i="2262"/>
  <c r="AI170" i="2262" s="1"/>
  <c r="AH176" i="2262"/>
  <c r="AI176" i="2262" s="1"/>
  <c r="AH123" i="2262"/>
  <c r="AI123" i="2262" s="1"/>
  <c r="AH180" i="2262"/>
  <c r="AI180" i="2262" s="1"/>
  <c r="AI189" i="2262"/>
  <c r="AH172" i="2262"/>
  <c r="AI172" i="2262" s="1"/>
  <c r="AH177" i="2262"/>
  <c r="AI177" i="2262" s="1"/>
  <c r="AH183" i="2262"/>
  <c r="AI183" i="2262" s="1"/>
  <c r="AH52" i="2262"/>
  <c r="AI52" i="2262" s="1"/>
  <c r="AH185" i="2262"/>
  <c r="AI185" i="2262" s="1"/>
  <c r="AH167" i="2262"/>
  <c r="AI167" i="2262" s="1"/>
  <c r="AH32" i="2262"/>
  <c r="AI32" i="2262" s="1"/>
  <c r="AH175" i="2262"/>
  <c r="AI175" i="2262" s="1"/>
  <c r="AH182" i="2262"/>
  <c r="AI182" i="2262" s="1"/>
  <c r="AH166" i="2262"/>
  <c r="AI166" i="2262" s="1"/>
  <c r="AH181" i="2262"/>
  <c r="AI181" i="2262" s="1"/>
  <c r="AH184" i="2262"/>
  <c r="AI184" i="2262" s="1"/>
  <c r="AH173" i="2262"/>
  <c r="AI173" i="2262" s="1"/>
  <c r="AH178" i="2262"/>
  <c r="AI178" i="2262" s="1"/>
  <c r="AH168" i="2262"/>
  <c r="AI168" i="2262" s="1"/>
  <c r="AH69" i="2262"/>
  <c r="AI69" i="2262" s="1"/>
  <c r="AH179" i="2262"/>
  <c r="AI179" i="2262" s="1"/>
  <c r="AH11" i="2262"/>
  <c r="AI11" i="2262" s="1"/>
  <c r="AH325" i="2262"/>
  <c r="AI325" i="2262" s="1"/>
  <c r="AH322" i="2262"/>
  <c r="AI322" i="2262" s="1"/>
  <c r="AH327" i="2262"/>
  <c r="AI327" i="2262" s="1"/>
  <c r="AH142" i="2262"/>
  <c r="AI142" i="2262" s="1"/>
  <c r="AH34" i="2262"/>
  <c r="AI34" i="2262" s="1"/>
  <c r="AH7" i="2262"/>
  <c r="AI7" i="2262" s="1"/>
  <c r="AU299" i="2262"/>
  <c r="AU300" i="2262"/>
  <c r="AU228" i="2262"/>
  <c r="AK295" i="2262"/>
  <c r="AK291" i="2262"/>
  <c r="AK287" i="2262"/>
  <c r="AK298" i="2262"/>
  <c r="AK294" i="2262"/>
  <c r="AK290" i="2262"/>
  <c r="AK297" i="2262"/>
  <c r="AK293" i="2262"/>
  <c r="AK289" i="2262"/>
  <c r="AK296" i="2262"/>
  <c r="AK292" i="2262"/>
  <c r="AK288" i="2262"/>
  <c r="AK226" i="2262"/>
  <c r="AK222" i="2262"/>
  <c r="AK225" i="2262"/>
  <c r="AK224" i="2262"/>
  <c r="AK227" i="2262"/>
  <c r="AK223" i="2262"/>
  <c r="AK303" i="2262"/>
  <c r="AM303" i="2262" s="1"/>
  <c r="AN303" i="2262" s="1"/>
  <c r="AK304" i="2262"/>
  <c r="AM304" i="2262" s="1"/>
  <c r="AN304" i="2262" s="1"/>
  <c r="AK305" i="2262"/>
  <c r="AM305" i="2262" s="1"/>
  <c r="AN305" i="2262" s="1"/>
  <c r="AK306" i="2262"/>
  <c r="AM306" i="2262" s="1"/>
  <c r="AN306" i="2262" s="1"/>
  <c r="AK193" i="2262"/>
  <c r="AK194" i="2262"/>
  <c r="AK196" i="2262"/>
  <c r="AK201" i="2262"/>
  <c r="AK202" i="2262"/>
  <c r="AK203" i="2262"/>
  <c r="AK204" i="2262"/>
  <c r="AK205" i="2262"/>
  <c r="AK207" i="2262"/>
  <c r="AK208" i="2262"/>
  <c r="AK209" i="2262"/>
  <c r="AK218" i="2262"/>
  <c r="AK230" i="2262"/>
  <c r="AK231" i="2262"/>
  <c r="AK232" i="2262"/>
  <c r="AK233" i="2262"/>
  <c r="AK234" i="2262"/>
  <c r="AK237" i="2262"/>
  <c r="AK238" i="2262"/>
  <c r="AK239" i="2262"/>
  <c r="AK243" i="2262"/>
  <c r="AK244" i="2262"/>
  <c r="AK245" i="2262"/>
  <c r="AK246" i="2262"/>
  <c r="AK247" i="2262"/>
  <c r="AK248" i="2262"/>
  <c r="AK249" i="2262"/>
  <c r="AK250" i="2262"/>
  <c r="AK254" i="2262"/>
  <c r="AK255" i="2262"/>
  <c r="AK258" i="2262"/>
  <c r="AK259" i="2262"/>
  <c r="AK263" i="2262"/>
  <c r="AK264" i="2262"/>
  <c r="AK265" i="2262"/>
  <c r="AK266" i="2262"/>
  <c r="AK271" i="2262"/>
  <c r="AK277" i="2262"/>
  <c r="AK278" i="2262"/>
  <c r="AK279" i="2262"/>
  <c r="AK301" i="2262"/>
  <c r="AK195" i="2262"/>
  <c r="AK197" i="2262"/>
  <c r="AK198" i="2262"/>
  <c r="AK199" i="2262"/>
  <c r="AK200" i="2262"/>
  <c r="AK206" i="2262"/>
  <c r="AK210" i="2262"/>
  <c r="AK211" i="2262"/>
  <c r="AK212" i="2262"/>
  <c r="AK213" i="2262"/>
  <c r="AK214" i="2262"/>
  <c r="AK215" i="2262"/>
  <c r="AK216" i="2262"/>
  <c r="AK217" i="2262"/>
  <c r="AK219" i="2262"/>
  <c r="AK220" i="2262"/>
  <c r="AK221" i="2262"/>
  <c r="AK229" i="2262"/>
  <c r="AK235" i="2262"/>
  <c r="AK236" i="2262"/>
  <c r="AK240" i="2262"/>
  <c r="AK241" i="2262"/>
  <c r="AK242" i="2262"/>
  <c r="AK251" i="2262"/>
  <c r="AK252" i="2262"/>
  <c r="AK253" i="2262"/>
  <c r="AK256" i="2262"/>
  <c r="AK257" i="2262"/>
  <c r="AK260" i="2262"/>
  <c r="AK261" i="2262"/>
  <c r="AK262" i="2262"/>
  <c r="AK267" i="2262"/>
  <c r="AK268" i="2262"/>
  <c r="AK269" i="2262"/>
  <c r="AK270" i="2262"/>
  <c r="AK272" i="2262"/>
  <c r="AK273" i="2262"/>
  <c r="AK274" i="2262"/>
  <c r="AK275" i="2262"/>
  <c r="AK276" i="2262"/>
  <c r="AK280" i="2262"/>
  <c r="AK281" i="2262"/>
  <c r="AK282" i="2262"/>
  <c r="AK283" i="2262"/>
  <c r="AK284" i="2262"/>
  <c r="AK285" i="2262"/>
  <c r="AK286" i="2262"/>
  <c r="AB44" i="2262"/>
  <c r="O44" i="2262"/>
  <c r="O46" i="2262"/>
  <c r="AB46" i="2262"/>
  <c r="O45" i="2262"/>
  <c r="AB45" i="2262"/>
  <c r="AH45" i="2262" l="1"/>
  <c r="AM285" i="2262"/>
  <c r="AN285" i="2262" s="1"/>
  <c r="AU285" i="2262" s="1"/>
  <c r="AM283" i="2262"/>
  <c r="AN283" i="2262" s="1"/>
  <c r="AU283" i="2262" s="1"/>
  <c r="AM276" i="2262"/>
  <c r="AN276" i="2262" s="1"/>
  <c r="AU276" i="2262" s="1"/>
  <c r="AM272" i="2262"/>
  <c r="AN272" i="2262" s="1"/>
  <c r="AM267" i="2262"/>
  <c r="AN267" i="2262" s="1"/>
  <c r="AU267" i="2262" s="1"/>
  <c r="AM261" i="2262"/>
  <c r="AN261" i="2262" s="1"/>
  <c r="AU261" i="2262" s="1"/>
  <c r="AM253" i="2262"/>
  <c r="AN253" i="2262" s="1"/>
  <c r="AM241" i="2262"/>
  <c r="AN241" i="2262" s="1"/>
  <c r="AM229" i="2262"/>
  <c r="AN229" i="2262" s="1"/>
  <c r="AU229" i="2262" s="1"/>
  <c r="AM217" i="2262"/>
  <c r="AN217" i="2262" s="1"/>
  <c r="AU217" i="2262" s="1"/>
  <c r="AM215" i="2262"/>
  <c r="AN215" i="2262" s="1"/>
  <c r="AU215" i="2262" s="1"/>
  <c r="AM211" i="2262"/>
  <c r="AN211" i="2262" s="1"/>
  <c r="AU211" i="2262" s="1"/>
  <c r="AM199" i="2262"/>
  <c r="AN199" i="2262" s="1"/>
  <c r="AM301" i="2262"/>
  <c r="AN301" i="2262" s="1"/>
  <c r="AU301" i="2262" s="1"/>
  <c r="AM278" i="2262"/>
  <c r="AN278" i="2262" s="1"/>
  <c r="AU278" i="2262" s="1"/>
  <c r="AM265" i="2262"/>
  <c r="AN265" i="2262" s="1"/>
  <c r="AM263" i="2262"/>
  <c r="AN263" i="2262" s="1"/>
  <c r="AU263" i="2262" s="1"/>
  <c r="AM254" i="2262"/>
  <c r="AN254" i="2262" s="1"/>
  <c r="AM249" i="2262"/>
  <c r="AN249" i="2262" s="1"/>
  <c r="AU249" i="2262" s="1"/>
  <c r="AM245" i="2262"/>
  <c r="AN245" i="2262" s="1"/>
  <c r="AU245" i="2262" s="1"/>
  <c r="AM238" i="2262"/>
  <c r="AN238" i="2262" s="1"/>
  <c r="AM286" i="2262"/>
  <c r="AN286" i="2262" s="1"/>
  <c r="AM284" i="2262"/>
  <c r="AN284" i="2262" s="1"/>
  <c r="AM282" i="2262"/>
  <c r="AN282" i="2262" s="1"/>
  <c r="AM280" i="2262"/>
  <c r="AN280" i="2262" s="1"/>
  <c r="AM275" i="2262"/>
  <c r="AN275" i="2262" s="1"/>
  <c r="AM273" i="2262"/>
  <c r="AN273" i="2262" s="1"/>
  <c r="AM270" i="2262"/>
  <c r="AN270" i="2262" s="1"/>
  <c r="AU270" i="2262" s="1"/>
  <c r="AM268" i="2262"/>
  <c r="AN268" i="2262" s="1"/>
  <c r="AU268" i="2262" s="1"/>
  <c r="AM262" i="2262"/>
  <c r="AN262" i="2262" s="1"/>
  <c r="AM260" i="2262"/>
  <c r="AN260" i="2262" s="1"/>
  <c r="AM256" i="2262"/>
  <c r="AN256" i="2262" s="1"/>
  <c r="AM252" i="2262"/>
  <c r="AN252" i="2262" s="1"/>
  <c r="AM242" i="2262"/>
  <c r="AN242" i="2262" s="1"/>
  <c r="AU242" i="2262" s="1"/>
  <c r="AM240" i="2262"/>
  <c r="AN240" i="2262" s="1"/>
  <c r="AU240" i="2262" s="1"/>
  <c r="AM235" i="2262"/>
  <c r="AN235" i="2262" s="1"/>
  <c r="AU235" i="2262" s="1"/>
  <c r="AM221" i="2262"/>
  <c r="AN221" i="2262" s="1"/>
  <c r="AU221" i="2262" s="1"/>
  <c r="AM219" i="2262"/>
  <c r="AN219" i="2262" s="1"/>
  <c r="AM216" i="2262"/>
  <c r="AN216" i="2262" s="1"/>
  <c r="AM214" i="2262"/>
  <c r="AN214" i="2262" s="1"/>
  <c r="AM212" i="2262"/>
  <c r="AN212" i="2262" s="1"/>
  <c r="AM210" i="2262"/>
  <c r="AN210" i="2262" s="1"/>
  <c r="AU210" i="2262" s="1"/>
  <c r="AM200" i="2262"/>
  <c r="AN200" i="2262" s="1"/>
  <c r="AM198" i="2262"/>
  <c r="AN198" i="2262" s="1"/>
  <c r="AU198" i="2262" s="1"/>
  <c r="AM195" i="2262"/>
  <c r="AN195" i="2262" s="1"/>
  <c r="AU195" i="2262" s="1"/>
  <c r="AM279" i="2262"/>
  <c r="AN279" i="2262" s="1"/>
  <c r="AM277" i="2262"/>
  <c r="AN277" i="2262" s="1"/>
  <c r="AM266" i="2262"/>
  <c r="AN266" i="2262" s="1"/>
  <c r="AM264" i="2262"/>
  <c r="AN264" i="2262" s="1"/>
  <c r="AM259" i="2262"/>
  <c r="AN259" i="2262" s="1"/>
  <c r="AM255" i="2262"/>
  <c r="AN255" i="2262" s="1"/>
  <c r="AU255" i="2262" s="1"/>
  <c r="AM250" i="2262"/>
  <c r="AN250" i="2262" s="1"/>
  <c r="AU250" i="2262" s="1"/>
  <c r="AM248" i="2262"/>
  <c r="AN248" i="2262" s="1"/>
  <c r="AU248" i="2262" s="1"/>
  <c r="AM246" i="2262"/>
  <c r="AN246" i="2262" s="1"/>
  <c r="AM244" i="2262"/>
  <c r="AN244" i="2262" s="1"/>
  <c r="AM239" i="2262"/>
  <c r="AN239" i="2262" s="1"/>
  <c r="AU239" i="2262" s="1"/>
  <c r="AM237" i="2262"/>
  <c r="AN237" i="2262" s="1"/>
  <c r="AM233" i="2262"/>
  <c r="AN233" i="2262" s="1"/>
  <c r="AU233" i="2262" s="1"/>
  <c r="AM231" i="2262"/>
  <c r="AN231" i="2262" s="1"/>
  <c r="AU231" i="2262" s="1"/>
  <c r="AM218" i="2262"/>
  <c r="AN218" i="2262" s="1"/>
  <c r="AU218" i="2262" s="1"/>
  <c r="AM208" i="2262"/>
  <c r="AN208" i="2262" s="1"/>
  <c r="AU208" i="2262" s="1"/>
  <c r="AM205" i="2262"/>
  <c r="AN205" i="2262" s="1"/>
  <c r="AM203" i="2262"/>
  <c r="AN203" i="2262" s="1"/>
  <c r="AM201" i="2262"/>
  <c r="AN201" i="2262" s="1"/>
  <c r="AU201" i="2262" s="1"/>
  <c r="AM194" i="2262"/>
  <c r="AN194" i="2262" s="1"/>
  <c r="AM223" i="2262"/>
  <c r="AN223" i="2262" s="1"/>
  <c r="AU223" i="2262" s="1"/>
  <c r="AM224" i="2262"/>
  <c r="AN224" i="2262" s="1"/>
  <c r="AU224" i="2262" s="1"/>
  <c r="AM222" i="2262"/>
  <c r="AN222" i="2262" s="1"/>
  <c r="AU222" i="2262" s="1"/>
  <c r="AM288" i="2262"/>
  <c r="AN288" i="2262" s="1"/>
  <c r="AU288" i="2262" s="1"/>
  <c r="AM296" i="2262"/>
  <c r="AN296" i="2262" s="1"/>
  <c r="AU296" i="2262" s="1"/>
  <c r="AM293" i="2262"/>
  <c r="AN293" i="2262" s="1"/>
  <c r="AU293" i="2262" s="1"/>
  <c r="AM290" i="2262"/>
  <c r="AN290" i="2262" s="1"/>
  <c r="AU290" i="2262" s="1"/>
  <c r="AM298" i="2262"/>
  <c r="AN298" i="2262" s="1"/>
  <c r="AU298" i="2262" s="1"/>
  <c r="AM291" i="2262"/>
  <c r="AN291" i="2262" s="1"/>
  <c r="AU291" i="2262" s="1"/>
  <c r="AH46" i="2262"/>
  <c r="AI46" i="2262" s="1"/>
  <c r="AI45" i="2262"/>
  <c r="AH44" i="2262"/>
  <c r="AI44" i="2262" s="1"/>
  <c r="AM281" i="2262"/>
  <c r="AN281" i="2262" s="1"/>
  <c r="AM274" i="2262"/>
  <c r="AN274" i="2262" s="1"/>
  <c r="AM269" i="2262"/>
  <c r="AN269" i="2262" s="1"/>
  <c r="AU269" i="2262" s="1"/>
  <c r="AM257" i="2262"/>
  <c r="AN257" i="2262" s="1"/>
  <c r="AT257" i="2262" s="1"/>
  <c r="AM251" i="2262"/>
  <c r="AN251" i="2262" s="1"/>
  <c r="AU251" i="2262" s="1"/>
  <c r="AM236" i="2262"/>
  <c r="AN236" i="2262" s="1"/>
  <c r="AU236" i="2262" s="1"/>
  <c r="AM220" i="2262"/>
  <c r="AN220" i="2262" s="1"/>
  <c r="AU220" i="2262" s="1"/>
  <c r="AM213" i="2262"/>
  <c r="AN213" i="2262" s="1"/>
  <c r="AM206" i="2262"/>
  <c r="AN206" i="2262" s="1"/>
  <c r="AM197" i="2262"/>
  <c r="AN197" i="2262" s="1"/>
  <c r="AU197" i="2262" s="1"/>
  <c r="AM271" i="2262"/>
  <c r="AN271" i="2262" s="1"/>
  <c r="AM258" i="2262"/>
  <c r="AN258" i="2262" s="1"/>
  <c r="AM247" i="2262"/>
  <c r="AN247" i="2262" s="1"/>
  <c r="AU247" i="2262" s="1"/>
  <c r="AM243" i="2262"/>
  <c r="AN243" i="2262" s="1"/>
  <c r="AU243" i="2262" s="1"/>
  <c r="AM234" i="2262"/>
  <c r="AN234" i="2262" s="1"/>
  <c r="AU234" i="2262" s="1"/>
  <c r="AM232" i="2262"/>
  <c r="AN232" i="2262" s="1"/>
  <c r="AM230" i="2262"/>
  <c r="AN230" i="2262" s="1"/>
  <c r="AM209" i="2262"/>
  <c r="AN209" i="2262" s="1"/>
  <c r="AU209" i="2262" s="1"/>
  <c r="AM207" i="2262"/>
  <c r="AN207" i="2262" s="1"/>
  <c r="AM204" i="2262"/>
  <c r="AN204" i="2262" s="1"/>
  <c r="AU204" i="2262" s="1"/>
  <c r="AM202" i="2262"/>
  <c r="AN202" i="2262" s="1"/>
  <c r="AU202" i="2262" s="1"/>
  <c r="AM196" i="2262"/>
  <c r="AN196" i="2262" s="1"/>
  <c r="AM193" i="2262"/>
  <c r="AN193" i="2262" s="1"/>
  <c r="AU193" i="2262" s="1"/>
  <c r="AM227" i="2262"/>
  <c r="AN227" i="2262" s="1"/>
  <c r="AU227" i="2262" s="1"/>
  <c r="AM225" i="2262"/>
  <c r="AN225" i="2262" s="1"/>
  <c r="AU225" i="2262" s="1"/>
  <c r="AM226" i="2262"/>
  <c r="AN226" i="2262" s="1"/>
  <c r="AU226" i="2262" s="1"/>
  <c r="AM292" i="2262"/>
  <c r="AN292" i="2262" s="1"/>
  <c r="AU292" i="2262" s="1"/>
  <c r="AM289" i="2262"/>
  <c r="AN289" i="2262" s="1"/>
  <c r="AU289" i="2262" s="1"/>
  <c r="AM297" i="2262"/>
  <c r="AN297" i="2262" s="1"/>
  <c r="AU297" i="2262" s="1"/>
  <c r="AM294" i="2262"/>
  <c r="AN294" i="2262" s="1"/>
  <c r="AU294" i="2262" s="1"/>
  <c r="AM287" i="2262"/>
  <c r="AN287" i="2262" s="1"/>
  <c r="AU287" i="2262" s="1"/>
  <c r="AM295" i="2262"/>
  <c r="AN295" i="2262" s="1"/>
  <c r="AU295" i="2262" s="1"/>
  <c r="AU304" i="2262"/>
  <c r="AU303" i="2262"/>
  <c r="AU306" i="2262"/>
  <c r="AU305" i="2262"/>
  <c r="AO54" i="2262"/>
  <c r="BA54" i="2262"/>
  <c r="AZ54" i="2262"/>
  <c r="AY54" i="2262"/>
  <c r="AX54" i="2262"/>
  <c r="AW54" i="2262"/>
  <c r="AS54" i="2262"/>
  <c r="AV54" i="2262"/>
  <c r="AQ54" i="2262"/>
  <c r="AR54" i="2262"/>
  <c r="AP54" i="2262"/>
  <c r="AO85" i="2262"/>
  <c r="BA85" i="2262"/>
  <c r="AZ85" i="2262"/>
  <c r="AY85" i="2262"/>
  <c r="AW85" i="2262"/>
  <c r="AX85" i="2262"/>
  <c r="AV85" i="2262"/>
  <c r="AS85" i="2262"/>
  <c r="AR85" i="2262"/>
  <c r="AP85" i="2262"/>
  <c r="AQ85" i="2262"/>
  <c r="AO148" i="2262"/>
  <c r="BA148" i="2262"/>
  <c r="AZ148" i="2262"/>
  <c r="AY148" i="2262"/>
  <c r="AX148" i="2262"/>
  <c r="AW148" i="2262"/>
  <c r="AS148" i="2262"/>
  <c r="AV148" i="2262"/>
  <c r="AQ148" i="2262"/>
  <c r="AR148" i="2262"/>
  <c r="AP148" i="2262"/>
  <c r="AO77" i="2262"/>
  <c r="BA77" i="2262"/>
  <c r="AZ77" i="2262"/>
  <c r="AY77" i="2262"/>
  <c r="AW77" i="2262"/>
  <c r="AX77" i="2262"/>
  <c r="AV77" i="2262"/>
  <c r="AS77" i="2262"/>
  <c r="AR77" i="2262"/>
  <c r="AP77" i="2262"/>
  <c r="AQ77" i="2262"/>
  <c r="AO302" i="2262"/>
  <c r="BA302" i="2262"/>
  <c r="AZ302" i="2262"/>
  <c r="AY302" i="2262"/>
  <c r="AX302" i="2262"/>
  <c r="AW302" i="2262"/>
  <c r="AS302" i="2262"/>
  <c r="AV302" i="2262"/>
  <c r="AQ302" i="2262"/>
  <c r="AR302" i="2262"/>
  <c r="AP302" i="2262"/>
  <c r="AO325" i="2262"/>
  <c r="BA325" i="2262"/>
  <c r="AZ325" i="2262"/>
  <c r="AY325" i="2262"/>
  <c r="AW325" i="2262"/>
  <c r="AX325" i="2262"/>
  <c r="AV325" i="2262"/>
  <c r="AS325" i="2262"/>
  <c r="AR325" i="2262"/>
  <c r="AP325" i="2262"/>
  <c r="AQ325" i="2262"/>
  <c r="AO18" i="2262"/>
  <c r="BA18" i="2262"/>
  <c r="AZ18" i="2262"/>
  <c r="AX18" i="2262"/>
  <c r="AY18" i="2262"/>
  <c r="AW18" i="2262"/>
  <c r="AS18" i="2262"/>
  <c r="AV18" i="2262"/>
  <c r="AQ18" i="2262"/>
  <c r="AR18" i="2262"/>
  <c r="AP18" i="2262"/>
  <c r="AO34" i="2262"/>
  <c r="BA34" i="2262"/>
  <c r="AZ34" i="2262"/>
  <c r="AX34" i="2262"/>
  <c r="AY34" i="2262"/>
  <c r="AW34" i="2262"/>
  <c r="AS34" i="2262"/>
  <c r="AV34" i="2262"/>
  <c r="AQ34" i="2262"/>
  <c r="AR34" i="2262"/>
  <c r="AP34" i="2262"/>
  <c r="AO17" i="2262"/>
  <c r="BA17" i="2262"/>
  <c r="AZ17" i="2262"/>
  <c r="AY17" i="2262"/>
  <c r="AX17" i="2262"/>
  <c r="AV17" i="2262"/>
  <c r="AW17" i="2262"/>
  <c r="AS17" i="2262"/>
  <c r="AR17" i="2262"/>
  <c r="AP17" i="2262"/>
  <c r="AQ17" i="2262"/>
  <c r="AO92" i="2262"/>
  <c r="BA92" i="2262"/>
  <c r="AZ92" i="2262"/>
  <c r="AY92" i="2262"/>
  <c r="AX92" i="2262"/>
  <c r="AW92" i="2262"/>
  <c r="AS92" i="2262"/>
  <c r="AV92" i="2262"/>
  <c r="AQ92" i="2262"/>
  <c r="AR92" i="2262"/>
  <c r="AP92" i="2262"/>
  <c r="AO163" i="2262"/>
  <c r="BA163" i="2262"/>
  <c r="AZ163" i="2262"/>
  <c r="AY163" i="2262"/>
  <c r="AW163" i="2262"/>
  <c r="AX163" i="2262"/>
  <c r="AV163" i="2262"/>
  <c r="AS163" i="2262"/>
  <c r="AR163" i="2262"/>
  <c r="AP163" i="2262"/>
  <c r="AQ163" i="2262"/>
  <c r="AO327" i="2262"/>
  <c r="BA327" i="2262"/>
  <c r="AZ327" i="2262"/>
  <c r="AY327" i="2262"/>
  <c r="AW327" i="2262"/>
  <c r="AX327" i="2262"/>
  <c r="AV327" i="2262"/>
  <c r="AS327" i="2262"/>
  <c r="AP327" i="2262"/>
  <c r="AR327" i="2262"/>
  <c r="AQ327" i="2262"/>
  <c r="AO152" i="2262"/>
  <c r="BA152" i="2262"/>
  <c r="AZ152" i="2262"/>
  <c r="AY152" i="2262"/>
  <c r="AX152" i="2262"/>
  <c r="AW152" i="2262"/>
  <c r="AS152" i="2262"/>
  <c r="AV152" i="2262"/>
  <c r="AQ152" i="2262"/>
  <c r="AR152" i="2262"/>
  <c r="AP152" i="2262"/>
  <c r="AO171" i="2262"/>
  <c r="BA171" i="2262"/>
  <c r="AZ171" i="2262"/>
  <c r="AY171" i="2262"/>
  <c r="AW171" i="2262"/>
  <c r="AX171" i="2262"/>
  <c r="AV171" i="2262"/>
  <c r="AS171" i="2262"/>
  <c r="AR171" i="2262"/>
  <c r="AP171" i="2262"/>
  <c r="AQ171" i="2262"/>
  <c r="AO130" i="2262"/>
  <c r="BA130" i="2262"/>
  <c r="AZ130" i="2262"/>
  <c r="AY130" i="2262"/>
  <c r="AX130" i="2262"/>
  <c r="AW130" i="2262"/>
  <c r="AS130" i="2262"/>
  <c r="AV130" i="2262"/>
  <c r="AQ130" i="2262"/>
  <c r="AR130" i="2262"/>
  <c r="AP130" i="2262"/>
  <c r="AO30" i="2262"/>
  <c r="BA30" i="2262"/>
  <c r="AZ30" i="2262"/>
  <c r="AX30" i="2262"/>
  <c r="AY30" i="2262"/>
  <c r="AW30" i="2262"/>
  <c r="AS30" i="2262"/>
  <c r="AV30" i="2262"/>
  <c r="AQ30" i="2262"/>
  <c r="AR30" i="2262"/>
  <c r="AP30" i="2262"/>
  <c r="AO158" i="2262"/>
  <c r="BA158" i="2262"/>
  <c r="AZ158" i="2262"/>
  <c r="AY158" i="2262"/>
  <c r="AX158" i="2262"/>
  <c r="AW158" i="2262"/>
  <c r="AS158" i="2262"/>
  <c r="AV158" i="2262"/>
  <c r="AQ158" i="2262"/>
  <c r="AR158" i="2262"/>
  <c r="AP158" i="2262"/>
  <c r="AO144" i="2262"/>
  <c r="BA144" i="2262"/>
  <c r="AZ144" i="2262"/>
  <c r="AY144" i="2262"/>
  <c r="AX144" i="2262"/>
  <c r="AW144" i="2262"/>
  <c r="AS144" i="2262"/>
  <c r="AV144" i="2262"/>
  <c r="AQ144" i="2262"/>
  <c r="AR144" i="2262"/>
  <c r="AP144" i="2262"/>
  <c r="AO147" i="2262"/>
  <c r="BA147" i="2262"/>
  <c r="AZ147" i="2262"/>
  <c r="AY147" i="2262"/>
  <c r="AW147" i="2262"/>
  <c r="AX147" i="2262"/>
  <c r="AV147" i="2262"/>
  <c r="AS147" i="2262"/>
  <c r="AR147" i="2262"/>
  <c r="AP147" i="2262"/>
  <c r="AQ147" i="2262"/>
  <c r="AO11" i="2262"/>
  <c r="BA11" i="2262"/>
  <c r="AZ11" i="2262"/>
  <c r="AY11" i="2262"/>
  <c r="AX11" i="2262"/>
  <c r="AV11" i="2262"/>
  <c r="AW11" i="2262"/>
  <c r="AS11" i="2262"/>
  <c r="AR11" i="2262"/>
  <c r="AP11" i="2262"/>
  <c r="AQ11" i="2262"/>
  <c r="AO36" i="2262"/>
  <c r="BA36" i="2262"/>
  <c r="AZ36" i="2262"/>
  <c r="AX36" i="2262"/>
  <c r="AY36" i="2262"/>
  <c r="AW36" i="2262"/>
  <c r="AS36" i="2262"/>
  <c r="AV36" i="2262"/>
  <c r="AQ36" i="2262"/>
  <c r="AR36" i="2262"/>
  <c r="AP36" i="2262"/>
  <c r="AO83" i="2262"/>
  <c r="BA83" i="2262"/>
  <c r="AZ83" i="2262"/>
  <c r="AY83" i="2262"/>
  <c r="AW83" i="2262"/>
  <c r="AX83" i="2262"/>
  <c r="AV83" i="2262"/>
  <c r="AS83" i="2262"/>
  <c r="AR83" i="2262"/>
  <c r="AP83" i="2262"/>
  <c r="AQ83" i="2262"/>
  <c r="AO89" i="2262"/>
  <c r="BA89" i="2262"/>
  <c r="AZ89" i="2262"/>
  <c r="AY89" i="2262"/>
  <c r="AW89" i="2262"/>
  <c r="AX89" i="2262"/>
  <c r="AV89" i="2262"/>
  <c r="AS89" i="2262"/>
  <c r="AR89" i="2262"/>
  <c r="AP89" i="2262"/>
  <c r="AQ89" i="2262"/>
  <c r="AO126" i="2262"/>
  <c r="BA126" i="2262"/>
  <c r="AZ126" i="2262"/>
  <c r="AY126" i="2262"/>
  <c r="AX126" i="2262"/>
  <c r="AW126" i="2262"/>
  <c r="AS126" i="2262"/>
  <c r="AV126" i="2262"/>
  <c r="AQ126" i="2262"/>
  <c r="AR126" i="2262"/>
  <c r="AP126" i="2262"/>
  <c r="AO322" i="2262"/>
  <c r="BA322" i="2262"/>
  <c r="AZ322" i="2262"/>
  <c r="AY322" i="2262"/>
  <c r="AX322" i="2262"/>
  <c r="AW322" i="2262"/>
  <c r="AS322" i="2262"/>
  <c r="AV322" i="2262"/>
  <c r="AR322" i="2262"/>
  <c r="AQ322" i="2262"/>
  <c r="AP322" i="2262"/>
  <c r="AO185" i="2262"/>
  <c r="BA185" i="2262"/>
  <c r="AZ185" i="2262"/>
  <c r="AY185" i="2262"/>
  <c r="AW185" i="2262"/>
  <c r="AX185" i="2262"/>
  <c r="AV185" i="2262"/>
  <c r="AS185" i="2262"/>
  <c r="AR185" i="2262"/>
  <c r="AP185" i="2262"/>
  <c r="AQ185" i="2262"/>
  <c r="AO73" i="2262"/>
  <c r="BA73" i="2262"/>
  <c r="AZ73" i="2262"/>
  <c r="AY73" i="2262"/>
  <c r="AW73" i="2262"/>
  <c r="AX73" i="2262"/>
  <c r="AV73" i="2262"/>
  <c r="AS73" i="2262"/>
  <c r="AR73" i="2262"/>
  <c r="AP73" i="2262"/>
  <c r="AQ73" i="2262"/>
  <c r="AO25" i="2262"/>
  <c r="BA25" i="2262"/>
  <c r="AZ25" i="2262"/>
  <c r="AY25" i="2262"/>
  <c r="AW25" i="2262"/>
  <c r="AX25" i="2262"/>
  <c r="AV25" i="2262"/>
  <c r="AS25" i="2262"/>
  <c r="AR25" i="2262"/>
  <c r="AP25" i="2262"/>
  <c r="AQ25" i="2262"/>
  <c r="AO81" i="2262"/>
  <c r="BA81" i="2262"/>
  <c r="AZ81" i="2262"/>
  <c r="AY81" i="2262"/>
  <c r="AW81" i="2262"/>
  <c r="AX81" i="2262"/>
  <c r="AV81" i="2262"/>
  <c r="AS81" i="2262"/>
  <c r="AR81" i="2262"/>
  <c r="AP81" i="2262"/>
  <c r="AQ81" i="2262"/>
  <c r="AO93" i="2262"/>
  <c r="BA93" i="2262"/>
  <c r="AZ93" i="2262"/>
  <c r="AY93" i="2262"/>
  <c r="AW93" i="2262"/>
  <c r="AX93" i="2262"/>
  <c r="AV93" i="2262"/>
  <c r="AS93" i="2262"/>
  <c r="AR93" i="2262"/>
  <c r="AP93" i="2262"/>
  <c r="AQ93" i="2262"/>
  <c r="AO72" i="2262"/>
  <c r="BA72" i="2262"/>
  <c r="AZ72" i="2262"/>
  <c r="AX72" i="2262"/>
  <c r="AY72" i="2262"/>
  <c r="AW72" i="2262"/>
  <c r="AS72" i="2262"/>
  <c r="AV72" i="2262"/>
  <c r="AQ72" i="2262"/>
  <c r="AR72" i="2262"/>
  <c r="AP72" i="2262"/>
  <c r="AO153" i="2262"/>
  <c r="BA153" i="2262"/>
  <c r="AZ153" i="2262"/>
  <c r="AY153" i="2262"/>
  <c r="AW153" i="2262"/>
  <c r="AX153" i="2262"/>
  <c r="AV153" i="2262"/>
  <c r="AS153" i="2262"/>
  <c r="AR153" i="2262"/>
  <c r="AP153" i="2262"/>
  <c r="AQ153" i="2262"/>
  <c r="AO191" i="2262"/>
  <c r="BA191" i="2262"/>
  <c r="AZ191" i="2262"/>
  <c r="AY191" i="2262"/>
  <c r="AW191" i="2262"/>
  <c r="AX191" i="2262"/>
  <c r="AV191" i="2262"/>
  <c r="AS191" i="2262"/>
  <c r="AR191" i="2262"/>
  <c r="AP191" i="2262"/>
  <c r="AQ191" i="2262"/>
  <c r="AO182" i="2262"/>
  <c r="BA182" i="2262"/>
  <c r="AZ182" i="2262"/>
  <c r="AY182" i="2262"/>
  <c r="AX182" i="2262"/>
  <c r="AW182" i="2262"/>
  <c r="AS182" i="2262"/>
  <c r="AV182" i="2262"/>
  <c r="AQ182" i="2262"/>
  <c r="AR182" i="2262"/>
  <c r="AP182" i="2262"/>
  <c r="AO132" i="2262"/>
  <c r="BA132" i="2262"/>
  <c r="AZ132" i="2262"/>
  <c r="AY132" i="2262"/>
  <c r="AX132" i="2262"/>
  <c r="AW132" i="2262"/>
  <c r="AS132" i="2262"/>
  <c r="AV132" i="2262"/>
  <c r="AQ132" i="2262"/>
  <c r="AR132" i="2262"/>
  <c r="AP132" i="2262"/>
  <c r="AO135" i="2262"/>
  <c r="BA135" i="2262"/>
  <c r="AZ135" i="2262"/>
  <c r="AY135" i="2262"/>
  <c r="AW135" i="2262"/>
  <c r="AX135" i="2262"/>
  <c r="AV135" i="2262"/>
  <c r="AS135" i="2262"/>
  <c r="AR135" i="2262"/>
  <c r="AP135" i="2262"/>
  <c r="AQ135" i="2262"/>
  <c r="AO16" i="2262"/>
  <c r="BA16" i="2262"/>
  <c r="AZ16" i="2262"/>
  <c r="AX16" i="2262"/>
  <c r="AY16" i="2262"/>
  <c r="AW16" i="2262"/>
  <c r="AV16" i="2262"/>
  <c r="AS16" i="2262"/>
  <c r="AQ16" i="2262"/>
  <c r="AR16" i="2262"/>
  <c r="AP16" i="2262"/>
  <c r="AO122" i="2262"/>
  <c r="BA122" i="2262"/>
  <c r="AZ122" i="2262"/>
  <c r="AY122" i="2262"/>
  <c r="AX122" i="2262"/>
  <c r="AW122" i="2262"/>
  <c r="AS122" i="2262"/>
  <c r="AV122" i="2262"/>
  <c r="AQ122" i="2262"/>
  <c r="AR122" i="2262"/>
  <c r="AP122" i="2262"/>
  <c r="AO145" i="2262"/>
  <c r="BA145" i="2262"/>
  <c r="AZ145" i="2262"/>
  <c r="AY145" i="2262"/>
  <c r="AW145" i="2262"/>
  <c r="AX145" i="2262"/>
  <c r="AV145" i="2262"/>
  <c r="AS145" i="2262"/>
  <c r="AR145" i="2262"/>
  <c r="AP145" i="2262"/>
  <c r="AQ145" i="2262"/>
  <c r="AO35" i="2262"/>
  <c r="BA35" i="2262"/>
  <c r="AZ35" i="2262"/>
  <c r="AY35" i="2262"/>
  <c r="AW35" i="2262"/>
  <c r="AX35" i="2262"/>
  <c r="AV35" i="2262"/>
  <c r="AS35" i="2262"/>
  <c r="AR35" i="2262"/>
  <c r="AP35" i="2262"/>
  <c r="AQ35" i="2262"/>
  <c r="AO60" i="2262"/>
  <c r="BA60" i="2262"/>
  <c r="AZ60" i="2262"/>
  <c r="AX60" i="2262"/>
  <c r="AY60" i="2262"/>
  <c r="AW60" i="2262"/>
  <c r="AS60" i="2262"/>
  <c r="AV60" i="2262"/>
  <c r="AQ60" i="2262"/>
  <c r="AR60" i="2262"/>
  <c r="AP60" i="2262"/>
  <c r="AO139" i="2262"/>
  <c r="BA139" i="2262"/>
  <c r="AZ139" i="2262"/>
  <c r="AY139" i="2262"/>
  <c r="AW139" i="2262"/>
  <c r="AX139" i="2262"/>
  <c r="AV139" i="2262"/>
  <c r="AS139" i="2262"/>
  <c r="AR139" i="2262"/>
  <c r="AP139" i="2262"/>
  <c r="AQ139" i="2262"/>
  <c r="AO82" i="2262"/>
  <c r="BA82" i="2262"/>
  <c r="AZ82" i="2262"/>
  <c r="AY82" i="2262"/>
  <c r="AX82" i="2262"/>
  <c r="AW82" i="2262"/>
  <c r="AS82" i="2262"/>
  <c r="AV82" i="2262"/>
  <c r="AQ82" i="2262"/>
  <c r="AR82" i="2262"/>
  <c r="AP82" i="2262"/>
  <c r="AO58" i="2262"/>
  <c r="BA58" i="2262"/>
  <c r="AZ58" i="2262"/>
  <c r="AY58" i="2262"/>
  <c r="AX58" i="2262"/>
  <c r="AW58" i="2262"/>
  <c r="AS58" i="2262"/>
  <c r="AV58" i="2262"/>
  <c r="AQ58" i="2262"/>
  <c r="AR58" i="2262"/>
  <c r="AP58" i="2262"/>
  <c r="AO69" i="2262"/>
  <c r="BA69" i="2262"/>
  <c r="AZ69" i="2262"/>
  <c r="AY69" i="2262"/>
  <c r="AW69" i="2262"/>
  <c r="AX69" i="2262"/>
  <c r="AV69" i="2262"/>
  <c r="AS69" i="2262"/>
  <c r="AR69" i="2262"/>
  <c r="AP69" i="2262"/>
  <c r="AQ69" i="2262"/>
  <c r="AO21" i="2262"/>
  <c r="BA21" i="2262"/>
  <c r="AZ21" i="2262"/>
  <c r="AY21" i="2262"/>
  <c r="AX21" i="2262"/>
  <c r="AV21" i="2262"/>
  <c r="AW21" i="2262"/>
  <c r="AS21" i="2262"/>
  <c r="AR21" i="2262"/>
  <c r="AP21" i="2262"/>
  <c r="AQ21" i="2262"/>
  <c r="AO55" i="2262"/>
  <c r="BA55" i="2262"/>
  <c r="AZ55" i="2262"/>
  <c r="AY55" i="2262"/>
  <c r="AW55" i="2262"/>
  <c r="AX55" i="2262"/>
  <c r="AV55" i="2262"/>
  <c r="AS55" i="2262"/>
  <c r="AR55" i="2262"/>
  <c r="AP55" i="2262"/>
  <c r="AQ55" i="2262"/>
  <c r="AO94" i="2262"/>
  <c r="BA94" i="2262"/>
  <c r="AZ94" i="2262"/>
  <c r="AY94" i="2262"/>
  <c r="AX94" i="2262"/>
  <c r="AW94" i="2262"/>
  <c r="AS94" i="2262"/>
  <c r="AV94" i="2262"/>
  <c r="AQ94" i="2262"/>
  <c r="AR94" i="2262"/>
  <c r="AP94" i="2262"/>
  <c r="AO324" i="2262"/>
  <c r="BA324" i="2262"/>
  <c r="AZ324" i="2262"/>
  <c r="AY324" i="2262"/>
  <c r="AX324" i="2262"/>
  <c r="AW324" i="2262"/>
  <c r="AS324" i="2262"/>
  <c r="AV324" i="2262"/>
  <c r="AR324" i="2262"/>
  <c r="AQ324" i="2262"/>
  <c r="AP324" i="2262"/>
  <c r="AO33" i="2262"/>
  <c r="BA33" i="2262"/>
  <c r="AZ33" i="2262"/>
  <c r="AY33" i="2262"/>
  <c r="AW33" i="2262"/>
  <c r="AX33" i="2262"/>
  <c r="AV33" i="2262"/>
  <c r="AS33" i="2262"/>
  <c r="AR33" i="2262"/>
  <c r="AP33" i="2262"/>
  <c r="AQ33" i="2262"/>
  <c r="AO175" i="2262"/>
  <c r="BA175" i="2262"/>
  <c r="AZ175" i="2262"/>
  <c r="AY175" i="2262"/>
  <c r="AW175" i="2262"/>
  <c r="AX175" i="2262"/>
  <c r="AV175" i="2262"/>
  <c r="AS175" i="2262"/>
  <c r="AR175" i="2262"/>
  <c r="AP175" i="2262"/>
  <c r="AQ175" i="2262"/>
  <c r="AO142" i="2262"/>
  <c r="BA142" i="2262"/>
  <c r="AZ142" i="2262"/>
  <c r="AY142" i="2262"/>
  <c r="AX142" i="2262"/>
  <c r="AW142" i="2262"/>
  <c r="AS142" i="2262"/>
  <c r="AV142" i="2262"/>
  <c r="AQ142" i="2262"/>
  <c r="AR142" i="2262"/>
  <c r="AP142" i="2262"/>
  <c r="AO88" i="2262"/>
  <c r="BA88" i="2262"/>
  <c r="AZ88" i="2262"/>
  <c r="AY88" i="2262"/>
  <c r="AX88" i="2262"/>
  <c r="AW88" i="2262"/>
  <c r="AS88" i="2262"/>
  <c r="AV88" i="2262"/>
  <c r="AQ88" i="2262"/>
  <c r="AR88" i="2262"/>
  <c r="AP88" i="2262"/>
  <c r="AO79" i="2262"/>
  <c r="BA79" i="2262"/>
  <c r="AZ79" i="2262"/>
  <c r="AY79" i="2262"/>
  <c r="AW79" i="2262"/>
  <c r="AX79" i="2262"/>
  <c r="AV79" i="2262"/>
  <c r="AS79" i="2262"/>
  <c r="AR79" i="2262"/>
  <c r="AP79" i="2262"/>
  <c r="AQ79" i="2262"/>
  <c r="AO133" i="2262"/>
  <c r="BA133" i="2262"/>
  <c r="AZ133" i="2262"/>
  <c r="AY133" i="2262"/>
  <c r="AW133" i="2262"/>
  <c r="AX133" i="2262"/>
  <c r="AV133" i="2262"/>
  <c r="AS133" i="2262"/>
  <c r="AR133" i="2262"/>
  <c r="AP133" i="2262"/>
  <c r="AQ133" i="2262"/>
  <c r="AO123" i="2262"/>
  <c r="BA123" i="2262"/>
  <c r="AZ123" i="2262"/>
  <c r="AY123" i="2262"/>
  <c r="AW123" i="2262"/>
  <c r="AX123" i="2262"/>
  <c r="AV123" i="2262"/>
  <c r="AS123" i="2262"/>
  <c r="AR123" i="2262"/>
  <c r="AP123" i="2262"/>
  <c r="AQ123" i="2262"/>
  <c r="AO91" i="2262"/>
  <c r="BA91" i="2262"/>
  <c r="AZ91" i="2262"/>
  <c r="AY91" i="2262"/>
  <c r="AW91" i="2262"/>
  <c r="AX91" i="2262"/>
  <c r="AV91" i="2262"/>
  <c r="AS91" i="2262"/>
  <c r="AR91" i="2262"/>
  <c r="AP91" i="2262"/>
  <c r="AQ91" i="2262"/>
  <c r="AO125" i="2262"/>
  <c r="BA125" i="2262"/>
  <c r="AZ125" i="2262"/>
  <c r="AY125" i="2262"/>
  <c r="AW125" i="2262"/>
  <c r="AX125" i="2262"/>
  <c r="AV125" i="2262"/>
  <c r="AS125" i="2262"/>
  <c r="AR125" i="2262"/>
  <c r="AP125" i="2262"/>
  <c r="AQ125" i="2262"/>
  <c r="AO326" i="2262"/>
  <c r="BA326" i="2262"/>
  <c r="AZ326" i="2262"/>
  <c r="AY326" i="2262"/>
  <c r="AX326" i="2262"/>
  <c r="AW326" i="2262"/>
  <c r="AS326" i="2262"/>
  <c r="AV326" i="2262"/>
  <c r="AR326" i="2262"/>
  <c r="AQ326" i="2262"/>
  <c r="AP326" i="2262"/>
  <c r="AO169" i="2262"/>
  <c r="BA169" i="2262"/>
  <c r="AZ169" i="2262"/>
  <c r="AY169" i="2262"/>
  <c r="AW169" i="2262"/>
  <c r="AX169" i="2262"/>
  <c r="AV169" i="2262"/>
  <c r="AS169" i="2262"/>
  <c r="AR169" i="2262"/>
  <c r="AP169" i="2262"/>
  <c r="AQ169" i="2262"/>
  <c r="AO172" i="2262"/>
  <c r="BA172" i="2262"/>
  <c r="AZ172" i="2262"/>
  <c r="AY172" i="2262"/>
  <c r="AX172" i="2262"/>
  <c r="AW172" i="2262"/>
  <c r="AS172" i="2262"/>
  <c r="AV172" i="2262"/>
  <c r="AQ172" i="2262"/>
  <c r="AR172" i="2262"/>
  <c r="AP172" i="2262"/>
  <c r="AO160" i="2262"/>
  <c r="BA160" i="2262"/>
  <c r="AZ160" i="2262"/>
  <c r="AY160" i="2262"/>
  <c r="AX160" i="2262"/>
  <c r="AW160" i="2262"/>
  <c r="AS160" i="2262"/>
  <c r="AV160" i="2262"/>
  <c r="AQ160" i="2262"/>
  <c r="AR160" i="2262"/>
  <c r="AP160" i="2262"/>
  <c r="AO71" i="2262"/>
  <c r="BA71" i="2262"/>
  <c r="AZ71" i="2262"/>
  <c r="AY71" i="2262"/>
  <c r="AW71" i="2262"/>
  <c r="AX71" i="2262"/>
  <c r="AV71" i="2262"/>
  <c r="AS71" i="2262"/>
  <c r="AR71" i="2262"/>
  <c r="AP71" i="2262"/>
  <c r="AQ71" i="2262"/>
  <c r="AO28" i="2262"/>
  <c r="BA28" i="2262"/>
  <c r="AZ28" i="2262"/>
  <c r="AX28" i="2262"/>
  <c r="AY28" i="2262"/>
  <c r="AW28" i="2262"/>
  <c r="AS28" i="2262"/>
  <c r="AV28" i="2262"/>
  <c r="AQ28" i="2262"/>
  <c r="AR28" i="2262"/>
  <c r="AP28" i="2262"/>
  <c r="BA7" i="2262"/>
  <c r="AZ7" i="2262"/>
  <c r="AY7" i="2262"/>
  <c r="AX7" i="2262"/>
  <c r="AV7" i="2262"/>
  <c r="AW7" i="2262"/>
  <c r="AS7" i="2262"/>
  <c r="AR7" i="2262"/>
  <c r="AP7" i="2262"/>
  <c r="AQ7" i="2262"/>
  <c r="AO42" i="2262"/>
  <c r="BA42" i="2262"/>
  <c r="AZ42" i="2262"/>
  <c r="AY42" i="2262"/>
  <c r="AX42" i="2262"/>
  <c r="AW42" i="2262"/>
  <c r="AS42" i="2262"/>
  <c r="AV42" i="2262"/>
  <c r="AQ42" i="2262"/>
  <c r="AR42" i="2262"/>
  <c r="AP42" i="2262"/>
  <c r="AO32" i="2262"/>
  <c r="BA32" i="2262"/>
  <c r="AZ32" i="2262"/>
  <c r="AX32" i="2262"/>
  <c r="AY32" i="2262"/>
  <c r="AW32" i="2262"/>
  <c r="AS32" i="2262"/>
  <c r="AV32" i="2262"/>
  <c r="AQ32" i="2262"/>
  <c r="AR32" i="2262"/>
  <c r="AP32" i="2262"/>
  <c r="AO119" i="2262"/>
  <c r="BA119" i="2262"/>
  <c r="AZ119" i="2262"/>
  <c r="AY119" i="2262"/>
  <c r="AW119" i="2262"/>
  <c r="AX119" i="2262"/>
  <c r="AV119" i="2262"/>
  <c r="AS119" i="2262"/>
  <c r="AR119" i="2262"/>
  <c r="AP119" i="2262"/>
  <c r="AQ119" i="2262"/>
  <c r="AO48" i="2262"/>
  <c r="BA48" i="2262"/>
  <c r="AZ48" i="2262"/>
  <c r="AX48" i="2262"/>
  <c r="AY48" i="2262"/>
  <c r="AW48" i="2262"/>
  <c r="AS48" i="2262"/>
  <c r="AV48" i="2262"/>
  <c r="AQ48" i="2262"/>
  <c r="AR48" i="2262"/>
  <c r="AP48" i="2262"/>
  <c r="AO65" i="2262"/>
  <c r="BA65" i="2262"/>
  <c r="AZ65" i="2262"/>
  <c r="AY65" i="2262"/>
  <c r="AW65" i="2262"/>
  <c r="AX65" i="2262"/>
  <c r="AV65" i="2262"/>
  <c r="AS65" i="2262"/>
  <c r="AR65" i="2262"/>
  <c r="AP65" i="2262"/>
  <c r="AQ65" i="2262"/>
  <c r="AO179" i="2262"/>
  <c r="BA179" i="2262"/>
  <c r="AZ179" i="2262"/>
  <c r="AY179" i="2262"/>
  <c r="AW179" i="2262"/>
  <c r="AX179" i="2262"/>
  <c r="AV179" i="2262"/>
  <c r="AS179" i="2262"/>
  <c r="AR179" i="2262"/>
  <c r="AP179" i="2262"/>
  <c r="AQ179" i="2262"/>
  <c r="AO38" i="2262"/>
  <c r="BA38" i="2262"/>
  <c r="AZ38" i="2262"/>
  <c r="AX38" i="2262"/>
  <c r="AY38" i="2262"/>
  <c r="AW38" i="2262"/>
  <c r="AS38" i="2262"/>
  <c r="AV38" i="2262"/>
  <c r="AQ38" i="2262"/>
  <c r="AR38" i="2262"/>
  <c r="AP38" i="2262"/>
  <c r="AO57" i="2262"/>
  <c r="BA57" i="2262"/>
  <c r="AZ57" i="2262"/>
  <c r="AY57" i="2262"/>
  <c r="AW57" i="2262"/>
  <c r="AX57" i="2262"/>
  <c r="AV57" i="2262"/>
  <c r="AS57" i="2262"/>
  <c r="AR57" i="2262"/>
  <c r="AP57" i="2262"/>
  <c r="AQ57" i="2262"/>
  <c r="AO66" i="2262"/>
  <c r="BA66" i="2262"/>
  <c r="AZ66" i="2262"/>
  <c r="AY66" i="2262"/>
  <c r="AX66" i="2262"/>
  <c r="AW66" i="2262"/>
  <c r="AS66" i="2262"/>
  <c r="AV66" i="2262"/>
  <c r="AQ66" i="2262"/>
  <c r="AR66" i="2262"/>
  <c r="AP66" i="2262"/>
  <c r="AO43" i="2262"/>
  <c r="BA43" i="2262"/>
  <c r="AZ43" i="2262"/>
  <c r="AY43" i="2262"/>
  <c r="AW43" i="2262"/>
  <c r="AX43" i="2262"/>
  <c r="AV43" i="2262"/>
  <c r="AS43" i="2262"/>
  <c r="AR43" i="2262"/>
  <c r="AP43" i="2262"/>
  <c r="AQ43" i="2262"/>
  <c r="AO154" i="2262"/>
  <c r="BA154" i="2262"/>
  <c r="AZ154" i="2262"/>
  <c r="AY154" i="2262"/>
  <c r="AX154" i="2262"/>
  <c r="AW154" i="2262"/>
  <c r="AS154" i="2262"/>
  <c r="AV154" i="2262"/>
  <c r="AQ154" i="2262"/>
  <c r="AR154" i="2262"/>
  <c r="AP154" i="2262"/>
  <c r="AO27" i="2262"/>
  <c r="BA27" i="2262"/>
  <c r="AZ27" i="2262"/>
  <c r="AY27" i="2262"/>
  <c r="AW27" i="2262"/>
  <c r="AX27" i="2262"/>
  <c r="AV27" i="2262"/>
  <c r="AS27" i="2262"/>
  <c r="AR27" i="2262"/>
  <c r="AP27" i="2262"/>
  <c r="AQ27" i="2262"/>
  <c r="AO136" i="2262"/>
  <c r="BA136" i="2262"/>
  <c r="AZ136" i="2262"/>
  <c r="AY136" i="2262"/>
  <c r="AX136" i="2262"/>
  <c r="AW136" i="2262"/>
  <c r="AS136" i="2262"/>
  <c r="AV136" i="2262"/>
  <c r="AQ136" i="2262"/>
  <c r="AR136" i="2262"/>
  <c r="AP136" i="2262"/>
  <c r="AO13" i="2262"/>
  <c r="BA13" i="2262"/>
  <c r="AZ13" i="2262"/>
  <c r="AY13" i="2262"/>
  <c r="AX13" i="2262"/>
  <c r="AV13" i="2262"/>
  <c r="AW13" i="2262"/>
  <c r="AS13" i="2262"/>
  <c r="AR13" i="2262"/>
  <c r="AP13" i="2262"/>
  <c r="AQ13" i="2262"/>
  <c r="AO146" i="2262"/>
  <c r="BA146" i="2262"/>
  <c r="AZ146" i="2262"/>
  <c r="AY146" i="2262"/>
  <c r="AX146" i="2262"/>
  <c r="AW146" i="2262"/>
  <c r="AS146" i="2262"/>
  <c r="AV146" i="2262"/>
  <c r="AQ146" i="2262"/>
  <c r="AR146" i="2262"/>
  <c r="AP146" i="2262"/>
  <c r="AO143" i="2262"/>
  <c r="BA143" i="2262"/>
  <c r="AZ143" i="2262"/>
  <c r="AY143" i="2262"/>
  <c r="AW143" i="2262"/>
  <c r="AX143" i="2262"/>
  <c r="AV143" i="2262"/>
  <c r="AS143" i="2262"/>
  <c r="AR143" i="2262"/>
  <c r="AP143" i="2262"/>
  <c r="AQ143" i="2262"/>
  <c r="AO98" i="2262"/>
  <c r="BA98" i="2262"/>
  <c r="AZ98" i="2262"/>
  <c r="AY98" i="2262"/>
  <c r="AX98" i="2262"/>
  <c r="AW98" i="2262"/>
  <c r="AS98" i="2262"/>
  <c r="AV98" i="2262"/>
  <c r="AQ98" i="2262"/>
  <c r="AR98" i="2262"/>
  <c r="AP98" i="2262"/>
  <c r="AO99" i="2262"/>
  <c r="BA99" i="2262"/>
  <c r="AZ99" i="2262"/>
  <c r="AY99" i="2262"/>
  <c r="AW99" i="2262"/>
  <c r="AX99" i="2262"/>
  <c r="AV99" i="2262"/>
  <c r="AS99" i="2262"/>
  <c r="AR99" i="2262"/>
  <c r="AP99" i="2262"/>
  <c r="AQ99" i="2262"/>
  <c r="AO63" i="2262"/>
  <c r="BA63" i="2262"/>
  <c r="AZ63" i="2262"/>
  <c r="AY63" i="2262"/>
  <c r="AW63" i="2262"/>
  <c r="AX63" i="2262"/>
  <c r="AV63" i="2262"/>
  <c r="AS63" i="2262"/>
  <c r="AR63" i="2262"/>
  <c r="AP63" i="2262"/>
  <c r="AQ63" i="2262"/>
  <c r="AO14" i="2262"/>
  <c r="BA14" i="2262"/>
  <c r="AZ14" i="2262"/>
  <c r="AX14" i="2262"/>
  <c r="AY14" i="2262"/>
  <c r="AW14" i="2262"/>
  <c r="AV14" i="2262"/>
  <c r="AQ14" i="2262"/>
  <c r="AS14" i="2262"/>
  <c r="AR14" i="2262"/>
  <c r="AP14" i="2262"/>
  <c r="AO127" i="2262"/>
  <c r="BA127" i="2262"/>
  <c r="AZ127" i="2262"/>
  <c r="AY127" i="2262"/>
  <c r="AW127" i="2262"/>
  <c r="AX127" i="2262"/>
  <c r="AV127" i="2262"/>
  <c r="AS127" i="2262"/>
  <c r="AR127" i="2262"/>
  <c r="AP127" i="2262"/>
  <c r="AQ127" i="2262"/>
  <c r="AO180" i="2262"/>
  <c r="BA180" i="2262"/>
  <c r="AZ180" i="2262"/>
  <c r="AY180" i="2262"/>
  <c r="AX180" i="2262"/>
  <c r="AW180" i="2262"/>
  <c r="AS180" i="2262"/>
  <c r="AV180" i="2262"/>
  <c r="AQ180" i="2262"/>
  <c r="AR180" i="2262"/>
  <c r="AP180" i="2262"/>
  <c r="AO178" i="2262"/>
  <c r="BA178" i="2262"/>
  <c r="AZ178" i="2262"/>
  <c r="AY178" i="2262"/>
  <c r="AX178" i="2262"/>
  <c r="AW178" i="2262"/>
  <c r="AS178" i="2262"/>
  <c r="AV178" i="2262"/>
  <c r="AQ178" i="2262"/>
  <c r="AR178" i="2262"/>
  <c r="AP178" i="2262"/>
  <c r="AO61" i="2262"/>
  <c r="BA61" i="2262"/>
  <c r="AZ61" i="2262"/>
  <c r="AY61" i="2262"/>
  <c r="AW61" i="2262"/>
  <c r="AX61" i="2262"/>
  <c r="AV61" i="2262"/>
  <c r="AS61" i="2262"/>
  <c r="AR61" i="2262"/>
  <c r="AP61" i="2262"/>
  <c r="AQ61" i="2262"/>
  <c r="AO177" i="2262"/>
  <c r="BA177" i="2262"/>
  <c r="AZ177" i="2262"/>
  <c r="AY177" i="2262"/>
  <c r="AW177" i="2262"/>
  <c r="AX177" i="2262"/>
  <c r="AV177" i="2262"/>
  <c r="AS177" i="2262"/>
  <c r="AR177" i="2262"/>
  <c r="AP177" i="2262"/>
  <c r="AQ177" i="2262"/>
  <c r="AO74" i="2262"/>
  <c r="BA74" i="2262"/>
  <c r="AZ74" i="2262"/>
  <c r="AY74" i="2262"/>
  <c r="AX74" i="2262"/>
  <c r="AW74" i="2262"/>
  <c r="AS74" i="2262"/>
  <c r="AV74" i="2262"/>
  <c r="AQ74" i="2262"/>
  <c r="AR74" i="2262"/>
  <c r="AP74" i="2262"/>
  <c r="AO84" i="2262"/>
  <c r="BA84" i="2262"/>
  <c r="AZ84" i="2262"/>
  <c r="AY84" i="2262"/>
  <c r="AX84" i="2262"/>
  <c r="AW84" i="2262"/>
  <c r="AS84" i="2262"/>
  <c r="AV84" i="2262"/>
  <c r="AQ84" i="2262"/>
  <c r="AR84" i="2262"/>
  <c r="AP84" i="2262"/>
  <c r="AO39" i="2262"/>
  <c r="BA39" i="2262"/>
  <c r="AZ39" i="2262"/>
  <c r="AY39" i="2262"/>
  <c r="AW39" i="2262"/>
  <c r="AX39" i="2262"/>
  <c r="AV39" i="2262"/>
  <c r="AS39" i="2262"/>
  <c r="AR39" i="2262"/>
  <c r="AP39" i="2262"/>
  <c r="AQ39" i="2262"/>
  <c r="AO190" i="2262"/>
  <c r="BA190" i="2262"/>
  <c r="AZ190" i="2262"/>
  <c r="AY190" i="2262"/>
  <c r="AX190" i="2262"/>
  <c r="AW190" i="2262"/>
  <c r="AS190" i="2262"/>
  <c r="AV190" i="2262"/>
  <c r="AQ190" i="2262"/>
  <c r="AR190" i="2262"/>
  <c r="AP190" i="2262"/>
  <c r="AO155" i="2262"/>
  <c r="BA155" i="2262"/>
  <c r="AZ155" i="2262"/>
  <c r="AY155" i="2262"/>
  <c r="AW155" i="2262"/>
  <c r="AX155" i="2262"/>
  <c r="AV155" i="2262"/>
  <c r="AS155" i="2262"/>
  <c r="AR155" i="2262"/>
  <c r="AP155" i="2262"/>
  <c r="AQ155" i="2262"/>
  <c r="AO40" i="2262"/>
  <c r="BA40" i="2262"/>
  <c r="AZ40" i="2262"/>
  <c r="AX40" i="2262"/>
  <c r="AY40" i="2262"/>
  <c r="AW40" i="2262"/>
  <c r="AS40" i="2262"/>
  <c r="AV40" i="2262"/>
  <c r="AQ40" i="2262"/>
  <c r="AR40" i="2262"/>
  <c r="AP40" i="2262"/>
  <c r="AO173" i="2262"/>
  <c r="BA173" i="2262"/>
  <c r="AZ173" i="2262"/>
  <c r="AY173" i="2262"/>
  <c r="AW173" i="2262"/>
  <c r="AX173" i="2262"/>
  <c r="AV173" i="2262"/>
  <c r="AS173" i="2262"/>
  <c r="AR173" i="2262"/>
  <c r="AP173" i="2262"/>
  <c r="AQ173" i="2262"/>
  <c r="AO75" i="2262"/>
  <c r="BA75" i="2262"/>
  <c r="AZ75" i="2262"/>
  <c r="AY75" i="2262"/>
  <c r="AW75" i="2262"/>
  <c r="AX75" i="2262"/>
  <c r="AV75" i="2262"/>
  <c r="AS75" i="2262"/>
  <c r="AR75" i="2262"/>
  <c r="AP75" i="2262"/>
  <c r="AQ75" i="2262"/>
  <c r="AO162" i="2262"/>
  <c r="BA162" i="2262"/>
  <c r="AZ162" i="2262"/>
  <c r="AY162" i="2262"/>
  <c r="AX162" i="2262"/>
  <c r="AW162" i="2262"/>
  <c r="AS162" i="2262"/>
  <c r="AV162" i="2262"/>
  <c r="AQ162" i="2262"/>
  <c r="AR162" i="2262"/>
  <c r="AP162" i="2262"/>
  <c r="AO168" i="2262"/>
  <c r="BA168" i="2262"/>
  <c r="AZ168" i="2262"/>
  <c r="AY168" i="2262"/>
  <c r="AX168" i="2262"/>
  <c r="AW168" i="2262"/>
  <c r="AS168" i="2262"/>
  <c r="AV168" i="2262"/>
  <c r="AQ168" i="2262"/>
  <c r="AR168" i="2262"/>
  <c r="AP168" i="2262"/>
  <c r="AO187" i="2262"/>
  <c r="BA187" i="2262"/>
  <c r="AZ187" i="2262"/>
  <c r="AY187" i="2262"/>
  <c r="AW187" i="2262"/>
  <c r="AX187" i="2262"/>
  <c r="AV187" i="2262"/>
  <c r="AS187" i="2262"/>
  <c r="AR187" i="2262"/>
  <c r="AP187" i="2262"/>
  <c r="AQ187" i="2262"/>
  <c r="AO29" i="2262"/>
  <c r="BA29" i="2262"/>
  <c r="AZ29" i="2262"/>
  <c r="AY29" i="2262"/>
  <c r="AW29" i="2262"/>
  <c r="AX29" i="2262"/>
  <c r="AV29" i="2262"/>
  <c r="AS29" i="2262"/>
  <c r="AR29" i="2262"/>
  <c r="AP29" i="2262"/>
  <c r="AQ29" i="2262"/>
  <c r="AO26" i="2262"/>
  <c r="BA26" i="2262"/>
  <c r="AZ26" i="2262"/>
  <c r="AX26" i="2262"/>
  <c r="AY26" i="2262"/>
  <c r="AW26" i="2262"/>
  <c r="AS26" i="2262"/>
  <c r="AV26" i="2262"/>
  <c r="AQ26" i="2262"/>
  <c r="AR26" i="2262"/>
  <c r="AP26" i="2262"/>
  <c r="AO24" i="2262"/>
  <c r="BA24" i="2262"/>
  <c r="AZ24" i="2262"/>
  <c r="AX24" i="2262"/>
  <c r="AY24" i="2262"/>
  <c r="AW24" i="2262"/>
  <c r="AS24" i="2262"/>
  <c r="AV24" i="2262"/>
  <c r="AQ24" i="2262"/>
  <c r="AR24" i="2262"/>
  <c r="AP24" i="2262"/>
  <c r="AO87" i="2262"/>
  <c r="BA87" i="2262"/>
  <c r="AZ87" i="2262"/>
  <c r="AY87" i="2262"/>
  <c r="AW87" i="2262"/>
  <c r="AX87" i="2262"/>
  <c r="AV87" i="2262"/>
  <c r="AS87" i="2262"/>
  <c r="AR87" i="2262"/>
  <c r="AP87" i="2262"/>
  <c r="AQ87" i="2262"/>
  <c r="AO86" i="2262"/>
  <c r="BA86" i="2262"/>
  <c r="AZ86" i="2262"/>
  <c r="AY86" i="2262"/>
  <c r="AX86" i="2262"/>
  <c r="AW86" i="2262"/>
  <c r="AS86" i="2262"/>
  <c r="AV86" i="2262"/>
  <c r="AQ86" i="2262"/>
  <c r="AR86" i="2262"/>
  <c r="AP86" i="2262"/>
  <c r="AO59" i="2262"/>
  <c r="BA59" i="2262"/>
  <c r="AZ59" i="2262"/>
  <c r="AY59" i="2262"/>
  <c r="AW59" i="2262"/>
  <c r="AX59" i="2262"/>
  <c r="AV59" i="2262"/>
  <c r="AS59" i="2262"/>
  <c r="AR59" i="2262"/>
  <c r="AP59" i="2262"/>
  <c r="AQ59" i="2262"/>
  <c r="AO12" i="2262"/>
  <c r="BA12" i="2262"/>
  <c r="AZ12" i="2262"/>
  <c r="AX12" i="2262"/>
  <c r="AY12" i="2262"/>
  <c r="AW12" i="2262"/>
  <c r="AV12" i="2262"/>
  <c r="AS12" i="2262"/>
  <c r="AQ12" i="2262"/>
  <c r="AR12" i="2262"/>
  <c r="AP12" i="2262"/>
  <c r="AO140" i="2262"/>
  <c r="BA140" i="2262"/>
  <c r="AZ140" i="2262"/>
  <c r="AY140" i="2262"/>
  <c r="AX140" i="2262"/>
  <c r="AW140" i="2262"/>
  <c r="AS140" i="2262"/>
  <c r="AV140" i="2262"/>
  <c r="AQ140" i="2262"/>
  <c r="AR140" i="2262"/>
  <c r="AP140" i="2262"/>
  <c r="AO141" i="2262"/>
  <c r="BA141" i="2262"/>
  <c r="AZ141" i="2262"/>
  <c r="AY141" i="2262"/>
  <c r="AW141" i="2262"/>
  <c r="AX141" i="2262"/>
  <c r="AV141" i="2262"/>
  <c r="AS141" i="2262"/>
  <c r="AR141" i="2262"/>
  <c r="AP141" i="2262"/>
  <c r="AQ141" i="2262"/>
  <c r="AO164" i="2262"/>
  <c r="BA164" i="2262"/>
  <c r="AZ164" i="2262"/>
  <c r="AY164" i="2262"/>
  <c r="AX164" i="2262"/>
  <c r="AW164" i="2262"/>
  <c r="AS164" i="2262"/>
  <c r="AV164" i="2262"/>
  <c r="AQ164" i="2262"/>
  <c r="AR164" i="2262"/>
  <c r="AP164" i="2262"/>
  <c r="AO137" i="2262"/>
  <c r="BA137" i="2262"/>
  <c r="AZ137" i="2262"/>
  <c r="AY137" i="2262"/>
  <c r="AW137" i="2262"/>
  <c r="AX137" i="2262"/>
  <c r="AV137" i="2262"/>
  <c r="AS137" i="2262"/>
  <c r="AR137" i="2262"/>
  <c r="AP137" i="2262"/>
  <c r="AQ137" i="2262"/>
  <c r="AO189" i="2262"/>
  <c r="BA189" i="2262"/>
  <c r="AZ189" i="2262"/>
  <c r="AY189" i="2262"/>
  <c r="AW189" i="2262"/>
  <c r="AX189" i="2262"/>
  <c r="AV189" i="2262"/>
  <c r="AS189" i="2262"/>
  <c r="AR189" i="2262"/>
  <c r="AP189" i="2262"/>
  <c r="AQ189" i="2262"/>
  <c r="AO176" i="2262"/>
  <c r="BA176" i="2262"/>
  <c r="AZ176" i="2262"/>
  <c r="AY176" i="2262"/>
  <c r="AX176" i="2262"/>
  <c r="AW176" i="2262"/>
  <c r="AS176" i="2262"/>
  <c r="AV176" i="2262"/>
  <c r="AQ176" i="2262"/>
  <c r="AR176" i="2262"/>
  <c r="AP176" i="2262"/>
  <c r="AO31" i="2262"/>
  <c r="BA31" i="2262"/>
  <c r="AZ31" i="2262"/>
  <c r="AY31" i="2262"/>
  <c r="AW31" i="2262"/>
  <c r="AX31" i="2262"/>
  <c r="AV31" i="2262"/>
  <c r="AS31" i="2262"/>
  <c r="AR31" i="2262"/>
  <c r="AP31" i="2262"/>
  <c r="AQ31" i="2262"/>
  <c r="AO19" i="2262"/>
  <c r="BA19" i="2262"/>
  <c r="AZ19" i="2262"/>
  <c r="AY19" i="2262"/>
  <c r="AX19" i="2262"/>
  <c r="AV19" i="2262"/>
  <c r="AW19" i="2262"/>
  <c r="AS19" i="2262"/>
  <c r="AR19" i="2262"/>
  <c r="AP19" i="2262"/>
  <c r="AQ19" i="2262"/>
  <c r="AO118" i="2262"/>
  <c r="BA118" i="2262"/>
  <c r="AZ118" i="2262"/>
  <c r="AY118" i="2262"/>
  <c r="AX118" i="2262"/>
  <c r="AW118" i="2262"/>
  <c r="AS118" i="2262"/>
  <c r="AV118" i="2262"/>
  <c r="AQ118" i="2262"/>
  <c r="AR118" i="2262"/>
  <c r="AP118" i="2262"/>
  <c r="AO151" i="2262"/>
  <c r="BA151" i="2262"/>
  <c r="AZ151" i="2262"/>
  <c r="AY151" i="2262"/>
  <c r="AW151" i="2262"/>
  <c r="AX151" i="2262"/>
  <c r="AV151" i="2262"/>
  <c r="AS151" i="2262"/>
  <c r="AR151" i="2262"/>
  <c r="AP151" i="2262"/>
  <c r="AQ151" i="2262"/>
  <c r="AO49" i="2262"/>
  <c r="BA49" i="2262"/>
  <c r="AZ49" i="2262"/>
  <c r="AY49" i="2262"/>
  <c r="AW49" i="2262"/>
  <c r="AX49" i="2262"/>
  <c r="AV49" i="2262"/>
  <c r="AS49" i="2262"/>
  <c r="AR49" i="2262"/>
  <c r="AP49" i="2262"/>
  <c r="AQ49" i="2262"/>
  <c r="AO159" i="2262"/>
  <c r="BA159" i="2262"/>
  <c r="AZ159" i="2262"/>
  <c r="AY159" i="2262"/>
  <c r="AW159" i="2262"/>
  <c r="AX159" i="2262"/>
  <c r="AV159" i="2262"/>
  <c r="AS159" i="2262"/>
  <c r="AR159" i="2262"/>
  <c r="AP159" i="2262"/>
  <c r="AQ159" i="2262"/>
  <c r="AO167" i="2262"/>
  <c r="BA167" i="2262"/>
  <c r="AZ167" i="2262"/>
  <c r="AY167" i="2262"/>
  <c r="AW167" i="2262"/>
  <c r="AX167" i="2262"/>
  <c r="AV167" i="2262"/>
  <c r="AS167" i="2262"/>
  <c r="AR167" i="2262"/>
  <c r="AP167" i="2262"/>
  <c r="AQ167" i="2262"/>
  <c r="AO183" i="2262"/>
  <c r="BA183" i="2262"/>
  <c r="AZ183" i="2262"/>
  <c r="AY183" i="2262"/>
  <c r="AW183" i="2262"/>
  <c r="AX183" i="2262"/>
  <c r="AV183" i="2262"/>
  <c r="AS183" i="2262"/>
  <c r="AR183" i="2262"/>
  <c r="AP183" i="2262"/>
  <c r="AQ183" i="2262"/>
  <c r="AO78" i="2262"/>
  <c r="BA78" i="2262"/>
  <c r="AZ78" i="2262"/>
  <c r="AY78" i="2262"/>
  <c r="AX78" i="2262"/>
  <c r="AW78" i="2262"/>
  <c r="AS78" i="2262"/>
  <c r="AV78" i="2262"/>
  <c r="AQ78" i="2262"/>
  <c r="AR78" i="2262"/>
  <c r="AP78" i="2262"/>
  <c r="AO131" i="2262"/>
  <c r="BA131" i="2262"/>
  <c r="AZ131" i="2262"/>
  <c r="AY131" i="2262"/>
  <c r="AW131" i="2262"/>
  <c r="AX131" i="2262"/>
  <c r="AV131" i="2262"/>
  <c r="AS131" i="2262"/>
  <c r="AR131" i="2262"/>
  <c r="AP131" i="2262"/>
  <c r="AQ131" i="2262"/>
  <c r="AO96" i="2262"/>
  <c r="BA96" i="2262"/>
  <c r="AZ96" i="2262"/>
  <c r="AY96" i="2262"/>
  <c r="AX96" i="2262"/>
  <c r="AW96" i="2262"/>
  <c r="AS96" i="2262"/>
  <c r="AV96" i="2262"/>
  <c r="AQ96" i="2262"/>
  <c r="AR96" i="2262"/>
  <c r="AP96" i="2262"/>
  <c r="AO9" i="2262"/>
  <c r="BA9" i="2262"/>
  <c r="AZ9" i="2262"/>
  <c r="AY9" i="2262"/>
  <c r="AX9" i="2262"/>
  <c r="AV9" i="2262"/>
  <c r="AW9" i="2262"/>
  <c r="AS9" i="2262"/>
  <c r="AR9" i="2262"/>
  <c r="AP9" i="2262"/>
  <c r="AQ9" i="2262"/>
  <c r="AO186" i="2262"/>
  <c r="BA186" i="2262"/>
  <c r="AZ186" i="2262"/>
  <c r="AY186" i="2262"/>
  <c r="AX186" i="2262"/>
  <c r="AW186" i="2262"/>
  <c r="AS186" i="2262"/>
  <c r="AV186" i="2262"/>
  <c r="AQ186" i="2262"/>
  <c r="AR186" i="2262"/>
  <c r="AP186" i="2262"/>
  <c r="AO53" i="2262"/>
  <c r="BA53" i="2262"/>
  <c r="AZ53" i="2262"/>
  <c r="AY53" i="2262"/>
  <c r="AW53" i="2262"/>
  <c r="AX53" i="2262"/>
  <c r="AV53" i="2262"/>
  <c r="AS53" i="2262"/>
  <c r="AR53" i="2262"/>
  <c r="AP53" i="2262"/>
  <c r="AQ53" i="2262"/>
  <c r="AO10" i="2262"/>
  <c r="BA10" i="2262"/>
  <c r="AZ10" i="2262"/>
  <c r="AX10" i="2262"/>
  <c r="AY10" i="2262"/>
  <c r="AW10" i="2262"/>
  <c r="AV10" i="2262"/>
  <c r="AQ10" i="2262"/>
  <c r="AS10" i="2262"/>
  <c r="AR10" i="2262"/>
  <c r="AP10" i="2262"/>
  <c r="AO80" i="2262"/>
  <c r="BA80" i="2262"/>
  <c r="AZ80" i="2262"/>
  <c r="AX80" i="2262"/>
  <c r="AY80" i="2262"/>
  <c r="AW80" i="2262"/>
  <c r="AS80" i="2262"/>
  <c r="AV80" i="2262"/>
  <c r="AQ80" i="2262"/>
  <c r="AR80" i="2262"/>
  <c r="AP80" i="2262"/>
  <c r="AO56" i="2262"/>
  <c r="BA56" i="2262"/>
  <c r="AZ56" i="2262"/>
  <c r="AX56" i="2262"/>
  <c r="AY56" i="2262"/>
  <c r="AW56" i="2262"/>
  <c r="AS56" i="2262"/>
  <c r="AV56" i="2262"/>
  <c r="AQ56" i="2262"/>
  <c r="AR56" i="2262"/>
  <c r="AP56" i="2262"/>
  <c r="AO323" i="2262"/>
  <c r="BA323" i="2262"/>
  <c r="AZ323" i="2262"/>
  <c r="AY323" i="2262"/>
  <c r="AW323" i="2262"/>
  <c r="AX323" i="2262"/>
  <c r="AV323" i="2262"/>
  <c r="AS323" i="2262"/>
  <c r="AP323" i="2262"/>
  <c r="AR323" i="2262"/>
  <c r="AQ323" i="2262"/>
  <c r="AO41" i="2262"/>
  <c r="BA41" i="2262"/>
  <c r="AZ41" i="2262"/>
  <c r="AY41" i="2262"/>
  <c r="AW41" i="2262"/>
  <c r="AX41" i="2262"/>
  <c r="AV41" i="2262"/>
  <c r="AS41" i="2262"/>
  <c r="AR41" i="2262"/>
  <c r="AP41" i="2262"/>
  <c r="AQ41" i="2262"/>
  <c r="AO90" i="2262"/>
  <c r="BA90" i="2262"/>
  <c r="AZ90" i="2262"/>
  <c r="AY90" i="2262"/>
  <c r="AX90" i="2262"/>
  <c r="AW90" i="2262"/>
  <c r="AS90" i="2262"/>
  <c r="AV90" i="2262"/>
  <c r="AQ90" i="2262"/>
  <c r="AR90" i="2262"/>
  <c r="AP90" i="2262"/>
  <c r="AO67" i="2262"/>
  <c r="BA67" i="2262"/>
  <c r="AZ67" i="2262"/>
  <c r="AY67" i="2262"/>
  <c r="AW67" i="2262"/>
  <c r="AX67" i="2262"/>
  <c r="AV67" i="2262"/>
  <c r="AS67" i="2262"/>
  <c r="AR67" i="2262"/>
  <c r="AP67" i="2262"/>
  <c r="AQ67" i="2262"/>
  <c r="AO62" i="2262"/>
  <c r="BA62" i="2262"/>
  <c r="AZ62" i="2262"/>
  <c r="AY62" i="2262"/>
  <c r="AX62" i="2262"/>
  <c r="AW62" i="2262"/>
  <c r="AS62" i="2262"/>
  <c r="AV62" i="2262"/>
  <c r="AQ62" i="2262"/>
  <c r="AR62" i="2262"/>
  <c r="AP62" i="2262"/>
  <c r="AO188" i="2262"/>
  <c r="BA188" i="2262"/>
  <c r="AZ188" i="2262"/>
  <c r="AY188" i="2262"/>
  <c r="AX188" i="2262"/>
  <c r="AW188" i="2262"/>
  <c r="AS188" i="2262"/>
  <c r="AV188" i="2262"/>
  <c r="AQ188" i="2262"/>
  <c r="AR188" i="2262"/>
  <c r="AP188" i="2262"/>
  <c r="AO51" i="2262"/>
  <c r="BA51" i="2262"/>
  <c r="AZ51" i="2262"/>
  <c r="AY51" i="2262"/>
  <c r="AW51" i="2262"/>
  <c r="AX51" i="2262"/>
  <c r="AV51" i="2262"/>
  <c r="AS51" i="2262"/>
  <c r="AR51" i="2262"/>
  <c r="AP51" i="2262"/>
  <c r="AQ51" i="2262"/>
  <c r="AO165" i="2262"/>
  <c r="BA165" i="2262"/>
  <c r="AZ165" i="2262"/>
  <c r="AY165" i="2262"/>
  <c r="AW165" i="2262"/>
  <c r="AX165" i="2262"/>
  <c r="AV165" i="2262"/>
  <c r="AS165" i="2262"/>
  <c r="AR165" i="2262"/>
  <c r="AP165" i="2262"/>
  <c r="AQ165" i="2262"/>
  <c r="AO97" i="2262"/>
  <c r="BA97" i="2262"/>
  <c r="AZ97" i="2262"/>
  <c r="AY97" i="2262"/>
  <c r="AW97" i="2262"/>
  <c r="AX97" i="2262"/>
  <c r="AV97" i="2262"/>
  <c r="AS97" i="2262"/>
  <c r="AR97" i="2262"/>
  <c r="AP97" i="2262"/>
  <c r="AQ97" i="2262"/>
  <c r="AO95" i="2262"/>
  <c r="BA95" i="2262"/>
  <c r="AZ95" i="2262"/>
  <c r="AY95" i="2262"/>
  <c r="AW95" i="2262"/>
  <c r="AX95" i="2262"/>
  <c r="AV95" i="2262"/>
  <c r="AS95" i="2262"/>
  <c r="AR95" i="2262"/>
  <c r="AP95" i="2262"/>
  <c r="AQ95" i="2262"/>
  <c r="AO47" i="2262"/>
  <c r="BA47" i="2262"/>
  <c r="AZ47" i="2262"/>
  <c r="AY47" i="2262"/>
  <c r="AW47" i="2262"/>
  <c r="AX47" i="2262"/>
  <c r="AV47" i="2262"/>
  <c r="AS47" i="2262"/>
  <c r="AR47" i="2262"/>
  <c r="AP47" i="2262"/>
  <c r="AQ47" i="2262"/>
  <c r="AO52" i="2262"/>
  <c r="BA52" i="2262"/>
  <c r="AZ52" i="2262"/>
  <c r="AX52" i="2262"/>
  <c r="AY52" i="2262"/>
  <c r="AW52" i="2262"/>
  <c r="AS52" i="2262"/>
  <c r="AV52" i="2262"/>
  <c r="AQ52" i="2262"/>
  <c r="AR52" i="2262"/>
  <c r="AP52" i="2262"/>
  <c r="AO120" i="2262"/>
  <c r="BA120" i="2262"/>
  <c r="AZ120" i="2262"/>
  <c r="AY120" i="2262"/>
  <c r="AX120" i="2262"/>
  <c r="AW120" i="2262"/>
  <c r="AS120" i="2262"/>
  <c r="AV120" i="2262"/>
  <c r="AQ120" i="2262"/>
  <c r="AR120" i="2262"/>
  <c r="AP120" i="2262"/>
  <c r="AO68" i="2262"/>
  <c r="BA68" i="2262"/>
  <c r="AZ68" i="2262"/>
  <c r="AX68" i="2262"/>
  <c r="AY68" i="2262"/>
  <c r="AW68" i="2262"/>
  <c r="AS68" i="2262"/>
  <c r="AV68" i="2262"/>
  <c r="AQ68" i="2262"/>
  <c r="AR68" i="2262"/>
  <c r="AP68" i="2262"/>
  <c r="AO128" i="2262"/>
  <c r="BA128" i="2262"/>
  <c r="AZ128" i="2262"/>
  <c r="AY128" i="2262"/>
  <c r="AX128" i="2262"/>
  <c r="AW128" i="2262"/>
  <c r="AS128" i="2262"/>
  <c r="AV128" i="2262"/>
  <c r="AQ128" i="2262"/>
  <c r="AR128" i="2262"/>
  <c r="AP128" i="2262"/>
  <c r="AO181" i="2262"/>
  <c r="BA181" i="2262"/>
  <c r="AZ181" i="2262"/>
  <c r="AY181" i="2262"/>
  <c r="AW181" i="2262"/>
  <c r="AX181" i="2262"/>
  <c r="AV181" i="2262"/>
  <c r="AS181" i="2262"/>
  <c r="AR181" i="2262"/>
  <c r="AP181" i="2262"/>
  <c r="AQ181" i="2262"/>
  <c r="AO174" i="2262"/>
  <c r="BA174" i="2262"/>
  <c r="AZ174" i="2262"/>
  <c r="AY174" i="2262"/>
  <c r="AX174" i="2262"/>
  <c r="AW174" i="2262"/>
  <c r="AS174" i="2262"/>
  <c r="AV174" i="2262"/>
  <c r="AQ174" i="2262"/>
  <c r="AR174" i="2262"/>
  <c r="AP174" i="2262"/>
  <c r="AO170" i="2262"/>
  <c r="BA170" i="2262"/>
  <c r="AZ170" i="2262"/>
  <c r="AY170" i="2262"/>
  <c r="AX170" i="2262"/>
  <c r="AW170" i="2262"/>
  <c r="AS170" i="2262"/>
  <c r="AV170" i="2262"/>
  <c r="AQ170" i="2262"/>
  <c r="AR170" i="2262"/>
  <c r="AP170" i="2262"/>
  <c r="AO166" i="2262"/>
  <c r="BA166" i="2262"/>
  <c r="AZ166" i="2262"/>
  <c r="AY166" i="2262"/>
  <c r="AX166" i="2262"/>
  <c r="AW166" i="2262"/>
  <c r="AS166" i="2262"/>
  <c r="AV166" i="2262"/>
  <c r="AQ166" i="2262"/>
  <c r="AR166" i="2262"/>
  <c r="AP166" i="2262"/>
  <c r="AO23" i="2262"/>
  <c r="BA23" i="2262"/>
  <c r="AZ23" i="2262"/>
  <c r="AY23" i="2262"/>
  <c r="AW23" i="2262"/>
  <c r="AX23" i="2262"/>
  <c r="AV23" i="2262"/>
  <c r="AS23" i="2262"/>
  <c r="AR23" i="2262"/>
  <c r="AP23" i="2262"/>
  <c r="AQ23" i="2262"/>
  <c r="AO20" i="2262"/>
  <c r="BA20" i="2262"/>
  <c r="AZ20" i="2262"/>
  <c r="AX20" i="2262"/>
  <c r="AY20" i="2262"/>
  <c r="AW20" i="2262"/>
  <c r="AS20" i="2262"/>
  <c r="AV20" i="2262"/>
  <c r="AQ20" i="2262"/>
  <c r="AR20" i="2262"/>
  <c r="AP20" i="2262"/>
  <c r="AO149" i="2262"/>
  <c r="BA149" i="2262"/>
  <c r="AZ149" i="2262"/>
  <c r="AY149" i="2262"/>
  <c r="AW149" i="2262"/>
  <c r="AX149" i="2262"/>
  <c r="AV149" i="2262"/>
  <c r="AS149" i="2262"/>
  <c r="AR149" i="2262"/>
  <c r="AP149" i="2262"/>
  <c r="AQ149" i="2262"/>
  <c r="AO134" i="2262"/>
  <c r="BA134" i="2262"/>
  <c r="AZ134" i="2262"/>
  <c r="AY134" i="2262"/>
  <c r="AX134" i="2262"/>
  <c r="AW134" i="2262"/>
  <c r="AS134" i="2262"/>
  <c r="AV134" i="2262"/>
  <c r="AQ134" i="2262"/>
  <c r="AR134" i="2262"/>
  <c r="AP134" i="2262"/>
  <c r="AO121" i="2262"/>
  <c r="BA121" i="2262"/>
  <c r="AZ121" i="2262"/>
  <c r="AY121" i="2262"/>
  <c r="AW121" i="2262"/>
  <c r="AX121" i="2262"/>
  <c r="AV121" i="2262"/>
  <c r="AS121" i="2262"/>
  <c r="AR121" i="2262"/>
  <c r="AP121" i="2262"/>
  <c r="AQ121" i="2262"/>
  <c r="AO37" i="2262"/>
  <c r="BA37" i="2262"/>
  <c r="AZ37" i="2262"/>
  <c r="AY37" i="2262"/>
  <c r="AW37" i="2262"/>
  <c r="AX37" i="2262"/>
  <c r="AV37" i="2262"/>
  <c r="AS37" i="2262"/>
  <c r="AR37" i="2262"/>
  <c r="AP37" i="2262"/>
  <c r="AQ37" i="2262"/>
  <c r="AO101" i="2262"/>
  <c r="BA101" i="2262"/>
  <c r="AZ101" i="2262"/>
  <c r="AY101" i="2262"/>
  <c r="AW101" i="2262"/>
  <c r="AX101" i="2262"/>
  <c r="AV101" i="2262"/>
  <c r="AS101" i="2262"/>
  <c r="AR101" i="2262"/>
  <c r="AP101" i="2262"/>
  <c r="AQ101" i="2262"/>
  <c r="AO129" i="2262"/>
  <c r="BA129" i="2262"/>
  <c r="AZ129" i="2262"/>
  <c r="AY129" i="2262"/>
  <c r="AW129" i="2262"/>
  <c r="AX129" i="2262"/>
  <c r="AV129" i="2262"/>
  <c r="AS129" i="2262"/>
  <c r="AR129" i="2262"/>
  <c r="AP129" i="2262"/>
  <c r="AQ129" i="2262"/>
  <c r="AO184" i="2262"/>
  <c r="BA184" i="2262"/>
  <c r="AZ184" i="2262"/>
  <c r="AY184" i="2262"/>
  <c r="AX184" i="2262"/>
  <c r="AW184" i="2262"/>
  <c r="AS184" i="2262"/>
  <c r="AV184" i="2262"/>
  <c r="AQ184" i="2262"/>
  <c r="AR184" i="2262"/>
  <c r="AP184" i="2262"/>
  <c r="AO102" i="2262"/>
  <c r="BA102" i="2262"/>
  <c r="AZ102" i="2262"/>
  <c r="AY102" i="2262"/>
  <c r="AX102" i="2262"/>
  <c r="AW102" i="2262"/>
  <c r="AS102" i="2262"/>
  <c r="AV102" i="2262"/>
  <c r="AQ102" i="2262"/>
  <c r="AR102" i="2262"/>
  <c r="AP102" i="2262"/>
  <c r="AO138" i="2262"/>
  <c r="BA138" i="2262"/>
  <c r="AZ138" i="2262"/>
  <c r="AY138" i="2262"/>
  <c r="AX138" i="2262"/>
  <c r="AW138" i="2262"/>
  <c r="AS138" i="2262"/>
  <c r="AV138" i="2262"/>
  <c r="AQ138" i="2262"/>
  <c r="AR138" i="2262"/>
  <c r="AP138" i="2262"/>
  <c r="AO76" i="2262"/>
  <c r="BA76" i="2262"/>
  <c r="AZ76" i="2262"/>
  <c r="AX76" i="2262"/>
  <c r="AY76" i="2262"/>
  <c r="AW76" i="2262"/>
  <c r="AS76" i="2262"/>
  <c r="AV76" i="2262"/>
  <c r="AQ76" i="2262"/>
  <c r="AR76" i="2262"/>
  <c r="AP76" i="2262"/>
  <c r="AO50" i="2262"/>
  <c r="BA50" i="2262"/>
  <c r="AZ50" i="2262"/>
  <c r="AY50" i="2262"/>
  <c r="AX50" i="2262"/>
  <c r="AW50" i="2262"/>
  <c r="AS50" i="2262"/>
  <c r="AV50" i="2262"/>
  <c r="AQ50" i="2262"/>
  <c r="AR50" i="2262"/>
  <c r="AP50" i="2262"/>
  <c r="AO124" i="2262"/>
  <c r="BA124" i="2262"/>
  <c r="AZ124" i="2262"/>
  <c r="AY124" i="2262"/>
  <c r="AX124" i="2262"/>
  <c r="AW124" i="2262"/>
  <c r="AS124" i="2262"/>
  <c r="AV124" i="2262"/>
  <c r="AQ124" i="2262"/>
  <c r="AR124" i="2262"/>
  <c r="AP124" i="2262"/>
  <c r="AO150" i="2262"/>
  <c r="BA150" i="2262"/>
  <c r="AZ150" i="2262"/>
  <c r="AY150" i="2262"/>
  <c r="AX150" i="2262"/>
  <c r="AW150" i="2262"/>
  <c r="AS150" i="2262"/>
  <c r="AV150" i="2262"/>
  <c r="AQ150" i="2262"/>
  <c r="AR150" i="2262"/>
  <c r="AP150" i="2262"/>
  <c r="AO8" i="2262"/>
  <c r="BA8" i="2262"/>
  <c r="AZ8" i="2262"/>
  <c r="AX8" i="2262"/>
  <c r="AY8" i="2262"/>
  <c r="AW8" i="2262"/>
  <c r="AV8" i="2262"/>
  <c r="AS8" i="2262"/>
  <c r="AQ8" i="2262"/>
  <c r="AR8" i="2262"/>
  <c r="AP8" i="2262"/>
  <c r="AO15" i="2262"/>
  <c r="BA15" i="2262"/>
  <c r="AZ15" i="2262"/>
  <c r="AY15" i="2262"/>
  <c r="AX15" i="2262"/>
  <c r="AV15" i="2262"/>
  <c r="AW15" i="2262"/>
  <c r="AS15" i="2262"/>
  <c r="AR15" i="2262"/>
  <c r="AP15" i="2262"/>
  <c r="AQ15" i="2262"/>
  <c r="AO192" i="2262"/>
  <c r="BA192" i="2262"/>
  <c r="AZ192" i="2262"/>
  <c r="AY192" i="2262"/>
  <c r="AX192" i="2262"/>
  <c r="AW192" i="2262"/>
  <c r="AS192" i="2262"/>
  <c r="AV192" i="2262"/>
  <c r="AQ192" i="2262"/>
  <c r="AR192" i="2262"/>
  <c r="AP192" i="2262"/>
  <c r="AO100" i="2262"/>
  <c r="BA100" i="2262"/>
  <c r="AZ100" i="2262"/>
  <c r="AY100" i="2262"/>
  <c r="AX100" i="2262"/>
  <c r="AW100" i="2262"/>
  <c r="AS100" i="2262"/>
  <c r="AV100" i="2262"/>
  <c r="AQ100" i="2262"/>
  <c r="AR100" i="2262"/>
  <c r="AP100" i="2262"/>
  <c r="AO157" i="2262"/>
  <c r="BA157" i="2262"/>
  <c r="AZ157" i="2262"/>
  <c r="AY157" i="2262"/>
  <c r="AW157" i="2262"/>
  <c r="AX157" i="2262"/>
  <c r="AV157" i="2262"/>
  <c r="AS157" i="2262"/>
  <c r="AR157" i="2262"/>
  <c r="AP157" i="2262"/>
  <c r="AQ157" i="2262"/>
  <c r="AO64" i="2262"/>
  <c r="BA64" i="2262"/>
  <c r="AZ64" i="2262"/>
  <c r="AX64" i="2262"/>
  <c r="AY64" i="2262"/>
  <c r="AW64" i="2262"/>
  <c r="AS64" i="2262"/>
  <c r="AV64" i="2262"/>
  <c r="AQ64" i="2262"/>
  <c r="AR64" i="2262"/>
  <c r="AP64" i="2262"/>
  <c r="AO22" i="2262"/>
  <c r="BA22" i="2262"/>
  <c r="AZ22" i="2262"/>
  <c r="AX22" i="2262"/>
  <c r="AY22" i="2262"/>
  <c r="AW22" i="2262"/>
  <c r="AS22" i="2262"/>
  <c r="AV22" i="2262"/>
  <c r="AQ22" i="2262"/>
  <c r="AR22" i="2262"/>
  <c r="AP22" i="2262"/>
  <c r="AO156" i="2262"/>
  <c r="BA156" i="2262"/>
  <c r="AZ156" i="2262"/>
  <c r="AY156" i="2262"/>
  <c r="AX156" i="2262"/>
  <c r="AW156" i="2262"/>
  <c r="AS156" i="2262"/>
  <c r="AV156" i="2262"/>
  <c r="AQ156" i="2262"/>
  <c r="AR156" i="2262"/>
  <c r="AP156" i="2262"/>
  <c r="AO70" i="2262"/>
  <c r="BA70" i="2262"/>
  <c r="AZ70" i="2262"/>
  <c r="AY70" i="2262"/>
  <c r="AX70" i="2262"/>
  <c r="AW70" i="2262"/>
  <c r="AS70" i="2262"/>
  <c r="AV70" i="2262"/>
  <c r="AQ70" i="2262"/>
  <c r="AR70" i="2262"/>
  <c r="AP70" i="2262"/>
  <c r="AO7" i="2262"/>
  <c r="AT303" i="2262"/>
  <c r="AT304" i="2262"/>
  <c r="AK46" i="2262"/>
  <c r="AK307" i="2262"/>
  <c r="AK45" i="2262"/>
  <c r="AT213" i="2262" l="1"/>
  <c r="AU213" i="2262"/>
  <c r="AU258" i="2262"/>
  <c r="AT258" i="2262"/>
  <c r="AU274" i="2262"/>
  <c r="AT274" i="2262"/>
  <c r="AU257" i="2262"/>
  <c r="AU206" i="2262"/>
  <c r="AT206" i="2262"/>
  <c r="AT281" i="2262"/>
  <c r="AU281" i="2262"/>
  <c r="AT271" i="2262"/>
  <c r="AU271" i="2262"/>
  <c r="AT236" i="2262"/>
  <c r="AU207" i="2262"/>
  <c r="AT207" i="2262"/>
  <c r="AU230" i="2262"/>
  <c r="AT230" i="2262"/>
  <c r="AT196" i="2262"/>
  <c r="AU196" i="2262"/>
  <c r="AU232" i="2262"/>
  <c r="AT232" i="2262"/>
  <c r="AU205" i="2262"/>
  <c r="AT205" i="2262"/>
  <c r="AT246" i="2262"/>
  <c r="AU246" i="2262"/>
  <c r="AU259" i="2262"/>
  <c r="AT259" i="2262"/>
  <c r="AU266" i="2262"/>
  <c r="AT266" i="2262"/>
  <c r="AU279" i="2262"/>
  <c r="AT279" i="2262"/>
  <c r="AU214" i="2262"/>
  <c r="AT214" i="2262"/>
  <c r="AU219" i="2262"/>
  <c r="AT219" i="2262"/>
  <c r="AU256" i="2262"/>
  <c r="AT256" i="2262"/>
  <c r="AU262" i="2262"/>
  <c r="AT262" i="2262"/>
  <c r="AT275" i="2262"/>
  <c r="AU275" i="2262"/>
  <c r="AU282" i="2262"/>
  <c r="AT282" i="2262"/>
  <c r="AT286" i="2262"/>
  <c r="AU286" i="2262"/>
  <c r="AU254" i="2262"/>
  <c r="AT254" i="2262"/>
  <c r="AU265" i="2262"/>
  <c r="AT265" i="2262"/>
  <c r="AU241" i="2262"/>
  <c r="AT241" i="2262"/>
  <c r="AU272" i="2262"/>
  <c r="AT272" i="2262"/>
  <c r="AU194" i="2262"/>
  <c r="AT194" i="2262"/>
  <c r="AU203" i="2262"/>
  <c r="AT203" i="2262"/>
  <c r="AU237" i="2262"/>
  <c r="AT237" i="2262"/>
  <c r="AT244" i="2262"/>
  <c r="AU244" i="2262"/>
  <c r="AU264" i="2262"/>
  <c r="AT264" i="2262"/>
  <c r="AU277" i="2262"/>
  <c r="AT277" i="2262"/>
  <c r="AT200" i="2262"/>
  <c r="AU200" i="2262"/>
  <c r="AU212" i="2262"/>
  <c r="AT212" i="2262"/>
  <c r="AU216" i="2262"/>
  <c r="AT216" i="2262"/>
  <c r="AU252" i="2262"/>
  <c r="AT252" i="2262"/>
  <c r="AT260" i="2262"/>
  <c r="AU260" i="2262"/>
  <c r="AU273" i="2262"/>
  <c r="AT273" i="2262"/>
  <c r="AU280" i="2262"/>
  <c r="AT280" i="2262"/>
  <c r="AT284" i="2262"/>
  <c r="AU284" i="2262"/>
  <c r="AU238" i="2262"/>
  <c r="AT238" i="2262"/>
  <c r="AU199" i="2262"/>
  <c r="AT199" i="2262"/>
  <c r="AU253" i="2262"/>
  <c r="AT253" i="2262"/>
  <c r="AM307" i="2262"/>
  <c r="AN307" i="2262" s="1"/>
  <c r="AU307" i="2262" s="1"/>
  <c r="AM45" i="2262"/>
  <c r="AN45" i="2262" s="1"/>
  <c r="AM46" i="2262"/>
  <c r="AN46" i="2262" s="1"/>
  <c r="AT251" i="2262"/>
  <c r="AT223" i="2262"/>
  <c r="AT231" i="2262"/>
  <c r="AT202" i="2262"/>
  <c r="AT233" i="2262"/>
  <c r="AT242" i="2262"/>
  <c r="AT255" i="2262"/>
  <c r="AT240" i="2262"/>
  <c r="AT245" i="2262"/>
  <c r="AT278" i="2262"/>
  <c r="AT217" i="2262"/>
  <c r="AT261" i="2262"/>
  <c r="AT285" i="2262"/>
  <c r="AT283" i="2262"/>
  <c r="AT210" i="2262"/>
  <c r="AT215" i="2262"/>
  <c r="AT209" i="2262"/>
  <c r="AT249" i="2262"/>
  <c r="AT197" i="2262"/>
  <c r="AT229" i="2262"/>
  <c r="AT269" i="2262"/>
  <c r="AT243" i="2262"/>
  <c r="AT250" i="2262"/>
  <c r="AT234" i="2262"/>
  <c r="AT198" i="2262"/>
  <c r="AT235" i="2262"/>
  <c r="AT270" i="2262"/>
  <c r="AT263" i="2262"/>
  <c r="AT211" i="2262"/>
  <c r="AT222" i="2262"/>
  <c r="AT201" i="2262"/>
  <c r="AT218" i="2262"/>
  <c r="AT276" i="2262"/>
  <c r="AT287" i="2262"/>
  <c r="AT247" i="2262"/>
  <c r="AT301" i="2262"/>
  <c r="AT220" i="2262"/>
  <c r="AT267" i="2262"/>
  <c r="AT208" i="2262"/>
  <c r="AT248" i="2262"/>
  <c r="AT195" i="2262"/>
  <c r="AT221" i="2262"/>
  <c r="AT268" i="2262"/>
  <c r="AT7" i="2262"/>
  <c r="AU7" i="2262"/>
  <c r="AO46" i="2262"/>
  <c r="BA46" i="2262"/>
  <c r="AZ46" i="2262"/>
  <c r="AY46" i="2262"/>
  <c r="AX46" i="2262"/>
  <c r="AW46" i="2262"/>
  <c r="AS46" i="2262"/>
  <c r="AV46" i="2262"/>
  <c r="AQ46" i="2262"/>
  <c r="AR46" i="2262"/>
  <c r="AP46" i="2262"/>
  <c r="AO44" i="2262"/>
  <c r="BA44" i="2262"/>
  <c r="AZ44" i="2262"/>
  <c r="AX44" i="2262"/>
  <c r="AY44" i="2262"/>
  <c r="AW44" i="2262"/>
  <c r="AS44" i="2262"/>
  <c r="AV44" i="2262"/>
  <c r="AQ44" i="2262"/>
  <c r="AR44" i="2262"/>
  <c r="AP44" i="2262"/>
  <c r="AO45" i="2262"/>
  <c r="BA45" i="2262"/>
  <c r="AZ45" i="2262"/>
  <c r="AY45" i="2262"/>
  <c r="AW45" i="2262"/>
  <c r="AX45" i="2262"/>
  <c r="AV45" i="2262"/>
  <c r="AS45" i="2262"/>
  <c r="AR45" i="2262"/>
  <c r="AP45" i="2262"/>
  <c r="AQ45" i="2262"/>
  <c r="AU15" i="2262"/>
  <c r="AU138" i="2262"/>
  <c r="AU184" i="2262"/>
  <c r="AU101" i="2262"/>
  <c r="AU121" i="2262"/>
  <c r="AU149" i="2262"/>
  <c r="AU23" i="2262"/>
  <c r="AU170" i="2262"/>
  <c r="AU181" i="2262"/>
  <c r="AU95" i="2262"/>
  <c r="AU165" i="2262"/>
  <c r="AU188" i="2262"/>
  <c r="AU67" i="2262"/>
  <c r="AU41" i="2262"/>
  <c r="AU186" i="2262"/>
  <c r="AU49" i="2262"/>
  <c r="AU31" i="2262"/>
  <c r="AU189" i="2262"/>
  <c r="AU164" i="2262"/>
  <c r="AU59" i="2262"/>
  <c r="AU87" i="2262"/>
  <c r="AU162" i="2262"/>
  <c r="AU173" i="2262"/>
  <c r="AU155" i="2262"/>
  <c r="AU39" i="2262"/>
  <c r="AU61" i="2262"/>
  <c r="AU180" i="2262"/>
  <c r="AU99" i="2262"/>
  <c r="AU143" i="2262"/>
  <c r="AU13" i="2262"/>
  <c r="AU27" i="2262"/>
  <c r="AU43" i="2262"/>
  <c r="AU57" i="2262"/>
  <c r="AU179" i="2262"/>
  <c r="AU71" i="2262"/>
  <c r="AU172" i="2262"/>
  <c r="AU326" i="2262"/>
  <c r="AU91" i="2262"/>
  <c r="AU133" i="2262"/>
  <c r="AU324" i="2262"/>
  <c r="AU55" i="2262"/>
  <c r="AU69" i="2262"/>
  <c r="AU145" i="2262"/>
  <c r="AU81" i="2262"/>
  <c r="AU73" i="2262"/>
  <c r="AU322" i="2262"/>
  <c r="AU89" i="2262"/>
  <c r="AU147" i="2262"/>
  <c r="AU158" i="2262"/>
  <c r="AU130" i="2262"/>
  <c r="AU152" i="2262"/>
  <c r="AU17" i="2262"/>
  <c r="AU302" i="2262"/>
  <c r="AU157" i="2262"/>
  <c r="AU192" i="2262"/>
  <c r="AU129" i="2262"/>
  <c r="AU37" i="2262"/>
  <c r="AU166" i="2262"/>
  <c r="AU174" i="2262"/>
  <c r="AU128" i="2262"/>
  <c r="AU120" i="2262"/>
  <c r="AU47" i="2262"/>
  <c r="AU97" i="2262"/>
  <c r="AU51" i="2262"/>
  <c r="AU53" i="2262"/>
  <c r="AU9" i="2262"/>
  <c r="AU131" i="2262"/>
  <c r="AU151" i="2262"/>
  <c r="AU19" i="2262"/>
  <c r="AU176" i="2262"/>
  <c r="AU137" i="2262"/>
  <c r="AU141" i="2262"/>
  <c r="AU29" i="2262"/>
  <c r="AU168" i="2262"/>
  <c r="AU75" i="2262"/>
  <c r="AU190" i="2262"/>
  <c r="AU178" i="2262"/>
  <c r="AU127" i="2262"/>
  <c r="AU63" i="2262"/>
  <c r="AU146" i="2262"/>
  <c r="AU136" i="2262"/>
  <c r="AU154" i="2262"/>
  <c r="AU65" i="2262"/>
  <c r="AU79" i="2262"/>
  <c r="AU33" i="2262"/>
  <c r="AU21" i="2262"/>
  <c r="AU139" i="2262"/>
  <c r="AU35" i="2262"/>
  <c r="AU122" i="2262"/>
  <c r="AU119" i="2262"/>
  <c r="AU160" i="2262"/>
  <c r="AU125" i="2262"/>
  <c r="AU123" i="2262"/>
  <c r="AU135" i="2262"/>
  <c r="AU126" i="2262"/>
  <c r="AU30" i="2262"/>
  <c r="AU327" i="2262"/>
  <c r="AU92" i="2262"/>
  <c r="AU34" i="2262"/>
  <c r="AU182" i="2262"/>
  <c r="AU153" i="2262"/>
  <c r="AU93" i="2262"/>
  <c r="AU25" i="2262"/>
  <c r="AU185" i="2262"/>
  <c r="AU83" i="2262"/>
  <c r="AU11" i="2262"/>
  <c r="AU144" i="2262"/>
  <c r="AU171" i="2262"/>
  <c r="AU325" i="2262"/>
  <c r="AU77" i="2262"/>
  <c r="AU85" i="2262"/>
  <c r="AU156" i="2262"/>
  <c r="AU64" i="2262"/>
  <c r="AU100" i="2262"/>
  <c r="AU150" i="2262"/>
  <c r="AU50" i="2262"/>
  <c r="AU68" i="2262"/>
  <c r="AU52" i="2262"/>
  <c r="AU56" i="2262"/>
  <c r="AU10" i="2262"/>
  <c r="AU96" i="2262"/>
  <c r="AU78" i="2262"/>
  <c r="AU167" i="2262"/>
  <c r="AU118" i="2262"/>
  <c r="AU140" i="2262"/>
  <c r="AU26" i="2262"/>
  <c r="AU187" i="2262"/>
  <c r="AU74" i="2262"/>
  <c r="AU14" i="2262"/>
  <c r="AU48" i="2262"/>
  <c r="AU32" i="2262"/>
  <c r="AU88" i="2262"/>
  <c r="AU175" i="2262"/>
  <c r="AU82" i="2262"/>
  <c r="AU60" i="2262"/>
  <c r="AU16" i="2262"/>
  <c r="AU132" i="2262"/>
  <c r="AU191" i="2262"/>
  <c r="AU72" i="2262"/>
  <c r="AU36" i="2262"/>
  <c r="AU163" i="2262"/>
  <c r="AU18" i="2262"/>
  <c r="AU148" i="2262"/>
  <c r="AU54" i="2262"/>
  <c r="AU70" i="2262"/>
  <c r="AU22" i="2262"/>
  <c r="AU8" i="2262"/>
  <c r="AU124" i="2262"/>
  <c r="AU76" i="2262"/>
  <c r="AU102" i="2262"/>
  <c r="AU134" i="2262"/>
  <c r="AU20" i="2262"/>
  <c r="AU62" i="2262"/>
  <c r="AU90" i="2262"/>
  <c r="AU323" i="2262"/>
  <c r="AU80" i="2262"/>
  <c r="AU183" i="2262"/>
  <c r="AU159" i="2262"/>
  <c r="AU12" i="2262"/>
  <c r="AU86" i="2262"/>
  <c r="AU24" i="2262"/>
  <c r="AU40" i="2262"/>
  <c r="AU84" i="2262"/>
  <c r="AU177" i="2262"/>
  <c r="AU98" i="2262"/>
  <c r="AU66" i="2262"/>
  <c r="AU38" i="2262"/>
  <c r="AU42" i="2262"/>
  <c r="AU28" i="2262"/>
  <c r="AU169" i="2262"/>
  <c r="AU142" i="2262"/>
  <c r="AU94" i="2262"/>
  <c r="AU58" i="2262"/>
  <c r="AT76" i="2262"/>
  <c r="AT98" i="2262"/>
  <c r="AT173" i="2262"/>
  <c r="AT64" i="2262"/>
  <c r="AT32" i="2262"/>
  <c r="AT66" i="2262"/>
  <c r="AT134" i="2262"/>
  <c r="AT183" i="2262"/>
  <c r="AT177" i="2262"/>
  <c r="AT86" i="2262"/>
  <c r="AT137" i="2262"/>
  <c r="AT192" i="2262"/>
  <c r="AT13" i="2262"/>
  <c r="AT170" i="2262"/>
  <c r="AT145" i="2262"/>
  <c r="AT89" i="2262"/>
  <c r="AT130" i="2262"/>
  <c r="AT129" i="2262"/>
  <c r="AT47" i="2262"/>
  <c r="AT9" i="2262"/>
  <c r="AT141" i="2262"/>
  <c r="AT190" i="2262"/>
  <c r="AT81" i="2262"/>
  <c r="AT138" i="2262"/>
  <c r="AT149" i="2262"/>
  <c r="AT61" i="2262"/>
  <c r="AT188" i="2262"/>
  <c r="AT56" i="2262"/>
  <c r="AT78" i="2262"/>
  <c r="AT39" i="2262"/>
  <c r="AT37" i="2262"/>
  <c r="AT53" i="2262"/>
  <c r="AT95" i="2262"/>
  <c r="AT178" i="2262"/>
  <c r="AT184" i="2262"/>
  <c r="AT181" i="2262"/>
  <c r="AT67" i="2262"/>
  <c r="AT49" i="2262"/>
  <c r="AT31" i="2262"/>
  <c r="AT59" i="2262"/>
  <c r="AT162" i="2262"/>
  <c r="AT155" i="2262"/>
  <c r="AT179" i="2262"/>
  <c r="AT71" i="2262"/>
  <c r="AT133" i="2262"/>
  <c r="AT175" i="2262"/>
  <c r="AT82" i="2262"/>
  <c r="AT73" i="2262"/>
  <c r="AT163" i="2262"/>
  <c r="AT148" i="2262"/>
  <c r="AT157" i="2262"/>
  <c r="AT166" i="2262"/>
  <c r="AT80" i="2262"/>
  <c r="AT151" i="2262"/>
  <c r="AT93" i="2262"/>
  <c r="AT92" i="2262"/>
  <c r="AT50" i="2262"/>
  <c r="AT26" i="2262"/>
  <c r="AT74" i="2262"/>
  <c r="AT132" i="2262"/>
  <c r="AT18" i="2262"/>
  <c r="AT70" i="2262"/>
  <c r="AT8" i="2262"/>
  <c r="AT90" i="2262"/>
  <c r="AT42" i="2262"/>
  <c r="AT52" i="2262"/>
  <c r="AT15" i="2262"/>
  <c r="AT121" i="2262"/>
  <c r="AT23" i="2262"/>
  <c r="AT165" i="2262"/>
  <c r="AT186" i="2262"/>
  <c r="AT164" i="2262"/>
  <c r="AT180" i="2262"/>
  <c r="AT55" i="2262"/>
  <c r="AT29" i="2262"/>
  <c r="AT136" i="2262"/>
  <c r="AT125" i="2262"/>
  <c r="AT21" i="2262"/>
  <c r="AT185" i="2262"/>
  <c r="AT85" i="2262"/>
  <c r="AT41" i="2262"/>
  <c r="AT189" i="2262"/>
  <c r="AT143" i="2262"/>
  <c r="AT91" i="2262"/>
  <c r="AT69" i="2262"/>
  <c r="AT158" i="2262"/>
  <c r="AT17" i="2262"/>
  <c r="AT302" i="2262"/>
  <c r="AT97" i="2262"/>
  <c r="AT131" i="2262"/>
  <c r="AT19" i="2262"/>
  <c r="AT63" i="2262"/>
  <c r="AT154" i="2262"/>
  <c r="AT119" i="2262"/>
  <c r="AT123" i="2262"/>
  <c r="AT35" i="2262"/>
  <c r="AT135" i="2262"/>
  <c r="AT25" i="2262"/>
  <c r="AT11" i="2262"/>
  <c r="AT72" i="2262"/>
  <c r="AT100" i="2262"/>
  <c r="AT101" i="2262"/>
  <c r="AT68" i="2262"/>
  <c r="AT87" i="2262"/>
  <c r="AT14" i="2262"/>
  <c r="AT27" i="2262"/>
  <c r="AT57" i="2262"/>
  <c r="AT48" i="2262"/>
  <c r="AT172" i="2262"/>
  <c r="AT324" i="2262"/>
  <c r="AT60" i="2262"/>
  <c r="AT16" i="2262"/>
  <c r="AT191" i="2262"/>
  <c r="AT322" i="2262"/>
  <c r="AT36" i="2262"/>
  <c r="AT152" i="2262"/>
  <c r="AT54" i="2262"/>
  <c r="AT22" i="2262"/>
  <c r="AT124" i="2262"/>
  <c r="AT20" i="2262"/>
  <c r="AT174" i="2262"/>
  <c r="AT120" i="2262"/>
  <c r="AT62" i="2262"/>
  <c r="AT323" i="2262"/>
  <c r="AT12" i="2262"/>
  <c r="AT24" i="2262"/>
  <c r="AT168" i="2262"/>
  <c r="AT146" i="2262"/>
  <c r="AT38" i="2262"/>
  <c r="AT28" i="2262"/>
  <c r="AT169" i="2262"/>
  <c r="AT142" i="2262"/>
  <c r="AT94" i="2262"/>
  <c r="AT58" i="2262"/>
  <c r="AT153" i="2262"/>
  <c r="AT126" i="2262"/>
  <c r="AT30" i="2262"/>
  <c r="AT327" i="2262"/>
  <c r="AT34" i="2262"/>
  <c r="AT77" i="2262"/>
  <c r="AT84" i="2262"/>
  <c r="AT224" i="2262"/>
  <c r="AT10" i="2262"/>
  <c r="AT167" i="2262"/>
  <c r="AT118" i="2262"/>
  <c r="AT140" i="2262"/>
  <c r="AT43" i="2262"/>
  <c r="AT326" i="2262"/>
  <c r="AT147" i="2262"/>
  <c r="AT102" i="2262"/>
  <c r="AT128" i="2262"/>
  <c r="AT51" i="2262"/>
  <c r="AT40" i="2262"/>
  <c r="AT127" i="2262"/>
  <c r="AT33" i="2262"/>
  <c r="AT122" i="2262"/>
  <c r="AT83" i="2262"/>
  <c r="AT75" i="2262"/>
  <c r="AT239" i="2262"/>
  <c r="AT305" i="2262"/>
  <c r="AT204" i="2262"/>
  <c r="AT193" i="2262"/>
  <c r="AT288" i="2262"/>
  <c r="AT156" i="2262"/>
  <c r="AT150" i="2262"/>
  <c r="AT96" i="2262"/>
  <c r="AT187" i="2262"/>
  <c r="AT99" i="2262"/>
  <c r="AT159" i="2262"/>
  <c r="AT65" i="2262"/>
  <c r="AT160" i="2262"/>
  <c r="AT79" i="2262"/>
  <c r="AT139" i="2262"/>
  <c r="AT182" i="2262"/>
  <c r="AT144" i="2262"/>
  <c r="AT171" i="2262"/>
  <c r="AT325" i="2262"/>
  <c r="AT88" i="2262"/>
  <c r="AT176" i="2262"/>
  <c r="AT306" i="2262"/>
  <c r="AK308" i="2262"/>
  <c r="D38" i="2273"/>
  <c r="AP3" i="2262"/>
  <c r="AM308" i="2262" l="1"/>
  <c r="AN308" i="2262" s="1"/>
  <c r="AU308" i="2262" s="1"/>
  <c r="AU46" i="2262"/>
  <c r="AU44" i="2262"/>
  <c r="AU45" i="2262"/>
  <c r="AT45" i="2262"/>
  <c r="AT44" i="2262"/>
  <c r="AT46" i="2262"/>
  <c r="AT307" i="2262"/>
  <c r="AT225" i="2262"/>
  <c r="AT289" i="2262"/>
  <c r="AK309" i="2262"/>
  <c r="AM309" i="2262" l="1"/>
  <c r="AN309" i="2262" s="1"/>
  <c r="AU309" i="2262" s="1"/>
  <c r="AT308" i="2262"/>
  <c r="AT226" i="2262"/>
  <c r="AT290" i="2262"/>
  <c r="AK310" i="2262"/>
  <c r="AM310" i="2262" l="1"/>
  <c r="AN310" i="2262" s="1"/>
  <c r="AU310" i="2262" s="1"/>
  <c r="AT291" i="2262"/>
  <c r="AT228" i="2262"/>
  <c r="AT309" i="2262"/>
  <c r="AT227" i="2262"/>
  <c r="AK311" i="2262"/>
  <c r="BD2" i="2262"/>
  <c r="AM311" i="2262" l="1"/>
  <c r="AN311" i="2262" s="1"/>
  <c r="AU311" i="2262" s="1"/>
  <c r="AT292" i="2262"/>
  <c r="AT310" i="2262"/>
  <c r="AK312" i="2262"/>
  <c r="AM312" i="2262" l="1"/>
  <c r="AN312" i="2262" s="1"/>
  <c r="AU312" i="2262" s="1"/>
  <c r="C44" i="2273"/>
  <c r="AT311" i="2262"/>
  <c r="AT293" i="2262"/>
  <c r="AK313" i="2262"/>
  <c r="AM313" i="2262" l="1"/>
  <c r="AN313" i="2262" s="1"/>
  <c r="AU313" i="2262" s="1"/>
  <c r="AT294" i="2262"/>
  <c r="AT312" i="2262"/>
  <c r="AK314" i="2262"/>
  <c r="AM314" i="2262" l="1"/>
  <c r="AN314" i="2262" s="1"/>
  <c r="AU314" i="2262" s="1"/>
  <c r="AT313" i="2262"/>
  <c r="AT295" i="2262"/>
  <c r="AK315" i="2262"/>
  <c r="AM315" i="2262" l="1"/>
  <c r="AN315" i="2262" s="1"/>
  <c r="AU315" i="2262" s="1"/>
  <c r="AT296" i="2262"/>
  <c r="AT314" i="2262"/>
  <c r="AK316" i="2262"/>
  <c r="AM316" i="2262" l="1"/>
  <c r="AN316" i="2262" s="1"/>
  <c r="AU316" i="2262" s="1"/>
  <c r="AT315" i="2262"/>
  <c r="AT297" i="2262"/>
  <c r="AK317" i="2262"/>
  <c r="AM317" i="2262" l="1"/>
  <c r="AN317" i="2262" s="1"/>
  <c r="AU317" i="2262" s="1"/>
  <c r="AT298" i="2262"/>
  <c r="AT316" i="2262"/>
  <c r="AK318" i="2262"/>
  <c r="AM318" i="2262" l="1"/>
  <c r="AN318" i="2262" s="1"/>
  <c r="AU318" i="2262" s="1"/>
  <c r="AT317" i="2262"/>
  <c r="AT299" i="2262"/>
  <c r="AT300" i="2262"/>
  <c r="AK319" i="2262"/>
  <c r="AM319" i="2262" l="1"/>
  <c r="AN319" i="2262" s="1"/>
  <c r="AU319" i="2262" s="1"/>
  <c r="AT318" i="2262"/>
  <c r="AK320" i="2262"/>
  <c r="AM320" i="2262" l="1"/>
  <c r="AN320" i="2262" s="1"/>
  <c r="AU320" i="2262" s="1"/>
  <c r="AT319" i="2262"/>
  <c r="AK321" i="2262"/>
  <c r="AM321" i="2262" l="1"/>
  <c r="AN321" i="2262" s="1"/>
  <c r="AU321" i="2262" s="1"/>
  <c r="AT320" i="2262"/>
  <c r="AT321" i="2262" l="1"/>
</calcChain>
</file>

<file path=xl/sharedStrings.xml><?xml version="1.0" encoding="utf-8"?>
<sst xmlns="http://schemas.openxmlformats.org/spreadsheetml/2006/main" count="1191" uniqueCount="652">
  <si>
    <t>NRO</t>
  </si>
  <si>
    <t>CGO</t>
  </si>
  <si>
    <t>DENOMINACION</t>
  </si>
  <si>
    <t>P001</t>
  </si>
  <si>
    <t>P1723</t>
  </si>
  <si>
    <t>P1763</t>
  </si>
  <si>
    <t>P1821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</si>
  <si>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</si>
  <si>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</si>
  <si>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</si>
  <si>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</si>
  <si>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</si>
  <si>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</si>
  <si>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</si>
  <si>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</si>
  <si>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</si>
  <si>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</si>
  <si>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</si>
  <si>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</si>
  <si>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</si>
  <si>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</si>
  <si>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</si>
  <si>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</si>
  <si>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</si>
  <si>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</si>
  <si>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</si>
  <si>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</si>
  <si>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</si>
  <si>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</si>
  <si>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</si>
  <si>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</si>
  <si>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</si>
  <si>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</si>
  <si>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</si>
  <si>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</si>
  <si>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</si>
  <si>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</si>
  <si>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</si>
  <si>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</si>
  <si>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</si>
  <si>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</si>
  <si>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</si>
  <si>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</si>
  <si>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</si>
  <si>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</si>
  <si>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</si>
  <si>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</si>
  <si>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</si>
  <si>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</si>
  <si>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</si>
  <si>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</si>
  <si>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</si>
  <si>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</si>
  <si>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</si>
  <si>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</si>
  <si>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</si>
  <si>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</si>
  <si>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</si>
  <si>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</si>
  <si>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</si>
  <si>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</si>
  <si>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</si>
  <si>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</si>
  <si>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</si>
  <si>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</si>
  <si>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</si>
  <si>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</si>
  <si>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</si>
  <si>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</si>
  <si>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</si>
  <si>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</si>
  <si>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</si>
  <si>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</si>
  <si>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</si>
  <si>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</si>
  <si>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</si>
  <si>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</si>
  <si>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</si>
  <si>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</si>
  <si>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</si>
  <si>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</si>
  <si>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</si>
  <si>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</si>
  <si>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</si>
  <si>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</si>
  <si>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</si>
  <si>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</si>
  <si>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</si>
  <si>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</si>
  <si>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</si>
  <si>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</si>
  <si>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</si>
  <si>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</si>
  <si>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</si>
  <si>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</si>
  <si>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</si>
  <si>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</si>
  <si>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</si>
  <si>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</si>
  <si>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</si>
  <si>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</si>
  <si>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</si>
  <si>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</si>
  <si>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</si>
  <si>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</si>
  <si>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</si>
  <si>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</si>
  <si>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</si>
  <si>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</si>
  <si>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</si>
  <si>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</si>
  <si>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</si>
  <si>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</si>
  <si>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</si>
  <si>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</si>
  <si>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</si>
  <si>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</si>
  <si>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</si>
  <si>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</si>
  <si>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</si>
  <si>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</si>
  <si>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</si>
  <si>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</si>
  <si>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</si>
  <si>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</si>
  <si>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</si>
  <si>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</si>
  <si>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</si>
  <si>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</si>
  <si>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</si>
  <si>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</si>
  <si>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</si>
  <si>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</si>
  <si>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</si>
  <si>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</si>
  <si>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</si>
  <si>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</si>
  <si>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</si>
  <si>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</si>
  <si>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</si>
  <si>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</si>
  <si>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</si>
  <si>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</si>
  <si>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</si>
  <si>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</si>
  <si>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</si>
  <si>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</si>
  <si>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</si>
  <si>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</si>
  <si>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</si>
  <si>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</si>
  <si>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</si>
  <si>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</si>
  <si>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</si>
  <si>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</si>
  <si>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</si>
  <si>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</si>
  <si>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</si>
  <si>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13-256</t>
  </si>
  <si>
    <t>Director de 1ª Ens. Prim.T. P. P.</t>
  </si>
  <si>
    <t>13-260</t>
  </si>
  <si>
    <t>Director de 2ª Ens. Primaria</t>
  </si>
  <si>
    <t>13-265</t>
  </si>
  <si>
    <t>Director de 3ª Ens. Primaria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</si>
  <si>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</si>
  <si>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</si>
  <si>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</si>
  <si>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</si>
  <si>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</si>
  <si>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</si>
  <si>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</si>
  <si>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</si>
  <si>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</si>
  <si>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</si>
  <si>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</si>
  <si>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</si>
  <si>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</si>
  <si>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</si>
  <si>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</si>
  <si>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</si>
  <si>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</si>
  <si>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</si>
  <si>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</si>
  <si>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</si>
  <si>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</si>
  <si>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</si>
  <si>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</si>
  <si>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</si>
  <si>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</si>
  <si>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</si>
  <si>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</si>
  <si>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</si>
  <si>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</si>
  <si>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</si>
  <si>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</si>
  <si>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</si>
  <si>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</si>
  <si>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</si>
  <si>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</si>
  <si>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</si>
  <si>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</si>
  <si>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</si>
  <si>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</si>
  <si>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</si>
  <si>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</si>
  <si>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</si>
  <si>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</si>
  <si>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</si>
  <si>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</si>
  <si>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</si>
  <si>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</si>
  <si>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</si>
  <si>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</si>
  <si>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</si>
  <si>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</si>
  <si>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</si>
  <si>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</si>
  <si>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</si>
  <si>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</si>
  <si>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</si>
  <si>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</si>
  <si>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</si>
  <si>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</si>
  <si>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</si>
  <si>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</si>
  <si>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</si>
  <si>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</si>
  <si>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</si>
  <si>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</si>
  <si>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</si>
  <si>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</si>
  <si>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</si>
  <si>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</si>
  <si>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</si>
  <si>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</si>
  <si>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</si>
  <si>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</si>
  <si>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</si>
  <si>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</si>
  <si>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</si>
  <si>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</si>
  <si>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</si>
  <si>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</si>
  <si>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</si>
  <si>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</si>
  <si>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</si>
  <si>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</si>
  <si>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</si>
  <si>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</si>
  <si>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</si>
  <si>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</si>
  <si>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</si>
  <si>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</si>
  <si>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</si>
  <si>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</si>
  <si>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</si>
  <si>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</si>
  <si>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</si>
  <si>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</si>
  <si>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</si>
  <si>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</si>
  <si>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</si>
  <si>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</si>
  <si>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</si>
  <si>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</si>
  <si>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</si>
  <si>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</si>
  <si>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</si>
  <si>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</si>
  <si>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</si>
  <si>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</si>
  <si>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</si>
  <si>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</si>
  <si>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</si>
  <si>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</si>
  <si>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</si>
  <si>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</si>
  <si>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</si>
  <si>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</si>
  <si>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</si>
  <si>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</si>
  <si>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</si>
  <si>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</si>
  <si>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</si>
  <si>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</si>
  <si>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</si>
  <si>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</si>
  <si>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</si>
  <si>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</si>
  <si>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</si>
  <si>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</si>
  <si>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</si>
  <si>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</si>
  <si>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</si>
  <si>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</si>
  <si>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</si>
  <si>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13-517</t>
  </si>
  <si>
    <t>Maestro Esp Artística</t>
  </si>
  <si>
    <t>13-520</t>
  </si>
  <si>
    <t>Preceptor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</si>
  <si>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</si>
  <si>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</si>
  <si>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</si>
  <si>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</si>
  <si>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</si>
  <si>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</si>
  <si>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</si>
  <si>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</si>
  <si>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</si>
  <si>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</si>
  <si>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</si>
  <si>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</si>
  <si>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</si>
  <si>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</si>
  <si>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</si>
  <si>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</si>
  <si>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</si>
  <si>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</si>
  <si>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</si>
  <si>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</si>
  <si>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</si>
  <si>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</si>
  <si>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</si>
  <si>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</si>
  <si>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</si>
  <si>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</si>
  <si>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</si>
  <si>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</si>
  <si>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</si>
  <si>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</si>
  <si>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</si>
  <si>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</si>
  <si>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</si>
  <si>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</si>
  <si>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</si>
  <si>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</si>
  <si>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</si>
  <si>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</si>
  <si>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</si>
  <si>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</si>
  <si>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</si>
  <si>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</si>
  <si>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</si>
  <si>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</si>
  <si>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</si>
  <si>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</si>
  <si>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</si>
  <si>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</si>
  <si>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</si>
  <si>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</si>
  <si>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</si>
  <si>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</si>
  <si>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13-800</t>
  </si>
  <si>
    <t>Mtro. Mat. Esp. Esc. Hogar</t>
  </si>
  <si>
    <t>13-900</t>
  </si>
  <si>
    <t>13-910</t>
  </si>
  <si>
    <t>13-920</t>
  </si>
  <si>
    <t>Hs. Cat. Ley 22416 01 Hora</t>
  </si>
  <si>
    <t>Presidente Junta Clas. Primaria</t>
  </si>
  <si>
    <t>Vocal Junta Clas. Primaria</t>
  </si>
  <si>
    <t>Miembro Vocal de Junta D.E.M.E.S.</t>
  </si>
  <si>
    <t xml:space="preserve">Basico </t>
  </si>
  <si>
    <t>Ded. Funcional</t>
  </si>
  <si>
    <t>Ded. Excl.</t>
  </si>
  <si>
    <t>Compl. Esp.</t>
  </si>
  <si>
    <t xml:space="preserve">Ad. Rem </t>
  </si>
  <si>
    <t>Est. Doc</t>
  </si>
  <si>
    <t>Supl. Cap.</t>
  </si>
  <si>
    <t>P.Cal Ed.</t>
  </si>
  <si>
    <t>Func. Jer</t>
  </si>
  <si>
    <t>Pr.Jor Func.</t>
  </si>
  <si>
    <t>Pr.Jor Pts.</t>
  </si>
  <si>
    <t>Bon Minor.</t>
  </si>
  <si>
    <t>Fun. Dif</t>
  </si>
  <si>
    <t>Remun</t>
  </si>
  <si>
    <t>Total</t>
  </si>
  <si>
    <t>M.Did. Anual</t>
  </si>
  <si>
    <t>M.Did Men.</t>
  </si>
  <si>
    <t>No Rem</t>
  </si>
  <si>
    <t>Antig</t>
  </si>
  <si>
    <t>Valor del Punto</t>
  </si>
  <si>
    <t>P1839</t>
  </si>
  <si>
    <t>Bon. Por Minoridad</t>
  </si>
  <si>
    <t>Años</t>
  </si>
  <si>
    <t>Porcentaje</t>
  </si>
  <si>
    <t>P1803</t>
  </si>
  <si>
    <t>Maestro Mat. Esp. - Ex. Cons. Menor</t>
  </si>
  <si>
    <t>Ad Rem Hs</t>
  </si>
  <si>
    <t>Compl. Inicial</t>
  </si>
  <si>
    <t>Prom hs</t>
  </si>
  <si>
    <t>13-041</t>
  </si>
  <si>
    <t>Inspector de Jovenes y Adultos</t>
  </si>
  <si>
    <t>13-020</t>
  </si>
  <si>
    <t xml:space="preserve">Inspector Gral. De Adultos </t>
  </si>
  <si>
    <t>Fondo</t>
  </si>
  <si>
    <t>Ad R Doc</t>
  </si>
  <si>
    <t>Nuevo  A.R.D.</t>
  </si>
  <si>
    <t>C100003</t>
  </si>
  <si>
    <t>C117230</t>
  </si>
  <si>
    <t>C117630</t>
  </si>
  <si>
    <t>C118210</t>
  </si>
  <si>
    <t>C130300</t>
  </si>
  <si>
    <t>C110230</t>
  </si>
  <si>
    <t>C117730</t>
  </si>
  <si>
    <t>C117430</t>
  </si>
  <si>
    <t>C118420</t>
  </si>
  <si>
    <t>C117930</t>
  </si>
  <si>
    <t>C117830</t>
  </si>
  <si>
    <t>C118030</t>
  </si>
  <si>
    <t>C118510</t>
  </si>
  <si>
    <t>C 117900</t>
  </si>
  <si>
    <t>C114200</t>
  </si>
  <si>
    <t>C118390</t>
  </si>
  <si>
    <t>C117330</t>
  </si>
  <si>
    <t>C117530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</si>
  <si>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</si>
  <si>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</si>
  <si>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</si>
  <si>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</si>
  <si>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</si>
  <si>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</si>
  <si>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</si>
  <si>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</si>
  <si>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</si>
  <si>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</si>
  <si>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</si>
  <si>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</si>
  <si>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</si>
  <si>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</si>
  <si>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</si>
  <si>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</si>
  <si>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</si>
  <si>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</si>
  <si>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</si>
  <si>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</si>
  <si>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</si>
  <si>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</si>
  <si>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</si>
  <si>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</si>
  <si>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</si>
  <si>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Preceptor Escuela de Mod Especial</t>
  </si>
  <si>
    <t>13-797</t>
  </si>
  <si>
    <t>Preceptor Jor Compl, Esc Hogar, An Alb</t>
  </si>
  <si>
    <t>13-930</t>
  </si>
  <si>
    <t>Zona</t>
  </si>
  <si>
    <t>ANTIGÜEDAD (EN AÑOS)</t>
  </si>
  <si>
    <t>ZONA DESFAVORABLE (EN NUMEROS)</t>
  </si>
  <si>
    <t>Jornada Extendida Modulo de 2 hs</t>
  </si>
  <si>
    <t>Mat. Did. Mens (5%)</t>
  </si>
  <si>
    <t>Mat. Did. Hs.</t>
  </si>
  <si>
    <t>Adel Inc Docente</t>
  </si>
  <si>
    <t>C130030</t>
  </si>
  <si>
    <t>HS FONID</t>
  </si>
  <si>
    <t>HS SEM</t>
  </si>
  <si>
    <t>Adic Rem Cgo 1</t>
  </si>
  <si>
    <t>Adic Rem Cgo 2</t>
  </si>
  <si>
    <t>Adic Rem Cgo 4</t>
  </si>
  <si>
    <t>Adic Rem Cgo 6</t>
  </si>
  <si>
    <t>C118360</t>
  </si>
  <si>
    <t>Prom Cgos 1</t>
  </si>
  <si>
    <t>Prom Cgos 2</t>
  </si>
  <si>
    <t>C118460</t>
  </si>
  <si>
    <t>x</t>
  </si>
  <si>
    <t>Maestro Mat. Esp. - Ex. Cons. Menor Jubilado</t>
  </si>
  <si>
    <t>Ad. Extr</t>
  </si>
  <si>
    <t>Adic Rem Cgo 7</t>
  </si>
  <si>
    <t>NO</t>
  </si>
  <si>
    <t>SI</t>
  </si>
  <si>
    <t>LIQ PN</t>
  </si>
  <si>
    <t>Supl. Cap 01</t>
  </si>
  <si>
    <t>Supl. Cap 02</t>
  </si>
  <si>
    <t>Titular Ded Simple</t>
  </si>
  <si>
    <t>Titular Ded Exclusiva</t>
  </si>
  <si>
    <t>Titular Ded Semiexclusiva</t>
  </si>
  <si>
    <t>Asociado Ded Simple</t>
  </si>
  <si>
    <t>Asiciado  Ded Semiexclusiva</t>
  </si>
  <si>
    <t>Asociado Ded Exclusiva</t>
  </si>
  <si>
    <t>Adjunto Ded Simple</t>
  </si>
  <si>
    <t>Adjunto  Ded Semiexclusiva</t>
  </si>
  <si>
    <t>Adjunto Ded Exclusiva</t>
  </si>
  <si>
    <t>Jefe Trabajos Practicos Ded Simple</t>
  </si>
  <si>
    <t>Jefe Trabajos Practicos Ded Semiexclusiva</t>
  </si>
  <si>
    <t>Jefe Trabajos Practicos Ded Exclusiva</t>
  </si>
  <si>
    <t>Ayudante Trabajos Practicos Ded Simple</t>
  </si>
  <si>
    <t>Ayudante Jefe Trabajos Practicos Ded Semiexclusiva</t>
  </si>
  <si>
    <t>Ayudante  Trabajos Practicos Ded Exclusiva</t>
  </si>
  <si>
    <t>45-200</t>
  </si>
  <si>
    <t>45-210</t>
  </si>
  <si>
    <t>Gto. Inh. Lab. Doc (5%)</t>
  </si>
  <si>
    <t>Gtos. Inh. Lab. Doc.</t>
  </si>
  <si>
    <t>Mat. Did. 930</t>
  </si>
  <si>
    <t>Gto. Inh. Lab. Doc 930</t>
  </si>
  <si>
    <t>Gto. Inh. Lab. Doc hs</t>
  </si>
  <si>
    <t>Gto. Inh. Lab. Doc 04</t>
  </si>
  <si>
    <t>Gto. Inh. Lab. Doc 03</t>
  </si>
  <si>
    <t>Gto. Inh. Lab. Doc 02</t>
  </si>
  <si>
    <t>Gto. Inh. Lab. Doc 01</t>
  </si>
  <si>
    <t>C112620</t>
  </si>
  <si>
    <t>Basico</t>
  </si>
  <si>
    <t>Total Rem</t>
  </si>
  <si>
    <t>Total No Rem</t>
  </si>
  <si>
    <t>Fonid hs</t>
  </si>
  <si>
    <t>13-100</t>
  </si>
  <si>
    <t>13-101</t>
  </si>
  <si>
    <t>13-102</t>
  </si>
  <si>
    <t>Adic Rem</t>
  </si>
  <si>
    <t>Est Doc</t>
  </si>
  <si>
    <t>Gildo</t>
  </si>
  <si>
    <t>Prom. Cal. Ed</t>
  </si>
  <si>
    <t>Ad. Rem Doc</t>
  </si>
  <si>
    <t>Nvo Ad. Rem. Doc</t>
  </si>
  <si>
    <t>Mat. Did.</t>
  </si>
  <si>
    <t>Fonid</t>
  </si>
  <si>
    <t>según pn 45 200</t>
  </si>
  <si>
    <t>según pn 45 210</t>
  </si>
  <si>
    <t>Director de 1ª Ens. Primaria (Jardin Inf)</t>
  </si>
  <si>
    <t>Director de 2ª Ens. Primaria (Jardin Inf)</t>
  </si>
  <si>
    <t>Director de 3ª Ens. Primaria (Jardin Inf)</t>
  </si>
  <si>
    <t>Fonid cgos</t>
  </si>
  <si>
    <t>45-100</t>
  </si>
  <si>
    <t>45-110</t>
  </si>
  <si>
    <t>45-120</t>
  </si>
  <si>
    <t>45-220</t>
  </si>
  <si>
    <t>45-300</t>
  </si>
  <si>
    <t>45-310</t>
  </si>
  <si>
    <t>45-320</t>
  </si>
  <si>
    <t>45-400</t>
  </si>
  <si>
    <t>45-410</t>
  </si>
  <si>
    <t>45-420</t>
  </si>
  <si>
    <t>45-500</t>
  </si>
  <si>
    <t>45-510</t>
  </si>
  <si>
    <t>45-520</t>
  </si>
  <si>
    <t>46-110</t>
  </si>
  <si>
    <t>Vicedecano</t>
  </si>
  <si>
    <t>46-120</t>
  </si>
  <si>
    <t>Rector</t>
  </si>
  <si>
    <t>46-130</t>
  </si>
  <si>
    <t>Secretario Academico</t>
  </si>
  <si>
    <t>46-100</t>
  </si>
  <si>
    <t>Decano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</si>
  <si>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</si>
  <si>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</si>
  <si>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</si>
  <si>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</si>
  <si>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</si>
  <si>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</si>
  <si>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</si>
  <si>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</si>
  <si>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</si>
  <si>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</si>
  <si>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</si>
  <si>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</si>
  <si>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</si>
  <si>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</si>
  <si>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TR</t>
  </si>
  <si>
    <t>TNR</t>
  </si>
  <si>
    <t>0101023</t>
  </si>
  <si>
    <t>0205005</t>
  </si>
  <si>
    <t>EQUIV</t>
  </si>
  <si>
    <t>0101024</t>
  </si>
  <si>
    <t>C120170</t>
  </si>
  <si>
    <t>Ap Mat Did Rem.</t>
  </si>
  <si>
    <t>Ap Mat Did Rem. Compl</t>
  </si>
  <si>
    <t>C121170</t>
  </si>
  <si>
    <t>Ap Mat Did Rem.Compl</t>
  </si>
  <si>
    <t>C130230</t>
  </si>
  <si>
    <t>Vicerector</t>
  </si>
  <si>
    <t>46-125</t>
  </si>
  <si>
    <t>46-165</t>
  </si>
  <si>
    <t>Director</t>
  </si>
  <si>
    <t>CONTROL</t>
  </si>
  <si>
    <t>Ap. Mat</t>
  </si>
  <si>
    <t>Ap. Mat.</t>
  </si>
  <si>
    <t>APROSS</t>
  </si>
  <si>
    <t>OS DIPE</t>
  </si>
  <si>
    <t>LIQUIDO C/ OS APROSS</t>
  </si>
  <si>
    <t>LIQUIDO C/ OS DIPE</t>
  </si>
  <si>
    <t>Aportes Personales</t>
  </si>
  <si>
    <t>Contribuciones Patronales</t>
  </si>
  <si>
    <t>Adic. Equip Escal. Gral. RM</t>
  </si>
  <si>
    <t>Titulo</t>
  </si>
  <si>
    <t>Ap. Jub.</t>
  </si>
  <si>
    <t>Ap. Jub. Compl</t>
  </si>
  <si>
    <t>Ob Soc</t>
  </si>
  <si>
    <t>Jub.</t>
  </si>
  <si>
    <t>Jub. Adic</t>
  </si>
  <si>
    <t>Jub. Compl</t>
  </si>
  <si>
    <t>COSTO</t>
  </si>
  <si>
    <t>45-900</t>
  </si>
  <si>
    <t>Ap Pers Jub</t>
  </si>
  <si>
    <t>Ap Pers Jub Compl</t>
  </si>
  <si>
    <t>Contr Patronal Jub</t>
  </si>
  <si>
    <t>Contr Patr Jub Adic</t>
  </si>
  <si>
    <t>Contr Patr Jub Compl</t>
  </si>
  <si>
    <t>Contr Patr APROSS</t>
  </si>
  <si>
    <t>Contr Patr OS DIPE</t>
  </si>
  <si>
    <t>DIPE ANSSAL</t>
  </si>
  <si>
    <t>Contr Patr DIPE ANSSAL</t>
  </si>
  <si>
    <t>C660060</t>
  </si>
  <si>
    <t>C660070</t>
  </si>
  <si>
    <t>C660300</t>
  </si>
  <si>
    <t>C672400</t>
  </si>
  <si>
    <t>C672440</t>
  </si>
  <si>
    <t>C662200</t>
  </si>
  <si>
    <t>C662400</t>
  </si>
  <si>
    <t>C662300</t>
  </si>
  <si>
    <t>C670920</t>
  </si>
  <si>
    <t>C661460</t>
  </si>
  <si>
    <t>C661470</t>
  </si>
  <si>
    <t>Corrección Pauta Salarial sobre FONID</t>
  </si>
  <si>
    <t>C120180</t>
  </si>
  <si>
    <t>Corr pauta FONID CGO</t>
  </si>
  <si>
    <t>Corr pauta FONID HS</t>
  </si>
  <si>
    <t>Nvo Ad. Rem Doc HS</t>
  </si>
  <si>
    <t>Ad. Rem. Doc HS</t>
  </si>
  <si>
    <t>LIQUIDO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</si>
  <si>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</si>
  <si>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</si>
  <si>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</si>
  <si>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</si>
  <si>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</si>
  <si>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</si>
  <si>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</si>
  <si>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</si>
  <si>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 xml:space="preserve"> </t>
  </si>
  <si>
    <t>Adic Rem Cgo 5 SUPERV</t>
  </si>
  <si>
    <t>Estado Docente %</t>
  </si>
  <si>
    <t>Mat. Did. Mensual Secr y Prosecr</t>
  </si>
  <si>
    <t>Mat. Did. Mensual Dir y Frente Alumnos</t>
  </si>
  <si>
    <t>Mat. Did. Mensual Prec Bibl y Ay Téc</t>
  </si>
  <si>
    <t>Mat. Did. Mensual Superv jor compl y min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</si>
  <si>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</si>
  <si>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</si>
  <si>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</si>
  <si>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</si>
  <si>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</si>
  <si>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</si>
  <si>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Adicional</t>
  </si>
  <si>
    <t>Horas Universitarias 09</t>
  </si>
  <si>
    <t>Horas Universitarias 10</t>
  </si>
  <si>
    <t>Horas Universitarias 11</t>
  </si>
  <si>
    <t>Horas Universitarias 12</t>
  </si>
  <si>
    <t>Correccion Pauta Salarial Remunerativa</t>
  </si>
  <si>
    <t>C 118340</t>
  </si>
  <si>
    <t>Correccion Pauta Salarial</t>
  </si>
  <si>
    <t>Correccion Pauta Salarial No Remunerativa</t>
  </si>
  <si>
    <t>C118350</t>
  </si>
  <si>
    <t>COBRA ADEL INC DOC (SI/NO)</t>
  </si>
  <si>
    <t>NARD Cgo</t>
  </si>
  <si>
    <t>ARD Cgo</t>
  </si>
  <si>
    <t>TOPE</t>
  </si>
  <si>
    <t>Valor Punto:$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</si>
</sst>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-* #,##0_-;\-* #,##0_-;_-* &quot;-&quot;_-;_-@_-"/>
    <numFmt numFmtId="166" formatCode="_(&quot;$&quot;* #,##0.00_);_(&quot;$&quot;* \(#,##0.00\);_(&quot;$&quot;* &quot;-&quot;??_);_(@_)"/>
    <numFmt numFmtId="167" formatCode="_ * #,##0_ ;_ * \-#,##0_ ;_ * &quot;-&quot;??_ ;_ @_ "/>
    <numFmt numFmtId="168" formatCode="0.0000"/>
    <numFmt numFmtId="169" formatCode="0_ ;\-0\ "/>
    <numFmt numFmtId="170" formatCode="0.000000"/>
    <numFmt numFmtId="171" formatCode="0.0000%"/>
    <numFmt numFmtId="172" formatCode="#,##0.00_ ;\-#,##0.00\ "/>
    <numFmt numFmtId="173" formatCode="_ * #,##0.00000_ ;_ * \-#,##0.00000_ ;_ * &quot;-&quot;??_ ;_ @_ "/>
  </numFmts>
  <fonts count="43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6"/>
      <color indexed="8"/>
      <name val="Times New Roman"/>
      <family val="1"/>
    </font>
    <font>
      <b/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u/>
      <sz val="10"/>
      <color indexed="12"/>
      <name val="Arial"/>
      <family val="2"/>
    </font>
    <font>
      <sz val="7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color indexed="9"/>
      <name val="Times New Roman"/>
      <family val="1"/>
    </font>
    <font>
      <sz val="6"/>
      <color indexed="9"/>
      <name val="Times New Roman"/>
      <family val="1"/>
    </font>
    <font>
      <b/>
      <sz val="20"/>
      <color indexed="8"/>
      <name val="Times New Roman"/>
      <family val="1"/>
    </font>
    <font>
      <b/>
      <sz val="7"/>
      <name val="Times New Roman"/>
      <family val="1"/>
    </font>
    <font>
      <sz val="6"/>
      <color theme="3" tint="0.79998168889431442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2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0"/>
      <name val="Times New Roman"/>
      <family val="1"/>
    </font>
    <font>
      <sz val="5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</borders>
  <cellStyleXfs count="4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9" fontId="35" fillId="0" borderId="0" applyFont="0" applyFill="0" applyBorder="0" applyAlignment="0" applyProtection="0"/>
  </cellStyleXfs>
  <cellXfs count="216">
    <xf numFmtId="0" fontId="0" fillId="0" borderId="0" xfId="0"/>
    <xf numFmtId="2" fontId="0" fillId="0" borderId="0" xfId="0" applyNumberFormat="1"/>
    <xf numFmtId="0" fontId="4" fillId="0" borderId="0" xfId="37" applyFont="1" applyFill="1" applyBorder="1"/>
    <xf numFmtId="43" fontId="4" fillId="0" borderId="0" xfId="35" applyNumberFormat="1" applyFont="1" applyFill="1" applyBorder="1"/>
    <xf numFmtId="43" fontId="4" fillId="0" borderId="0" xfId="37" applyNumberFormat="1" applyFont="1" applyFill="1" applyBorder="1"/>
    <xf numFmtId="0" fontId="4" fillId="0" borderId="10" xfId="37" applyFont="1" applyFill="1" applyBorder="1"/>
    <xf numFmtId="43" fontId="5" fillId="0" borderId="12" xfId="37" applyNumberFormat="1" applyFont="1" applyFill="1" applyBorder="1" applyAlignment="1">
      <alignment horizontal="center" wrapText="1"/>
    </xf>
    <xf numFmtId="43" fontId="6" fillId="0" borderId="0" xfId="35" applyNumberFormat="1" applyFont="1" applyFill="1" applyBorder="1" applyAlignment="1"/>
    <xf numFmtId="0" fontId="6" fillId="0" borderId="0" xfId="37" applyFont="1" applyFill="1" applyBorder="1" applyAlignment="1"/>
    <xf numFmtId="0" fontId="6" fillId="0" borderId="0" xfId="37" applyFont="1" applyFill="1" applyBorder="1"/>
    <xf numFmtId="0" fontId="6" fillId="0" borderId="0" xfId="37" applyFont="1" applyFill="1" applyBorder="1" applyAlignment="1">
      <alignment horizontal="left" wrapText="1"/>
    </xf>
    <xf numFmtId="0" fontId="4" fillId="0" borderId="0" xfId="37" applyFont="1" applyFill="1" applyBorder="1" applyAlignment="1">
      <alignment horizontal="center"/>
    </xf>
    <xf numFmtId="43" fontId="7" fillId="0" borderId="0" xfId="37" applyNumberFormat="1" applyFont="1" applyFill="1" applyBorder="1" applyAlignment="1">
      <alignment wrapText="1"/>
    </xf>
    <xf numFmtId="43" fontId="6" fillId="0" borderId="0" xfId="37" applyNumberFormat="1" applyFont="1" applyFill="1" applyBorder="1" applyAlignment="1"/>
    <xf numFmtId="43" fontId="0" fillId="0" borderId="0" xfId="0" applyNumberFormat="1"/>
    <xf numFmtId="43" fontId="7" fillId="0" borderId="0" xfId="37" applyNumberFormat="1" applyFont="1" applyFill="1" applyBorder="1" applyAlignment="1">
      <alignment horizontal="right" wrapText="1"/>
    </xf>
    <xf numFmtId="43" fontId="8" fillId="0" borderId="0" xfId="31" applyNumberFormat="1" applyFill="1" applyBorder="1" applyAlignment="1" applyProtection="1"/>
    <xf numFmtId="43" fontId="4" fillId="0" borderId="0" xfId="33" applyFont="1" applyFill="1" applyBorder="1"/>
    <xf numFmtId="43" fontId="0" fillId="0" borderId="0" xfId="33" applyFont="1"/>
    <xf numFmtId="43" fontId="4" fillId="0" borderId="0" xfId="33" applyFont="1" applyFill="1" applyBorder="1" applyAlignment="1"/>
    <xf numFmtId="0" fontId="6" fillId="0" borderId="0" xfId="37" applyFont="1" applyFill="1" applyBorder="1" applyAlignment="1">
      <alignment horizontal="center"/>
    </xf>
    <xf numFmtId="0" fontId="1" fillId="0" borderId="0" xfId="0" applyFont="1"/>
    <xf numFmtId="0" fontId="30" fillId="0" borderId="0" xfId="37" applyFont="1" applyFill="1" applyBorder="1"/>
    <xf numFmtId="0" fontId="5" fillId="0" borderId="0" xfId="37" applyFont="1" applyFill="1" applyBorder="1" applyAlignment="1">
      <alignment horizontal="left"/>
    </xf>
    <xf numFmtId="1" fontId="0" fillId="0" borderId="0" xfId="0" applyNumberFormat="1" applyFill="1" applyBorder="1"/>
    <xf numFmtId="43" fontId="31" fillId="0" borderId="0" xfId="37" applyNumberFormat="1" applyFont="1" applyFill="1" applyBorder="1"/>
    <xf numFmtId="0" fontId="31" fillId="0" borderId="0" xfId="37" applyFont="1" applyFill="1" applyBorder="1"/>
    <xf numFmtId="168" fontId="12" fillId="0" borderId="0" xfId="34" applyNumberFormat="1" applyFont="1" applyFill="1" applyBorder="1" applyAlignment="1">
      <alignment horizontal="center"/>
    </xf>
    <xf numFmtId="0" fontId="10" fillId="0" borderId="0" xfId="37" applyFont="1" applyFill="1" applyAlignment="1">
      <alignment horizontal="center"/>
    </xf>
    <xf numFmtId="0" fontId="5" fillId="0" borderId="13" xfId="37" applyFont="1" applyFill="1" applyBorder="1" applyAlignment="1">
      <alignment horizontal="center"/>
    </xf>
    <xf numFmtId="43" fontId="5" fillId="0" borderId="15" xfId="37" applyNumberFormat="1" applyFont="1" applyFill="1" applyBorder="1" applyAlignment="1">
      <alignment horizontal="center" vertical="center" wrapText="1"/>
    </xf>
    <xf numFmtId="168" fontId="12" fillId="0" borderId="0" xfId="34" applyNumberFormat="1" applyFont="1" applyFill="1" applyBorder="1" applyAlignment="1">
      <alignment vertical="center"/>
    </xf>
    <xf numFmtId="0" fontId="10" fillId="0" borderId="11" xfId="37" applyFont="1" applyFill="1" applyBorder="1" applyAlignment="1"/>
    <xf numFmtId="0" fontId="10" fillId="0" borderId="0" xfId="37" applyFont="1" applyFill="1" applyBorder="1" applyAlignment="1"/>
    <xf numFmtId="0" fontId="32" fillId="0" borderId="0" xfId="37" applyFont="1" applyFill="1" applyBorder="1" applyAlignment="1">
      <alignment vertical="center" wrapText="1"/>
    </xf>
    <xf numFmtId="0" fontId="5" fillId="0" borderId="0" xfId="37" applyFont="1" applyFill="1" applyBorder="1" applyAlignment="1">
      <alignment horizontal="right"/>
    </xf>
    <xf numFmtId="167" fontId="7" fillId="0" borderId="0" xfId="33" applyNumberFormat="1" applyFont="1" applyFill="1" applyBorder="1" applyAlignment="1">
      <alignment horizontal="right"/>
    </xf>
    <xf numFmtId="43" fontId="7" fillId="0" borderId="0" xfId="35" applyNumberFormat="1" applyFont="1" applyFill="1" applyBorder="1" applyAlignment="1">
      <alignment horizontal="right"/>
    </xf>
    <xf numFmtId="0" fontId="34" fillId="0" borderId="0" xfId="37" applyFont="1" applyFill="1" applyBorder="1"/>
    <xf numFmtId="43" fontId="0" fillId="0" borderId="0" xfId="33" applyNumberFormat="1" applyFont="1"/>
    <xf numFmtId="0" fontId="6" fillId="0" borderId="17" xfId="37" applyFont="1" applyFill="1" applyBorder="1" applyAlignment="1"/>
    <xf numFmtId="43" fontId="6" fillId="0" borderId="17" xfId="37" applyNumberFormat="1" applyFont="1" applyFill="1" applyBorder="1" applyAlignment="1"/>
    <xf numFmtId="43" fontId="7" fillId="0" borderId="17" xfId="37" applyNumberFormat="1" applyFont="1" applyFill="1" applyBorder="1" applyAlignment="1">
      <alignment horizontal="center"/>
    </xf>
    <xf numFmtId="43" fontId="6" fillId="0" borderId="12" xfId="35" applyNumberFormat="1" applyFont="1" applyFill="1" applyBorder="1" applyAlignment="1">
      <alignment horizontal="center"/>
    </xf>
    <xf numFmtId="43" fontId="6" fillId="0" borderId="12" xfId="37" applyNumberFormat="1" applyFont="1" applyFill="1" applyBorder="1" applyAlignment="1">
      <alignment horizontal="center"/>
    </xf>
    <xf numFmtId="43" fontId="6" fillId="0" borderId="17" xfId="37" applyNumberFormat="1" applyFont="1" applyFill="1" applyBorder="1" applyAlignment="1">
      <alignment horizontal="center"/>
    </xf>
    <xf numFmtId="43" fontId="6" fillId="0" borderId="18" xfId="37" applyNumberFormat="1" applyFont="1" applyFill="1" applyBorder="1" applyAlignment="1">
      <alignment horizontal="center"/>
    </xf>
    <xf numFmtId="0" fontId="6" fillId="24" borderId="0" xfId="37" applyFont="1" applyFill="1" applyBorder="1"/>
    <xf numFmtId="0" fontId="6" fillId="24" borderId="0" xfId="37" applyFont="1" applyFill="1" applyBorder="1" applyAlignment="1">
      <alignment horizontal="left" wrapText="1"/>
    </xf>
    <xf numFmtId="43" fontId="6" fillId="24" borderId="0" xfId="35" applyNumberFormat="1" applyFont="1" applyFill="1" applyBorder="1" applyAlignment="1"/>
    <xf numFmtId="43" fontId="7" fillId="24" borderId="0" xfId="37" applyNumberFormat="1" applyFont="1" applyFill="1" applyBorder="1" applyAlignment="1">
      <alignment horizontal="right" wrapText="1"/>
    </xf>
    <xf numFmtId="43" fontId="7" fillId="24" borderId="0" xfId="37" applyNumberFormat="1" applyFont="1" applyFill="1" applyBorder="1" applyAlignment="1">
      <alignment wrapText="1"/>
    </xf>
    <xf numFmtId="0" fontId="6" fillId="0" borderId="16" xfId="37" applyFont="1" applyFill="1" applyBorder="1"/>
    <xf numFmtId="0" fontId="6" fillId="0" borderId="16" xfId="37" applyFont="1" applyFill="1" applyBorder="1" applyAlignment="1">
      <alignment horizontal="left" wrapText="1"/>
    </xf>
    <xf numFmtId="43" fontId="7" fillId="0" borderId="16" xfId="37" applyNumberFormat="1" applyFont="1" applyFill="1" applyBorder="1" applyAlignment="1">
      <alignment horizontal="right" wrapText="1"/>
    </xf>
    <xf numFmtId="0" fontId="6" fillId="0" borderId="16" xfId="37" applyFont="1" applyFill="1" applyBorder="1" applyAlignment="1">
      <alignment horizontal="center"/>
    </xf>
    <xf numFmtId="0" fontId="4" fillId="0" borderId="16" xfId="37" applyFont="1" applyFill="1" applyBorder="1" applyAlignment="1">
      <alignment horizontal="center"/>
    </xf>
    <xf numFmtId="1" fontId="0" fillId="0" borderId="16" xfId="0" applyNumberFormat="1" applyFill="1" applyBorder="1"/>
    <xf numFmtId="0" fontId="6" fillId="0" borderId="16" xfId="37" applyFont="1" applyFill="1" applyBorder="1" applyAlignment="1"/>
    <xf numFmtId="0" fontId="4" fillId="0" borderId="16" xfId="37" applyFont="1" applyFill="1" applyBorder="1"/>
    <xf numFmtId="43" fontId="7" fillId="0" borderId="16" xfId="35" applyNumberFormat="1" applyFont="1" applyFill="1" applyBorder="1" applyAlignment="1">
      <alignment horizontal="right"/>
    </xf>
    <xf numFmtId="43" fontId="6" fillId="0" borderId="0" xfId="37" applyNumberFormat="1" applyFont="1" applyFill="1" applyBorder="1" applyAlignment="1">
      <alignment horizontal="right"/>
    </xf>
    <xf numFmtId="43" fontId="36" fillId="0" borderId="0" xfId="37" applyNumberFormat="1" applyFont="1" applyFill="1" applyBorder="1"/>
    <xf numFmtId="2" fontId="6" fillId="0" borderId="0" xfId="37" applyNumberFormat="1" applyFont="1" applyFill="1" applyBorder="1" applyAlignment="1">
      <alignment horizontal="right" wrapText="1"/>
    </xf>
    <xf numFmtId="0" fontId="7" fillId="0" borderId="0" xfId="37" applyFont="1" applyFill="1" applyBorder="1" applyAlignment="1">
      <alignment horizontal="left" wrapText="1"/>
    </xf>
    <xf numFmtId="2" fontId="7" fillId="0" borderId="0" xfId="37" applyNumberFormat="1" applyFont="1" applyFill="1" applyBorder="1" applyAlignment="1">
      <alignment horizontal="right" wrapText="1"/>
    </xf>
    <xf numFmtId="0" fontId="10" fillId="0" borderId="0" xfId="37" applyFont="1" applyFill="1" applyBorder="1" applyAlignment="1">
      <alignment horizontal="center"/>
    </xf>
    <xf numFmtId="167" fontId="7" fillId="0" borderId="16" xfId="33" applyNumberFormat="1" applyFont="1" applyFill="1" applyBorder="1" applyAlignment="1">
      <alignment horizontal="right"/>
    </xf>
    <xf numFmtId="0" fontId="7" fillId="0" borderId="20" xfId="37" applyFont="1" applyFill="1" applyBorder="1" applyAlignment="1">
      <alignment horizontal="right"/>
    </xf>
    <xf numFmtId="43" fontId="6" fillId="0" borderId="18" xfId="37" applyNumberFormat="1" applyFont="1" applyFill="1" applyBorder="1" applyAlignment="1"/>
    <xf numFmtId="43" fontId="6" fillId="0" borderId="17" xfId="33" applyFont="1" applyFill="1" applyBorder="1" applyAlignment="1"/>
    <xf numFmtId="0" fontId="6" fillId="0" borderId="17" xfId="37" applyFont="1" applyFill="1" applyBorder="1"/>
    <xf numFmtId="43" fontId="6" fillId="0" borderId="18" xfId="35" applyNumberFormat="1" applyFont="1" applyFill="1" applyBorder="1" applyAlignment="1"/>
    <xf numFmtId="43" fontId="5" fillId="0" borderId="10" xfId="37" applyNumberFormat="1" applyFont="1" applyFill="1" applyBorder="1" applyAlignment="1">
      <alignment horizontal="center" vertical="center" wrapText="1"/>
    </xf>
    <xf numFmtId="43" fontId="5" fillId="0" borderId="10" xfId="37" applyNumberFormat="1" applyFont="1" applyFill="1" applyBorder="1" applyAlignment="1">
      <alignment horizontal="center" vertical="center"/>
    </xf>
    <xf numFmtId="43" fontId="5" fillId="0" borderId="10" xfId="33" applyFont="1" applyFill="1" applyBorder="1" applyAlignment="1">
      <alignment vertical="center" wrapText="1"/>
    </xf>
    <xf numFmtId="43" fontId="5" fillId="0" borderId="10" xfId="33" applyFont="1" applyFill="1" applyBorder="1" applyAlignment="1">
      <alignment horizontal="center" vertical="center" wrapText="1"/>
    </xf>
    <xf numFmtId="43" fontId="6" fillId="0" borderId="0" xfId="35" applyNumberFormat="1" applyFont="1" applyFill="1" applyBorder="1" applyAlignment="1">
      <alignment horizontal="right"/>
    </xf>
    <xf numFmtId="43" fontId="6" fillId="0" borderId="0" xfId="37" applyNumberFormat="1" applyFont="1" applyFill="1" applyBorder="1" applyAlignment="1">
      <alignment horizontal="right" wrapText="1"/>
    </xf>
    <xf numFmtId="43" fontId="9" fillId="0" borderId="0" xfId="35" applyNumberFormat="1" applyFont="1" applyFill="1" applyBorder="1" applyAlignment="1">
      <alignment horizontal="right"/>
    </xf>
    <xf numFmtId="43" fontId="6" fillId="0" borderId="16" xfId="35" applyNumberFormat="1" applyFont="1" applyFill="1" applyBorder="1" applyAlignment="1">
      <alignment horizontal="right"/>
    </xf>
    <xf numFmtId="43" fontId="6" fillId="0" borderId="16" xfId="37" applyNumberFormat="1" applyFont="1" applyFill="1" applyBorder="1" applyAlignment="1">
      <alignment horizontal="right" wrapText="1"/>
    </xf>
    <xf numFmtId="43" fontId="9" fillId="0" borderId="16" xfId="35" applyNumberFormat="1" applyFont="1" applyFill="1" applyBorder="1" applyAlignment="1">
      <alignment horizontal="right"/>
    </xf>
    <xf numFmtId="43" fontId="9" fillId="0" borderId="0" xfId="37" applyNumberFormat="1" applyFont="1" applyFill="1" applyBorder="1" applyAlignment="1">
      <alignment horizontal="right" wrapText="1"/>
    </xf>
    <xf numFmtId="43" fontId="9" fillId="0" borderId="16" xfId="37" applyNumberFormat="1" applyFont="1" applyFill="1" applyBorder="1" applyAlignment="1">
      <alignment horizontal="right" wrapText="1"/>
    </xf>
    <xf numFmtId="43" fontId="6" fillId="0" borderId="16" xfId="37" applyNumberFormat="1" applyFont="1" applyFill="1" applyBorder="1" applyAlignment="1">
      <alignment horizontal="right"/>
    </xf>
    <xf numFmtId="43" fontId="9" fillId="24" borderId="0" xfId="35" applyNumberFormat="1" applyFont="1" applyFill="1" applyBorder="1" applyAlignment="1">
      <alignment horizontal="right"/>
    </xf>
    <xf numFmtId="43" fontId="9" fillId="0" borderId="0" xfId="37" applyNumberFormat="1" applyFont="1" applyFill="1" applyBorder="1" applyAlignment="1">
      <alignment horizontal="right"/>
    </xf>
    <xf numFmtId="43" fontId="9" fillId="0" borderId="16" xfId="37" applyNumberFormat="1" applyFont="1" applyFill="1" applyBorder="1" applyAlignment="1">
      <alignment horizontal="right"/>
    </xf>
    <xf numFmtId="43" fontId="6" fillId="0" borderId="0" xfId="33" applyNumberFormat="1" applyFont="1" applyFill="1" applyBorder="1" applyAlignment="1">
      <alignment horizontal="right"/>
    </xf>
    <xf numFmtId="43" fontId="6" fillId="0" borderId="16" xfId="33" applyNumberFormat="1" applyFont="1" applyFill="1" applyBorder="1" applyAlignment="1">
      <alignment horizontal="right"/>
    </xf>
    <xf numFmtId="0" fontId="6" fillId="0" borderId="17" xfId="37" applyFont="1" applyFill="1" applyBorder="1" applyAlignment="1">
      <alignment horizontal="center"/>
    </xf>
    <xf numFmtId="0" fontId="6" fillId="0" borderId="10" xfId="37" applyFont="1" applyFill="1" applyBorder="1" applyAlignment="1">
      <alignment horizontal="center" vertical="center" wrapText="1"/>
    </xf>
    <xf numFmtId="0" fontId="9" fillId="0" borderId="0" xfId="0" applyFont="1"/>
    <xf numFmtId="43" fontId="5" fillId="0" borderId="18" xfId="37" applyNumberFormat="1" applyFont="1" applyFill="1" applyBorder="1" applyAlignment="1">
      <alignment horizontal="center"/>
    </xf>
    <xf numFmtId="43" fontId="5" fillId="0" borderId="17" xfId="37" applyNumberFormat="1" applyFont="1" applyFill="1" applyBorder="1" applyAlignment="1">
      <alignment horizontal="center" wrapText="1"/>
    </xf>
    <xf numFmtId="43" fontId="7" fillId="0" borderId="15" xfId="37" applyNumberFormat="1" applyFont="1" applyFill="1" applyBorder="1" applyAlignment="1">
      <alignment horizontal="center" vertical="center" wrapText="1"/>
    </xf>
    <xf numFmtId="43" fontId="5" fillId="0" borderId="18" xfId="37" applyNumberFormat="1" applyFont="1" applyFill="1" applyBorder="1" applyAlignment="1">
      <alignment horizontal="center" wrapText="1"/>
    </xf>
    <xf numFmtId="0" fontId="10" fillId="0" borderId="19" xfId="37" applyFont="1" applyFill="1" applyBorder="1" applyAlignment="1"/>
    <xf numFmtId="169" fontId="4" fillId="0" borderId="11" xfId="35" applyNumberFormat="1" applyFont="1" applyFill="1" applyBorder="1"/>
    <xf numFmtId="0" fontId="0" fillId="0" borderId="11" xfId="0" applyBorder="1"/>
    <xf numFmtId="0" fontId="0" fillId="0" borderId="14" xfId="0" applyBorder="1"/>
    <xf numFmtId="0" fontId="0" fillId="0" borderId="20" xfId="0" applyBorder="1"/>
    <xf numFmtId="0" fontId="0" fillId="0" borderId="16" xfId="0" applyBorder="1"/>
    <xf numFmtId="0" fontId="0" fillId="0" borderId="18" xfId="0" applyBorder="1"/>
    <xf numFmtId="43" fontId="7" fillId="0" borderId="10" xfId="37" applyNumberFormat="1" applyFont="1" applyFill="1" applyBorder="1" applyAlignment="1">
      <alignment horizontal="center" vertical="center" wrapText="1"/>
    </xf>
    <xf numFmtId="43" fontId="7" fillId="0" borderId="17" xfId="37" applyNumberFormat="1" applyFont="1" applyFill="1" applyBorder="1" applyAlignment="1">
      <alignment horizontal="center" vertical="center" wrapText="1"/>
    </xf>
    <xf numFmtId="43" fontId="7" fillId="0" borderId="17" xfId="37" applyNumberFormat="1" applyFont="1" applyFill="1" applyBorder="1" applyAlignment="1">
      <alignment horizontal="center" vertical="center"/>
    </xf>
    <xf numFmtId="43" fontId="6" fillId="0" borderId="21" xfId="37" applyNumberFormat="1" applyFont="1" applyFill="1" applyBorder="1" applyAlignment="1">
      <alignment horizontal="center"/>
    </xf>
    <xf numFmtId="49" fontId="6" fillId="0" borderId="0" xfId="35" applyNumberFormat="1" applyFont="1" applyFill="1" applyBorder="1" applyAlignment="1"/>
    <xf numFmtId="0" fontId="6" fillId="0" borderId="22" xfId="37" applyFont="1" applyFill="1" applyBorder="1" applyAlignment="1">
      <alignment horizontal="center"/>
    </xf>
    <xf numFmtId="165" fontId="4" fillId="0" borderId="0" xfId="37" applyNumberFormat="1" applyFont="1" applyFill="1" applyBorder="1" applyAlignment="1">
      <alignment horizontal="right"/>
    </xf>
    <xf numFmtId="165" fontId="7" fillId="0" borderId="20" xfId="37" applyNumberFormat="1" applyFont="1" applyFill="1" applyBorder="1" applyAlignment="1">
      <alignment horizontal="right"/>
    </xf>
    <xf numFmtId="165" fontId="7" fillId="0" borderId="0" xfId="37" applyNumberFormat="1" applyFont="1" applyFill="1" applyBorder="1" applyAlignment="1">
      <alignment horizontal="right" wrapText="1"/>
    </xf>
    <xf numFmtId="165" fontId="7" fillId="0" borderId="16" xfId="37" applyNumberFormat="1" applyFont="1" applyFill="1" applyBorder="1" applyAlignment="1">
      <alignment horizontal="right" wrapText="1"/>
    </xf>
    <xf numFmtId="165" fontId="7" fillId="0" borderId="16" xfId="35" applyNumberFormat="1" applyFont="1" applyFill="1" applyBorder="1" applyAlignment="1">
      <alignment horizontal="right"/>
    </xf>
    <xf numFmtId="165" fontId="7" fillId="0" borderId="0" xfId="35" applyNumberFormat="1" applyFont="1" applyFill="1" applyBorder="1" applyAlignment="1">
      <alignment horizontal="right"/>
    </xf>
    <xf numFmtId="165" fontId="6" fillId="0" borderId="0" xfId="37" applyNumberFormat="1" applyFont="1" applyFill="1" applyBorder="1" applyAlignment="1">
      <alignment horizontal="right"/>
    </xf>
    <xf numFmtId="167" fontId="4" fillId="0" borderId="0" xfId="37" applyNumberFormat="1" applyFont="1" applyFill="1" applyBorder="1" applyAlignment="1">
      <alignment horizontal="right"/>
    </xf>
    <xf numFmtId="167" fontId="7" fillId="0" borderId="20" xfId="37" applyNumberFormat="1" applyFont="1" applyFill="1" applyBorder="1" applyAlignment="1">
      <alignment horizontal="right"/>
    </xf>
    <xf numFmtId="167" fontId="7" fillId="0" borderId="0" xfId="35" applyNumberFormat="1" applyFont="1" applyFill="1" applyBorder="1" applyAlignment="1">
      <alignment horizontal="right"/>
    </xf>
    <xf numFmtId="167" fontId="7" fillId="0" borderId="16" xfId="35" applyNumberFormat="1" applyFont="1" applyFill="1" applyBorder="1" applyAlignment="1">
      <alignment horizontal="right"/>
    </xf>
    <xf numFmtId="167" fontId="6" fillId="0" borderId="0" xfId="37" applyNumberFormat="1" applyFont="1" applyFill="1" applyBorder="1" applyAlignment="1">
      <alignment horizontal="right"/>
    </xf>
    <xf numFmtId="167" fontId="7" fillId="0" borderId="0" xfId="37" applyNumberFormat="1" applyFont="1" applyFill="1" applyBorder="1" applyAlignment="1">
      <alignment horizontal="right"/>
    </xf>
    <xf numFmtId="167" fontId="7" fillId="0" borderId="16" xfId="37" applyNumberFormat="1" applyFont="1" applyFill="1" applyBorder="1" applyAlignment="1">
      <alignment horizontal="right"/>
    </xf>
    <xf numFmtId="165" fontId="33" fillId="0" borderId="0" xfId="35" applyNumberFormat="1" applyFont="1" applyFill="1" applyBorder="1" applyAlignment="1">
      <alignment horizontal="right"/>
    </xf>
    <xf numFmtId="165" fontId="4" fillId="0" borderId="0" xfId="35" applyNumberFormat="1" applyFont="1" applyFill="1" applyBorder="1"/>
    <xf numFmtId="0" fontId="7" fillId="0" borderId="0" xfId="37" applyFont="1" applyFill="1" applyBorder="1" applyAlignment="1">
      <alignment horizontal="right"/>
    </xf>
    <xf numFmtId="43" fontId="9" fillId="0" borderId="0" xfId="35" applyNumberFormat="1" applyFont="1" applyFill="1" applyBorder="1" applyAlignment="1"/>
    <xf numFmtId="43" fontId="6" fillId="0" borderId="16" xfId="35" applyNumberFormat="1" applyFont="1" applyFill="1" applyBorder="1" applyAlignment="1"/>
    <xf numFmtId="43" fontId="4" fillId="0" borderId="0" xfId="35" applyNumberFormat="1" applyFont="1" applyFill="1" applyBorder="1" applyAlignment="1"/>
    <xf numFmtId="165" fontId="4" fillId="0" borderId="0" xfId="37" applyNumberFormat="1" applyFont="1" applyFill="1" applyBorder="1" applyAlignment="1">
      <alignment horizontal="right" wrapText="1"/>
    </xf>
    <xf numFmtId="165" fontId="7" fillId="0" borderId="20" xfId="37" applyNumberFormat="1" applyFont="1" applyFill="1" applyBorder="1" applyAlignment="1">
      <alignment horizontal="right" wrapText="1"/>
    </xf>
    <xf numFmtId="165" fontId="7" fillId="0" borderId="16" xfId="35" applyNumberFormat="1" applyFont="1" applyFill="1" applyBorder="1" applyAlignment="1">
      <alignment horizontal="right" wrapText="1"/>
    </xf>
    <xf numFmtId="165" fontId="7" fillId="0" borderId="0" xfId="35" applyNumberFormat="1" applyFont="1" applyFill="1" applyBorder="1" applyAlignment="1">
      <alignment horizontal="right" wrapText="1"/>
    </xf>
    <xf numFmtId="165" fontId="6" fillId="0" borderId="0" xfId="37" applyNumberFormat="1" applyFont="1" applyFill="1" applyBorder="1" applyAlignment="1">
      <alignment horizontal="right" wrapText="1"/>
    </xf>
    <xf numFmtId="2" fontId="31" fillId="0" borderId="0" xfId="33" applyNumberFormat="1" applyFont="1" applyFill="1" applyBorder="1" applyAlignment="1"/>
    <xf numFmtId="43" fontId="4" fillId="0" borderId="0" xfId="37" applyNumberFormat="1" applyFont="1" applyFill="1" applyBorder="1" applyAlignment="1"/>
    <xf numFmtId="43" fontId="0" fillId="0" borderId="0" xfId="33" applyFont="1" applyFill="1"/>
    <xf numFmtId="168" fontId="0" fillId="0" borderId="0" xfId="0" applyNumberFormat="1" applyFill="1"/>
    <xf numFmtId="43" fontId="9" fillId="24" borderId="0" xfId="37" applyNumberFormat="1" applyFont="1" applyFill="1" applyBorder="1" applyAlignment="1">
      <alignment horizontal="right"/>
    </xf>
    <xf numFmtId="43" fontId="7" fillId="0" borderId="0" xfId="37" applyNumberFormat="1" applyFont="1" applyFill="1" applyBorder="1" applyAlignment="1">
      <alignment horizontal="right"/>
    </xf>
    <xf numFmtId="43" fontId="7" fillId="0" borderId="16" xfId="37" applyNumberFormat="1" applyFont="1" applyFill="1" applyBorder="1" applyAlignment="1">
      <alignment horizontal="right"/>
    </xf>
    <xf numFmtId="167" fontId="4" fillId="0" borderId="0" xfId="34" applyNumberFormat="1" applyFont="1" applyFill="1" applyBorder="1" applyAlignment="1">
      <alignment horizontal="right"/>
    </xf>
    <xf numFmtId="167" fontId="7" fillId="0" borderId="20" xfId="34" applyNumberFormat="1" applyFont="1" applyFill="1" applyBorder="1" applyAlignment="1">
      <alignment horizontal="right"/>
    </xf>
    <xf numFmtId="167" fontId="7" fillId="0" borderId="0" xfId="34" applyNumberFormat="1" applyFont="1" applyFill="1" applyBorder="1" applyAlignment="1">
      <alignment horizontal="right" wrapText="1"/>
    </xf>
    <xf numFmtId="167" fontId="7" fillId="0" borderId="16" xfId="34" applyNumberFormat="1" applyFont="1" applyFill="1" applyBorder="1" applyAlignment="1">
      <alignment horizontal="right" wrapText="1"/>
    </xf>
    <xf numFmtId="167" fontId="7" fillId="0" borderId="0" xfId="34" applyNumberFormat="1" applyFont="1" applyFill="1" applyBorder="1" applyAlignment="1">
      <alignment horizontal="right"/>
    </xf>
    <xf numFmtId="167" fontId="7" fillId="0" borderId="16" xfId="34" applyNumberFormat="1" applyFont="1" applyFill="1" applyBorder="1" applyAlignment="1">
      <alignment horizontal="right"/>
    </xf>
    <xf numFmtId="167" fontId="6" fillId="0" borderId="0" xfId="34" applyNumberFormat="1" applyFont="1" applyFill="1" applyBorder="1" applyAlignment="1">
      <alignment horizontal="right"/>
    </xf>
    <xf numFmtId="0" fontId="37" fillId="0" borderId="0" xfId="37" applyFont="1" applyFill="1" applyBorder="1" applyAlignment="1">
      <alignment horizontal="center" vertical="center" wrapText="1"/>
    </xf>
    <xf numFmtId="43" fontId="6" fillId="0" borderId="10" xfId="37" applyNumberFormat="1" applyFont="1" applyFill="1" applyBorder="1" applyAlignment="1">
      <alignment horizontal="center" vertical="center" wrapText="1"/>
    </xf>
    <xf numFmtId="43" fontId="6" fillId="0" borderId="17" xfId="37" applyNumberFormat="1" applyFont="1" applyFill="1" applyBorder="1" applyAlignment="1">
      <alignment horizontal="center" vertical="center" wrapText="1"/>
    </xf>
    <xf numFmtId="43" fontId="6" fillId="0" borderId="0" xfId="37" applyNumberFormat="1" applyFont="1" applyFill="1" applyBorder="1" applyAlignment="1">
      <alignment wrapText="1"/>
    </xf>
    <xf numFmtId="43" fontId="6" fillId="0" borderId="16" xfId="37" applyNumberFormat="1" applyFont="1" applyFill="1" applyBorder="1" applyAlignment="1">
      <alignment wrapText="1"/>
    </xf>
    <xf numFmtId="43" fontId="6" fillId="0" borderId="16" xfId="37" applyNumberFormat="1" applyFont="1" applyFill="1" applyBorder="1" applyAlignment="1"/>
    <xf numFmtId="43" fontId="5" fillId="0" borderId="0" xfId="37" applyNumberFormat="1" applyFont="1" applyFill="1" applyBorder="1"/>
    <xf numFmtId="168" fontId="38" fillId="0" borderId="0" xfId="34" applyNumberFormat="1" applyFont="1" applyFill="1" applyBorder="1" applyAlignment="1">
      <alignment horizontal="center"/>
    </xf>
    <xf numFmtId="43" fontId="7" fillId="0" borderId="17" xfId="37" applyNumberFormat="1" applyFont="1" applyFill="1" applyBorder="1" applyAlignment="1"/>
    <xf numFmtId="168" fontId="39" fillId="0" borderId="0" xfId="34" applyNumberFormat="1" applyFont="1" applyFill="1" applyBorder="1" applyAlignment="1">
      <alignment horizontal="center"/>
    </xf>
    <xf numFmtId="0" fontId="5" fillId="0" borderId="0" xfId="37" applyFont="1" applyFill="1" applyBorder="1" applyAlignment="1">
      <alignment horizontal="center" wrapText="1"/>
    </xf>
    <xf numFmtId="10" fontId="6" fillId="0" borderId="17" xfId="47" applyNumberFormat="1" applyFont="1" applyFill="1" applyBorder="1" applyAlignment="1">
      <alignment horizontal="center"/>
    </xf>
    <xf numFmtId="10" fontId="6" fillId="0" borderId="18" xfId="47" applyNumberFormat="1" applyFont="1" applyFill="1" applyBorder="1" applyAlignment="1">
      <alignment horizontal="center"/>
    </xf>
    <xf numFmtId="10" fontId="6" fillId="0" borderId="18" xfId="37" applyNumberFormat="1" applyFont="1" applyFill="1" applyBorder="1" applyAlignment="1">
      <alignment horizontal="center"/>
    </xf>
    <xf numFmtId="10" fontId="6" fillId="0" borderId="12" xfId="37" applyNumberFormat="1" applyFont="1" applyFill="1" applyBorder="1" applyAlignment="1">
      <alignment horizontal="center"/>
    </xf>
    <xf numFmtId="10" fontId="6" fillId="0" borderId="12" xfId="47" applyNumberFormat="1" applyFont="1" applyFill="1" applyBorder="1" applyAlignment="1">
      <alignment horizontal="center"/>
    </xf>
    <xf numFmtId="0" fontId="9" fillId="25" borderId="0" xfId="0" applyFont="1" applyFill="1"/>
    <xf numFmtId="0" fontId="6" fillId="25" borderId="0" xfId="37" applyFont="1" applyFill="1" applyBorder="1" applyAlignment="1">
      <alignment horizontal="left" wrapText="1"/>
    </xf>
    <xf numFmtId="43" fontId="6" fillId="25" borderId="0" xfId="35" applyNumberFormat="1" applyFont="1" applyFill="1" applyBorder="1" applyAlignment="1"/>
    <xf numFmtId="43" fontId="7" fillId="25" borderId="0" xfId="37" applyNumberFormat="1" applyFont="1" applyFill="1" applyBorder="1" applyAlignment="1">
      <alignment horizontal="right" wrapText="1"/>
    </xf>
    <xf numFmtId="43" fontId="7" fillId="25" borderId="0" xfId="37" applyNumberFormat="1" applyFont="1" applyFill="1" applyBorder="1" applyAlignment="1">
      <alignment wrapText="1"/>
    </xf>
    <xf numFmtId="0" fontId="5" fillId="26" borderId="12" xfId="37" applyFont="1" applyFill="1" applyBorder="1" applyAlignment="1">
      <alignment horizontal="center" wrapText="1"/>
    </xf>
    <xf numFmtId="0" fontId="5" fillId="26" borderId="13" xfId="37" applyFont="1" applyFill="1" applyBorder="1" applyAlignment="1">
      <alignment horizontal="center" wrapText="1"/>
    </xf>
    <xf numFmtId="10" fontId="6" fillId="26" borderId="17" xfId="47" applyNumberFormat="1" applyFont="1" applyFill="1" applyBorder="1" applyAlignment="1">
      <alignment horizontal="center"/>
    </xf>
    <xf numFmtId="10" fontId="6" fillId="26" borderId="18" xfId="47" applyNumberFormat="1" applyFont="1" applyFill="1" applyBorder="1" applyAlignment="1">
      <alignment horizontal="center"/>
    </xf>
    <xf numFmtId="10" fontId="6" fillId="26" borderId="18" xfId="37" applyNumberFormat="1" applyFont="1" applyFill="1" applyBorder="1" applyAlignment="1">
      <alignment horizontal="center"/>
    </xf>
    <xf numFmtId="0" fontId="5" fillId="27" borderId="12" xfId="37" applyFont="1" applyFill="1" applyBorder="1" applyAlignment="1">
      <alignment horizontal="center" wrapText="1"/>
    </xf>
    <xf numFmtId="0" fontId="5" fillId="27" borderId="13" xfId="37" applyFont="1" applyFill="1" applyBorder="1" applyAlignment="1">
      <alignment horizontal="center" wrapText="1"/>
    </xf>
    <xf numFmtId="10" fontId="6" fillId="27" borderId="17" xfId="47" applyNumberFormat="1" applyFont="1" applyFill="1" applyBorder="1" applyAlignment="1">
      <alignment horizontal="center"/>
    </xf>
    <xf numFmtId="10" fontId="6" fillId="27" borderId="18" xfId="47" applyNumberFormat="1" applyFont="1" applyFill="1" applyBorder="1" applyAlignment="1">
      <alignment horizontal="center"/>
    </xf>
    <xf numFmtId="10" fontId="6" fillId="27" borderId="18" xfId="37" applyNumberFormat="1" applyFont="1" applyFill="1" applyBorder="1" applyAlignment="1">
      <alignment horizontal="center"/>
    </xf>
    <xf numFmtId="43" fontId="6" fillId="0" borderId="17" xfId="37" applyNumberFormat="1" applyFont="1" applyFill="1" applyBorder="1" applyAlignment="1">
      <alignment horizontal="center" vertical="center"/>
    </xf>
    <xf numFmtId="164" fontId="0" fillId="0" borderId="0" xfId="0" applyNumberFormat="1"/>
    <xf numFmtId="43" fontId="0" fillId="0" borderId="0" xfId="33" applyNumberFormat="1" applyFont="1" applyFill="1"/>
    <xf numFmtId="43" fontId="0" fillId="0" borderId="0" xfId="0" applyNumberFormat="1" applyFill="1"/>
    <xf numFmtId="2" fontId="4" fillId="0" borderId="0" xfId="37" applyNumberFormat="1" applyFont="1" applyFill="1" applyBorder="1" applyAlignment="1">
      <alignment horizontal="center"/>
    </xf>
    <xf numFmtId="43" fontId="7" fillId="0" borderId="16" xfId="37" applyNumberFormat="1" applyFont="1" applyFill="1" applyBorder="1" applyAlignment="1">
      <alignment wrapText="1"/>
    </xf>
    <xf numFmtId="0" fontId="31" fillId="0" borderId="16" xfId="37" applyFont="1" applyFill="1" applyBorder="1"/>
    <xf numFmtId="10" fontId="0" fillId="0" borderId="0" xfId="47" applyNumberFormat="1" applyFont="1"/>
    <xf numFmtId="170" fontId="0" fillId="0" borderId="0" xfId="0" applyNumberFormat="1"/>
    <xf numFmtId="43" fontId="4" fillId="0" borderId="0" xfId="33" applyFont="1" applyFill="1" applyBorder="1" applyAlignment="1">
      <alignment horizontal="center"/>
    </xf>
    <xf numFmtId="168" fontId="39" fillId="0" borderId="0" xfId="34" applyNumberFormat="1" applyFont="1" applyFill="1" applyBorder="1" applyAlignment="1">
      <alignment vertical="center"/>
    </xf>
    <xf numFmtId="43" fontId="9" fillId="0" borderId="0" xfId="35" applyNumberFormat="1" applyFont="1" applyFill="1" applyBorder="1" applyAlignment="1" applyProtection="1">
      <alignment horizontal="right"/>
      <protection locked="0" hidden="1"/>
    </xf>
    <xf numFmtId="169" fontId="4" fillId="0" borderId="0" xfId="35" applyNumberFormat="1" applyFont="1" applyFill="1" applyBorder="1" applyAlignment="1">
      <alignment horizontal="center"/>
    </xf>
    <xf numFmtId="171" fontId="0" fillId="0" borderId="0" xfId="47" applyNumberFormat="1" applyFont="1"/>
    <xf numFmtId="172" fontId="0" fillId="0" borderId="0" xfId="0" applyNumberFormat="1" applyFill="1"/>
    <xf numFmtId="4" fontId="0" fillId="0" borderId="0" xfId="0" applyNumberFormat="1"/>
    <xf numFmtId="43" fontId="42" fillId="0" borderId="0" xfId="37" applyNumberFormat="1" applyFont="1" applyFill="1" applyBorder="1"/>
    <xf numFmtId="0" fontId="32" fillId="0" borderId="0" xfId="37" applyFont="1" applyFill="1" applyBorder="1" applyAlignment="1">
      <alignment horizontal="left" vertical="center" wrapText="1"/>
    </xf>
    <xf numFmtId="165" fontId="32" fillId="0" borderId="0" xfId="37" applyNumberFormat="1" applyFont="1" applyFill="1" applyBorder="1" applyAlignment="1">
      <alignment horizontal="left" vertical="center" wrapText="1"/>
    </xf>
    <xf numFmtId="0" fontId="5" fillId="0" borderId="19" xfId="37" applyFont="1" applyFill="1" applyBorder="1" applyAlignment="1">
      <alignment horizontal="center" vertical="center" wrapText="1"/>
    </xf>
    <xf numFmtId="0" fontId="5" fillId="0" borderId="14" xfId="37" applyFont="1" applyFill="1" applyBorder="1" applyAlignment="1">
      <alignment horizontal="center" vertical="center" wrapText="1"/>
    </xf>
    <xf numFmtId="165" fontId="5" fillId="0" borderId="19" xfId="37" applyNumberFormat="1" applyFont="1" applyFill="1" applyBorder="1" applyAlignment="1">
      <alignment horizontal="center" vertical="center" wrapText="1"/>
    </xf>
    <xf numFmtId="0" fontId="5" fillId="0" borderId="19" xfId="37" applyFont="1" applyFill="1" applyBorder="1" applyAlignment="1">
      <alignment horizontal="center" vertical="center"/>
    </xf>
    <xf numFmtId="0" fontId="5" fillId="0" borderId="14" xfId="37" applyFont="1" applyFill="1" applyBorder="1" applyAlignment="1">
      <alignment horizontal="center" vertical="center"/>
    </xf>
    <xf numFmtId="1" fontId="5" fillId="0" borderId="19" xfId="37" applyNumberFormat="1" applyFont="1" applyFill="1" applyBorder="1" applyAlignment="1">
      <alignment horizontal="center" vertical="center" wrapText="1"/>
    </xf>
    <xf numFmtId="1" fontId="5" fillId="0" borderId="14" xfId="37" applyNumberFormat="1" applyFont="1" applyFill="1" applyBorder="1" applyAlignment="1">
      <alignment horizontal="center" vertical="center" wrapText="1"/>
    </xf>
    <xf numFmtId="44" fontId="5" fillId="0" borderId="19" xfId="37" applyNumberFormat="1" applyFont="1" applyFill="1" applyBorder="1" applyAlignment="1">
      <alignment horizontal="center" vertical="center"/>
    </xf>
    <xf numFmtId="44" fontId="5" fillId="0" borderId="14" xfId="37" applyNumberFormat="1" applyFont="1" applyFill="1" applyBorder="1" applyAlignment="1">
      <alignment horizontal="center" vertical="center"/>
    </xf>
    <xf numFmtId="43" fontId="40" fillId="0" borderId="0" xfId="33" applyFont="1" applyFill="1" applyBorder="1" applyAlignment="1">
      <alignment horizontal="center" wrapText="1"/>
    </xf>
    <xf numFmtId="173" fontId="41" fillId="0" borderId="0" xfId="34" applyNumberFormat="1" applyFont="1" applyFill="1" applyBorder="1" applyAlignment="1">
      <alignment horizontal="center"/>
    </xf>
    <xf numFmtId="43" fontId="42" fillId="0" borderId="0" xfId="37" applyNumberFormat="1" applyFont="1" applyFill="1" applyBorder="1" applyAlignment="1">
      <alignment horizontal="center"/>
    </xf>
    <xf numFmtId="0" fontId="10" fillId="0" borderId="11" xfId="37" applyFont="1" applyFill="1" applyBorder="1" applyAlignment="1">
      <alignment horizontal="center"/>
    </xf>
    <xf numFmtId="0" fontId="32" fillId="0" borderId="0" xfId="37" applyFont="1" applyFill="1" applyBorder="1" applyAlignment="1">
      <alignment horizontal="center" vertical="center" wrapText="1"/>
    </xf>
    <xf numFmtId="0" fontId="0" fillId="26" borderId="0" xfId="0" applyFill="1" applyAlignment="1">
      <alignment horizontal="center" wrapText="1"/>
    </xf>
    <xf numFmtId="0" fontId="0" fillId="27" borderId="16" xfId="0" applyFill="1" applyBorder="1" applyAlignment="1">
      <alignment horizontal="center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Moneda" xfId="34" builtinId="4"/>
    <cellStyle name="Moneda_Tabla Docente 2003" xfId="35"/>
    <cellStyle name="Neutral" xfId="36" builtinId="28" customBuiltin="1"/>
    <cellStyle name="Normal" xfId="0" builtinId="0"/>
    <cellStyle name="Normal_Tabla Docente 2003" xfId="37"/>
    <cellStyle name="Notas" xfId="38" builtinId="10" customBuiltin="1"/>
    <cellStyle name="Porcentaje" xfId="47" builtinId="5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13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69"/>
  <sheetViews>
    <sheetView workbookViewId="0">
      <selection activeCell="C2" sqref="C2"/>
    </sheetView>
  </sheetViews>
  <sheetFormatPr baseColWidth="10" defaultRowHeight="12.75" x14ac:dyDescent="0.2"/>
  <cols>
    <col min="1" max="1" width="4.7109375" customWidth="1"/>
    <col min="2" max="2" width="37.5703125" customWidth="1"/>
    <col min="3" max="3" width="11.42578125" customWidth="1"/>
    <col min="4" max="4" width="13.28515625" bestFit="1" customWidth="1"/>
    <col min="9" max="9" width="5.28515625" bestFit="1" customWidth="1"/>
  </cols>
  <sheetData>
    <row r="1" spans="1:10" x14ac:dyDescent="0.2">
      <c r="A1" t="s">
        <v>570</v>
      </c>
      <c r="F1" s="21" t="s">
        <v>650</v>
      </c>
      <c r="I1" t="s">
        <v>383</v>
      </c>
      <c r="J1" t="s">
        <v>384</v>
      </c>
    </row>
    <row r="2" spans="1:10" x14ac:dyDescent="0.2">
      <c r="B2" t="s">
        <v>380</v>
      </c>
      <c r="C2" s="139">
        <v>5.1346999999999996</v>
      </c>
      <c r="I2">
        <v>0</v>
      </c>
      <c r="J2" s="1">
        <v>0</v>
      </c>
    </row>
    <row r="3" spans="1:10" x14ac:dyDescent="0.2">
      <c r="B3" t="s">
        <v>382</v>
      </c>
      <c r="C3" s="18">
        <v>0.15</v>
      </c>
      <c r="I3">
        <v>1</v>
      </c>
      <c r="J3" s="1">
        <v>0.15</v>
      </c>
    </row>
    <row r="4" spans="1:10" x14ac:dyDescent="0.2">
      <c r="B4" t="s">
        <v>626</v>
      </c>
      <c r="C4" s="18">
        <v>0.35</v>
      </c>
      <c r="D4" s="184">
        <f ca="1">INT(('Escala Docente'!G139*0.35*100)+0.5)/100</f>
        <v>2296.75</v>
      </c>
      <c r="E4" s="14">
        <f ca="1">(INT(D4/15*100)/100)+0.01</f>
        <v>153.12</v>
      </c>
      <c r="F4" s="14"/>
      <c r="G4" s="14"/>
      <c r="H4" s="14"/>
      <c r="I4">
        <v>2</v>
      </c>
      <c r="J4" s="1">
        <v>0.15</v>
      </c>
    </row>
    <row r="5" spans="1:10" x14ac:dyDescent="0.2">
      <c r="C5" s="18"/>
      <c r="I5">
        <v>3</v>
      </c>
      <c r="J5" s="1">
        <v>0.15</v>
      </c>
    </row>
    <row r="6" spans="1:10" x14ac:dyDescent="0.2">
      <c r="B6" t="s">
        <v>627</v>
      </c>
      <c r="C6" s="138">
        <v>153.07</v>
      </c>
      <c r="D6" s="18"/>
      <c r="I6">
        <v>4</v>
      </c>
      <c r="J6" s="1">
        <v>0.15</v>
      </c>
    </row>
    <row r="7" spans="1:10" x14ac:dyDescent="0.2">
      <c r="B7" t="s">
        <v>629</v>
      </c>
      <c r="C7" s="138">
        <v>178.59</v>
      </c>
      <c r="D7" s="18"/>
      <c r="I7">
        <v>5</v>
      </c>
      <c r="J7" s="1">
        <v>0.3</v>
      </c>
    </row>
    <row r="8" spans="1:10" x14ac:dyDescent="0.2">
      <c r="B8" t="s">
        <v>628</v>
      </c>
      <c r="C8" s="138">
        <v>204.1</v>
      </c>
      <c r="D8" s="18"/>
      <c r="I8">
        <v>6</v>
      </c>
      <c r="J8" s="1">
        <v>0.3</v>
      </c>
    </row>
    <row r="9" spans="1:10" x14ac:dyDescent="0.2">
      <c r="B9" t="s">
        <v>630</v>
      </c>
      <c r="C9" s="138">
        <v>306.14</v>
      </c>
      <c r="D9" s="18"/>
      <c r="I9">
        <v>7</v>
      </c>
      <c r="J9" s="1">
        <v>0.4</v>
      </c>
    </row>
    <row r="10" spans="1:10" x14ac:dyDescent="0.2">
      <c r="B10" t="s">
        <v>448</v>
      </c>
      <c r="C10" s="18">
        <v>0</v>
      </c>
      <c r="D10" s="18"/>
      <c r="I10">
        <v>8</v>
      </c>
      <c r="J10" s="1">
        <v>0.4</v>
      </c>
    </row>
    <row r="11" spans="1:10" x14ac:dyDescent="0.2">
      <c r="B11" t="s">
        <v>449</v>
      </c>
      <c r="C11" s="183">
        <v>8.51</v>
      </c>
      <c r="D11" s="18"/>
      <c r="I11">
        <v>9</v>
      </c>
      <c r="J11" s="1">
        <v>0.4</v>
      </c>
    </row>
    <row r="12" spans="1:10" x14ac:dyDescent="0.2">
      <c r="B12" s="21" t="s">
        <v>490</v>
      </c>
      <c r="C12" s="195">
        <v>20.420000000000002</v>
      </c>
      <c r="D12" s="18"/>
      <c r="I12">
        <v>10</v>
      </c>
      <c r="J12" s="1">
        <v>0.5</v>
      </c>
    </row>
    <row r="13" spans="1:10" x14ac:dyDescent="0.2">
      <c r="I13">
        <v>11</v>
      </c>
      <c r="J13" s="1">
        <v>0.5</v>
      </c>
    </row>
    <row r="14" spans="1:10" x14ac:dyDescent="0.2">
      <c r="B14" t="s">
        <v>387</v>
      </c>
      <c r="C14" s="138">
        <v>114.82</v>
      </c>
      <c r="D14" s="182"/>
      <c r="I14">
        <v>12</v>
      </c>
      <c r="J14" s="1">
        <v>0.6</v>
      </c>
    </row>
    <row r="15" spans="1:10" x14ac:dyDescent="0.2">
      <c r="B15" t="s">
        <v>454</v>
      </c>
      <c r="C15" s="18">
        <v>3144.64</v>
      </c>
      <c r="D15" s="14">
        <f>2524.64+380</f>
        <v>2904.64</v>
      </c>
      <c r="I15">
        <v>13</v>
      </c>
      <c r="J15" s="1">
        <v>0.6</v>
      </c>
    </row>
    <row r="16" spans="1:10" x14ac:dyDescent="0.2">
      <c r="B16" t="s">
        <v>455</v>
      </c>
      <c r="C16" s="18">
        <v>3165.05</v>
      </c>
      <c r="D16" s="14">
        <f>2545.05+380</f>
        <v>2925.05</v>
      </c>
      <c r="I16">
        <v>14</v>
      </c>
      <c r="J16" s="1">
        <v>0.6</v>
      </c>
    </row>
    <row r="17" spans="1:13" x14ac:dyDescent="0.2">
      <c r="A17" t="s">
        <v>467</v>
      </c>
      <c r="B17" t="s">
        <v>456</v>
      </c>
      <c r="C17" s="138">
        <v>4367.1000000000004</v>
      </c>
      <c r="D17" s="14">
        <f>3647.1+380</f>
        <v>4027.1</v>
      </c>
      <c r="E17" s="14"/>
      <c r="F17" s="14"/>
      <c r="G17" s="14"/>
      <c r="H17" s="14"/>
      <c r="I17">
        <v>15</v>
      </c>
      <c r="J17" s="1">
        <v>0.7</v>
      </c>
    </row>
    <row r="18" spans="1:13" x14ac:dyDescent="0.2">
      <c r="A18" t="s">
        <v>467</v>
      </c>
      <c r="B18" t="s">
        <v>625</v>
      </c>
      <c r="C18" s="138">
        <v>5991.43</v>
      </c>
      <c r="D18" s="14">
        <f>5106.43+380+160</f>
        <v>5646.43</v>
      </c>
      <c r="I18">
        <v>16</v>
      </c>
      <c r="J18" s="1">
        <v>0.7</v>
      </c>
    </row>
    <row r="19" spans="1:13" x14ac:dyDescent="0.2">
      <c r="A19" t="s">
        <v>467</v>
      </c>
      <c r="B19" t="s">
        <v>457</v>
      </c>
      <c r="C19" s="138">
        <v>3318.12</v>
      </c>
      <c r="D19" s="14">
        <f>2698.12+380</f>
        <v>3078.12</v>
      </c>
      <c r="E19" s="14"/>
      <c r="F19" s="14"/>
      <c r="G19" s="14"/>
      <c r="H19" s="14"/>
      <c r="I19">
        <v>17</v>
      </c>
      <c r="J19" s="1">
        <v>0.8</v>
      </c>
    </row>
    <row r="20" spans="1:13" x14ac:dyDescent="0.2">
      <c r="A20" t="s">
        <v>467</v>
      </c>
      <c r="B20" t="s">
        <v>465</v>
      </c>
      <c r="C20" s="138">
        <v>2991.57</v>
      </c>
      <c r="D20" s="14">
        <f>2371.57+380</f>
        <v>2751.57</v>
      </c>
      <c r="E20" s="14"/>
      <c r="F20" s="14"/>
      <c r="G20" s="14"/>
      <c r="H20" s="14"/>
      <c r="I20">
        <v>18</v>
      </c>
      <c r="J20" s="1">
        <v>0.8</v>
      </c>
    </row>
    <row r="21" spans="1:13" x14ac:dyDescent="0.2">
      <c r="A21" t="s">
        <v>467</v>
      </c>
      <c r="E21" s="14"/>
      <c r="F21" s="14"/>
      <c r="G21" s="14"/>
      <c r="H21" s="14"/>
      <c r="I21">
        <v>19</v>
      </c>
      <c r="J21" s="1">
        <v>0.8</v>
      </c>
    </row>
    <row r="22" spans="1:13" x14ac:dyDescent="0.2">
      <c r="A22" t="s">
        <v>467</v>
      </c>
      <c r="B22" t="s">
        <v>389</v>
      </c>
      <c r="C22" s="138">
        <v>46.43</v>
      </c>
      <c r="D22" s="14"/>
      <c r="E22" s="14"/>
      <c r="F22" s="14"/>
      <c r="G22" s="14"/>
      <c r="H22" s="14"/>
      <c r="I22">
        <v>20</v>
      </c>
      <c r="J22" s="1">
        <v>1</v>
      </c>
    </row>
    <row r="23" spans="1:13" x14ac:dyDescent="0.2">
      <c r="A23" t="s">
        <v>467</v>
      </c>
      <c r="B23" t="s">
        <v>459</v>
      </c>
      <c r="C23" s="138">
        <v>2221.56</v>
      </c>
      <c r="E23" s="14"/>
      <c r="F23" s="14"/>
      <c r="G23" s="14"/>
      <c r="H23" s="14"/>
      <c r="I23">
        <v>21</v>
      </c>
      <c r="J23" s="1">
        <v>1</v>
      </c>
    </row>
    <row r="24" spans="1:13" x14ac:dyDescent="0.2">
      <c r="A24" t="s">
        <v>467</v>
      </c>
      <c r="B24" t="s">
        <v>460</v>
      </c>
      <c r="C24" s="138">
        <v>2190.94</v>
      </c>
      <c r="E24" s="14"/>
      <c r="F24" s="14"/>
      <c r="G24" s="14"/>
      <c r="H24" s="14"/>
      <c r="I24">
        <v>22</v>
      </c>
      <c r="J24" s="1">
        <v>1.1000000000000001</v>
      </c>
    </row>
    <row r="25" spans="1:13" x14ac:dyDescent="0.2">
      <c r="A25" t="s">
        <v>467</v>
      </c>
      <c r="C25" s="138"/>
      <c r="E25" s="14"/>
      <c r="F25" s="14"/>
      <c r="G25" s="14"/>
      <c r="H25" s="14"/>
      <c r="I25">
        <v>23</v>
      </c>
      <c r="J25" s="1">
        <v>1.1000000000000001</v>
      </c>
    </row>
    <row r="26" spans="1:13" x14ac:dyDescent="0.2">
      <c r="A26" t="s">
        <v>467</v>
      </c>
      <c r="B26" s="21" t="s">
        <v>469</v>
      </c>
      <c r="C26" s="138">
        <v>2298.92</v>
      </c>
      <c r="D26" s="182"/>
      <c r="I26">
        <v>24</v>
      </c>
      <c r="J26" s="1">
        <v>1.2</v>
      </c>
    </row>
    <row r="27" spans="1:13" x14ac:dyDescent="0.2">
      <c r="B27" s="21" t="s">
        <v>470</v>
      </c>
      <c r="C27" s="138">
        <v>2099.9299999999998</v>
      </c>
      <c r="D27" s="182"/>
      <c r="I27">
        <v>25</v>
      </c>
      <c r="J27" s="1">
        <v>1.2</v>
      </c>
    </row>
    <row r="28" spans="1:13" x14ac:dyDescent="0.2">
      <c r="B28" s="21"/>
      <c r="C28" s="138"/>
      <c r="D28" s="182"/>
      <c r="I28">
        <v>26</v>
      </c>
      <c r="J28" s="1">
        <v>1.3</v>
      </c>
    </row>
    <row r="29" spans="1:13" x14ac:dyDescent="0.2">
      <c r="B29" s="21" t="s">
        <v>649</v>
      </c>
      <c r="C29" s="18">
        <v>131.68</v>
      </c>
      <c r="F29" s="196">
        <f>+C29*1.5</f>
        <v>197.52</v>
      </c>
      <c r="I29">
        <v>27</v>
      </c>
      <c r="J29" s="1">
        <v>1.3</v>
      </c>
    </row>
    <row r="30" spans="1:13" x14ac:dyDescent="0.2">
      <c r="B30" s="21" t="s">
        <v>648</v>
      </c>
      <c r="C30" s="18">
        <v>131.68</v>
      </c>
      <c r="F30" s="196">
        <f>+C30</f>
        <v>131.68</v>
      </c>
      <c r="I30">
        <v>28</v>
      </c>
      <c r="J30" s="1">
        <v>1.4</v>
      </c>
    </row>
    <row r="31" spans="1:13" x14ac:dyDescent="0.2">
      <c r="B31" s="21"/>
      <c r="C31" s="18"/>
      <c r="F31" s="196"/>
      <c r="I31">
        <v>29</v>
      </c>
      <c r="J31" s="1">
        <v>1.4</v>
      </c>
    </row>
    <row r="32" spans="1:13" x14ac:dyDescent="0.2">
      <c r="B32" t="s">
        <v>614</v>
      </c>
      <c r="C32" s="18">
        <v>5.28</v>
      </c>
      <c r="F32" s="196">
        <f>F29</f>
        <v>197.52</v>
      </c>
      <c r="I32">
        <v>30</v>
      </c>
      <c r="J32" s="1">
        <v>1.5</v>
      </c>
      <c r="M32" s="182"/>
    </row>
    <row r="33" spans="2:13" x14ac:dyDescent="0.2">
      <c r="B33" t="s">
        <v>613</v>
      </c>
      <c r="C33" s="18">
        <v>4.3899999999999997</v>
      </c>
      <c r="F33" s="196">
        <f>F30</f>
        <v>131.68</v>
      </c>
      <c r="I33">
        <v>31</v>
      </c>
      <c r="J33" s="1">
        <v>1.5</v>
      </c>
    </row>
    <row r="34" spans="2:13" x14ac:dyDescent="0.2">
      <c r="C34" s="18"/>
      <c r="I34">
        <v>32</v>
      </c>
      <c r="J34" s="1">
        <v>1.5</v>
      </c>
      <c r="M34" s="182"/>
    </row>
    <row r="35" spans="2:13" x14ac:dyDescent="0.2">
      <c r="B35" s="21" t="s">
        <v>611</v>
      </c>
      <c r="C35" s="18">
        <v>182.07</v>
      </c>
      <c r="D35" s="14"/>
      <c r="E35" s="14"/>
      <c r="F35" s="14">
        <v>364.14</v>
      </c>
      <c r="G35" s="14"/>
      <c r="H35" s="14"/>
      <c r="I35">
        <v>33</v>
      </c>
      <c r="J35" s="1">
        <v>1.5</v>
      </c>
    </row>
    <row r="36" spans="2:13" x14ac:dyDescent="0.2">
      <c r="B36" s="21" t="s">
        <v>612</v>
      </c>
      <c r="C36" s="18">
        <v>12.13</v>
      </c>
      <c r="D36" s="182"/>
      <c r="E36" s="14"/>
      <c r="F36" s="14"/>
      <c r="G36" s="14"/>
      <c r="H36" s="14"/>
      <c r="I36">
        <v>34</v>
      </c>
      <c r="J36" s="1">
        <v>1.5</v>
      </c>
    </row>
    <row r="37" spans="2:13" x14ac:dyDescent="0.2">
      <c r="B37" s="21"/>
      <c r="C37" s="18"/>
      <c r="D37" s="182"/>
      <c r="E37" s="14"/>
      <c r="F37" s="14"/>
      <c r="G37" s="14"/>
      <c r="H37" s="14"/>
      <c r="I37">
        <v>35</v>
      </c>
      <c r="J37" s="1">
        <v>1.5</v>
      </c>
    </row>
    <row r="38" spans="2:13" x14ac:dyDescent="0.2">
      <c r="B38" t="s">
        <v>464</v>
      </c>
      <c r="C38" s="18">
        <v>0</v>
      </c>
      <c r="D38" s="14">
        <f>IF(C38&gt;0,(C38/30-0.01),0)</f>
        <v>0</v>
      </c>
      <c r="E38" s="14"/>
      <c r="F38" s="14"/>
      <c r="G38" s="14"/>
      <c r="H38" s="14"/>
      <c r="I38">
        <v>36</v>
      </c>
      <c r="J38" s="1">
        <v>1.5</v>
      </c>
    </row>
    <row r="39" spans="2:13" x14ac:dyDescent="0.2">
      <c r="C39" s="18"/>
      <c r="D39" s="14"/>
      <c r="E39" s="14"/>
      <c r="F39" s="14"/>
      <c r="G39" s="14"/>
      <c r="H39" s="14"/>
      <c r="I39">
        <v>39</v>
      </c>
      <c r="J39" s="1">
        <v>1.5</v>
      </c>
    </row>
    <row r="40" spans="2:13" x14ac:dyDescent="0.2">
      <c r="B40" s="21" t="s">
        <v>496</v>
      </c>
      <c r="C40" s="18">
        <v>569.34</v>
      </c>
      <c r="D40" s="18"/>
      <c r="E40" s="14"/>
      <c r="F40" s="14"/>
      <c r="G40" s="14"/>
      <c r="H40" s="14"/>
      <c r="I40">
        <v>40</v>
      </c>
      <c r="J40" s="1">
        <v>1.5</v>
      </c>
    </row>
    <row r="41" spans="2:13" x14ac:dyDescent="0.2">
      <c r="B41" s="21" t="s">
        <v>495</v>
      </c>
      <c r="C41" s="18">
        <v>664.24</v>
      </c>
      <c r="D41" s="18"/>
      <c r="E41" s="14"/>
      <c r="F41" s="14"/>
      <c r="G41" s="14"/>
      <c r="H41" s="14"/>
      <c r="I41">
        <v>41</v>
      </c>
      <c r="J41" s="1">
        <v>1.5</v>
      </c>
    </row>
    <row r="42" spans="2:13" x14ac:dyDescent="0.2">
      <c r="B42" s="21" t="s">
        <v>494</v>
      </c>
      <c r="C42" s="18">
        <v>759.13</v>
      </c>
      <c r="D42" s="18"/>
      <c r="I42">
        <v>42</v>
      </c>
      <c r="J42" s="1">
        <v>1.5</v>
      </c>
    </row>
    <row r="43" spans="2:13" x14ac:dyDescent="0.2">
      <c r="B43" s="21" t="s">
        <v>493</v>
      </c>
      <c r="C43" s="18">
        <v>1138.69</v>
      </c>
      <c r="D43" s="18"/>
      <c r="I43">
        <v>43</v>
      </c>
      <c r="J43" s="1">
        <v>1.5</v>
      </c>
    </row>
    <row r="44" spans="2:13" x14ac:dyDescent="0.2">
      <c r="B44" t="s">
        <v>488</v>
      </c>
      <c r="C44" s="18">
        <f>D44*0.25*1.2904</f>
        <v>0</v>
      </c>
      <c r="D44" s="18"/>
      <c r="E44" s="14"/>
      <c r="F44" s="14"/>
      <c r="G44" s="14"/>
      <c r="H44" s="14"/>
      <c r="I44">
        <v>44</v>
      </c>
      <c r="J44" s="1">
        <v>1.5</v>
      </c>
    </row>
    <row r="45" spans="2:13" x14ac:dyDescent="0.2">
      <c r="B45" s="21" t="s">
        <v>492</v>
      </c>
      <c r="C45" s="39">
        <v>31.64</v>
      </c>
      <c r="D45" s="18"/>
      <c r="I45">
        <v>45</v>
      </c>
      <c r="J45" s="1">
        <v>1.5</v>
      </c>
    </row>
    <row r="46" spans="2:13" x14ac:dyDescent="0.2">
      <c r="B46" s="21" t="s">
        <v>491</v>
      </c>
      <c r="C46" s="39">
        <v>75.900000000000006</v>
      </c>
      <c r="I46">
        <v>46</v>
      </c>
      <c r="J46" s="1">
        <v>1.5</v>
      </c>
    </row>
    <row r="47" spans="2:13" x14ac:dyDescent="0.2">
      <c r="B47" s="21"/>
      <c r="C47" s="39"/>
      <c r="I47">
        <v>47</v>
      </c>
      <c r="J47" s="1">
        <v>1.5</v>
      </c>
    </row>
    <row r="48" spans="2:13" x14ac:dyDescent="0.2">
      <c r="B48" s="21" t="s">
        <v>501</v>
      </c>
      <c r="C48" s="39">
        <f>INT((D48/15*100)+0.49)/100</f>
        <v>80.67</v>
      </c>
      <c r="D48">
        <f>D49</f>
        <v>1210</v>
      </c>
      <c r="F48">
        <v>1210</v>
      </c>
      <c r="I48">
        <v>48</v>
      </c>
      <c r="J48" s="1">
        <v>1.5</v>
      </c>
      <c r="L48">
        <f>267.87+5.37</f>
        <v>273.24</v>
      </c>
    </row>
    <row r="49" spans="2:10" x14ac:dyDescent="0.2">
      <c r="B49" s="21" t="s">
        <v>518</v>
      </c>
      <c r="C49">
        <v>1210</v>
      </c>
      <c r="D49">
        <v>1210</v>
      </c>
      <c r="I49">
        <v>49</v>
      </c>
      <c r="J49" s="1">
        <v>1.5</v>
      </c>
    </row>
    <row r="50" spans="2:10" ht="12" customHeight="1" x14ac:dyDescent="0.2">
      <c r="B50" s="21"/>
      <c r="I50">
        <v>50</v>
      </c>
      <c r="J50" s="1">
        <v>1.5</v>
      </c>
    </row>
    <row r="51" spans="2:10" x14ac:dyDescent="0.2">
      <c r="B51" s="21" t="s">
        <v>561</v>
      </c>
      <c r="C51" s="1">
        <v>267.87</v>
      </c>
      <c r="D51" s="1">
        <f>C51/15</f>
        <v>17.858000000000001</v>
      </c>
      <c r="E51">
        <v>35.72</v>
      </c>
      <c r="I51">
        <v>51</v>
      </c>
      <c r="J51" s="1">
        <v>1.5</v>
      </c>
    </row>
    <row r="52" spans="2:10" x14ac:dyDescent="0.2">
      <c r="B52" s="21" t="s">
        <v>564</v>
      </c>
      <c r="C52" s="1">
        <v>76.540000000000006</v>
      </c>
      <c r="D52" s="1">
        <f>C52/15</f>
        <v>5.1026666666666669</v>
      </c>
      <c r="E52">
        <v>10.210000000000001</v>
      </c>
      <c r="I52">
        <v>52</v>
      </c>
      <c r="J52" s="1">
        <v>1.5</v>
      </c>
    </row>
    <row r="53" spans="2:10" x14ac:dyDescent="0.2">
      <c r="B53" s="21"/>
      <c r="C53" s="1"/>
      <c r="D53" s="1"/>
      <c r="I53">
        <v>53</v>
      </c>
      <c r="J53" s="1">
        <v>1.5</v>
      </c>
    </row>
    <row r="54" spans="2:10" x14ac:dyDescent="0.2">
      <c r="B54" s="21" t="s">
        <v>644</v>
      </c>
      <c r="C54" s="189">
        <v>0</v>
      </c>
      <c r="D54" s="194"/>
    </row>
    <row r="55" spans="2:10" x14ac:dyDescent="0.2">
      <c r="B55" s="21"/>
      <c r="C55" s="189"/>
      <c r="D55" s="194"/>
    </row>
    <row r="56" spans="2:10" x14ac:dyDescent="0.2">
      <c r="B56" t="s">
        <v>631</v>
      </c>
      <c r="C56" s="188">
        <v>0.13</v>
      </c>
    </row>
    <row r="57" spans="2:10" x14ac:dyDescent="0.2">
      <c r="B57" t="s">
        <v>632</v>
      </c>
      <c r="C57" s="188">
        <v>5.0000000000000001E-3</v>
      </c>
    </row>
    <row r="58" spans="2:10" x14ac:dyDescent="0.2">
      <c r="B58" t="s">
        <v>633</v>
      </c>
      <c r="C58" s="188">
        <v>4.4999999999999998E-2</v>
      </c>
    </row>
    <row r="59" spans="2:10" x14ac:dyDescent="0.2">
      <c r="B59" t="s">
        <v>634</v>
      </c>
      <c r="C59" s="188">
        <v>2.7000000000000003E-2</v>
      </c>
    </row>
    <row r="60" spans="2:10" x14ac:dyDescent="0.2">
      <c r="B60" t="s">
        <v>635</v>
      </c>
      <c r="C60" s="188">
        <v>3.0000000000000001E-3</v>
      </c>
    </row>
    <row r="61" spans="2:10" x14ac:dyDescent="0.2">
      <c r="B61" t="s">
        <v>636</v>
      </c>
      <c r="C61" s="188">
        <v>0.16</v>
      </c>
    </row>
    <row r="62" spans="2:10" x14ac:dyDescent="0.2">
      <c r="B62" t="s">
        <v>593</v>
      </c>
      <c r="C62" s="188">
        <v>4.4999999999999998E-2</v>
      </c>
    </row>
    <row r="64" spans="2:10" x14ac:dyDescent="0.2">
      <c r="B64" t="s">
        <v>637</v>
      </c>
      <c r="C64" s="188">
        <v>0.01</v>
      </c>
    </row>
    <row r="65" spans="2:3" x14ac:dyDescent="0.2">
      <c r="B65" t="s">
        <v>594</v>
      </c>
      <c r="C65" s="188">
        <v>3.5000000000000003E-2</v>
      </c>
    </row>
    <row r="66" spans="2:3" x14ac:dyDescent="0.2">
      <c r="B66" t="s">
        <v>597</v>
      </c>
      <c r="C66" s="188">
        <v>6.0000000000000001E-3</v>
      </c>
    </row>
    <row r="67" spans="2:3" x14ac:dyDescent="0.2">
      <c r="B67" t="s">
        <v>595</v>
      </c>
      <c r="C67" s="188">
        <v>5.4000000000000006E-2</v>
      </c>
    </row>
    <row r="69" spans="2:3" x14ac:dyDescent="0.2">
      <c r="B69" t="s">
        <v>394</v>
      </c>
      <c r="C69" s="138">
        <v>0.5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D331"/>
  <sheetViews>
    <sheetView showGridLines="0" tabSelected="1" zoomScale="110" zoomScaleNormal="110" zoomScaleSheetLayoutView="100" workbookViewId="0">
      <pane xSplit="5" ySplit="6" topLeftCell="F37" activePane="bottomRight" state="frozen"/>
      <selection activeCell="D1" sqref="D1"/>
      <selection pane="topRight" activeCell="G1" sqref="G1"/>
      <selection pane="bottomLeft" activeCell="D7" sqref="D7"/>
      <selection pane="bottomRight" activeCell="I335" sqref="I335"/>
    </sheetView>
  </sheetViews>
  <sheetFormatPr baseColWidth="10" defaultRowHeight="11.25" customHeight="1" x14ac:dyDescent="0.15"/>
  <cols>
    <col min="1" max="1" width="6.5703125" style="11" hidden="1" customWidth="1"/>
    <col min="2" max="2" width="8.7109375" style="11" hidden="1" customWidth="1"/>
    <col min="3" max="3" width="4.28515625" style="2" customWidth="1"/>
    <col min="4" max="4" width="3.7109375" style="2" hidden="1" customWidth="1"/>
    <col min="5" max="5" width="29.7109375" style="2" customWidth="1"/>
    <col min="6" max="6" width="4.7109375" style="35" customWidth="1"/>
    <col min="7" max="7" width="7.5703125" style="130" customWidth="1"/>
    <col min="8" max="8" width="5.7109375" style="131" customWidth="1"/>
    <col min="9" max="9" width="7.7109375" style="137" customWidth="1"/>
    <col min="10" max="10" width="6" style="143" customWidth="1"/>
    <col min="11" max="11" width="7.28515625" style="4" customWidth="1"/>
    <col min="12" max="12" width="6.28515625" style="118" customWidth="1"/>
    <col min="13" max="13" width="6.7109375" style="4" customWidth="1"/>
    <col min="14" max="14" width="7.85546875" style="4" customWidth="1"/>
    <col min="15" max="15" width="8.42578125" style="4" customWidth="1"/>
    <col min="16" max="17" width="6.5703125" style="4" customWidth="1"/>
    <col min="18" max="18" width="7.140625" style="4" customWidth="1"/>
    <col min="19" max="19" width="7.7109375" style="4" customWidth="1"/>
    <col min="20" max="20" width="8.85546875" style="137" customWidth="1"/>
    <col min="21" max="21" width="7.140625" style="4" customWidth="1"/>
    <col min="22" max="22" width="7.42578125" style="4" customWidth="1"/>
    <col min="23" max="23" width="7" style="4" customWidth="1"/>
    <col min="24" max="24" width="4.28515625" style="111" customWidth="1"/>
    <col min="25" max="25" width="7.140625" style="4" customWidth="1"/>
    <col min="26" max="26" width="7.42578125" style="4" customWidth="1"/>
    <col min="27" max="27" width="6.140625" style="19" customWidth="1"/>
    <col min="28" max="28" width="7.140625" style="4" customWidth="1"/>
    <col min="29" max="29" width="6.28515625" style="4" customWidth="1"/>
    <col min="30" max="30" width="4.42578125" style="111" customWidth="1"/>
    <col min="31" max="31" width="6.28515625" style="4" customWidth="1"/>
    <col min="32" max="32" width="6" style="4" customWidth="1"/>
    <col min="33" max="33" width="6.28515625" style="4" customWidth="1"/>
    <col min="34" max="34" width="7.85546875" style="4" hidden="1" customWidth="1"/>
    <col min="35" max="35" width="9" style="4" customWidth="1"/>
    <col min="36" max="36" width="7.85546875" style="4" customWidth="1"/>
    <col min="37" max="37" width="6.140625" style="17" customWidth="1"/>
    <col min="38" max="38" width="6.28515625" style="17" customWidth="1"/>
    <col min="39" max="39" width="7.28515625" style="4" hidden="1" customWidth="1"/>
    <col min="40" max="40" width="7.28515625" style="4" customWidth="1"/>
    <col min="41" max="41" width="9" style="4" customWidth="1"/>
    <col min="42" max="42" width="6.7109375" style="4" customWidth="1"/>
    <col min="43" max="43" width="7.85546875" style="4" customWidth="1"/>
    <col min="44" max="44" width="8.140625" style="4" customWidth="1"/>
    <col min="45" max="45" width="7.85546875" style="156" customWidth="1"/>
    <col min="46" max="46" width="10" style="156" customWidth="1"/>
    <col min="47" max="47" width="9.85546875" style="4" customWidth="1"/>
    <col min="48" max="52" width="7.140625" style="4" customWidth="1"/>
    <col min="53" max="53" width="7.140625" style="17" customWidth="1"/>
    <col min="54" max="54" width="5" style="11" customWidth="1"/>
    <col min="55" max="55" width="3.7109375" style="11" customWidth="1"/>
    <col min="56" max="56" width="3.42578125" style="9" customWidth="1"/>
    <col min="57" max="57" width="9.85546875" style="2" customWidth="1"/>
    <col min="58" max="16384" width="11.42578125" style="2"/>
  </cols>
  <sheetData>
    <row r="1" spans="1:56" ht="50.25" customHeight="1" x14ac:dyDescent="0.15">
      <c r="C1" s="198" t="str">
        <f ca="1">MID(CELL("FILENAME",M33),FIND("[",CELL("FILENAME",M33))+1,FIND("]",CELL("FILENAME",M33))-FIND("[",CELL("FILENAME",M33))-1)</f>
        <v>Esc Doc 2018 06 Cba v1 1.xlsx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9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50"/>
      <c r="AO1" s="150"/>
    </row>
    <row r="2" spans="1:56" ht="11.25" customHeight="1" x14ac:dyDescent="0.2">
      <c r="B2" s="66"/>
      <c r="C2" s="33" t="s">
        <v>445</v>
      </c>
      <c r="D2" s="33"/>
      <c r="E2" s="33"/>
      <c r="G2" s="193">
        <v>0</v>
      </c>
      <c r="I2" s="136">
        <f ca="1">LOOKUP(G2,Valores!I:I,Valores!J:J)</f>
        <v>1</v>
      </c>
      <c r="N2" s="25">
        <v>0.15</v>
      </c>
      <c r="O2" s="16"/>
      <c r="AL2" s="209"/>
      <c r="BD2" s="22">
        <f ca="1">(((G139+T139)*1.15)+P139+Q139+R139+AA139+AC139)*0.05</f>
        <v>780.88667500000008</v>
      </c>
    </row>
    <row r="3" spans="1:56" ht="11.25" customHeight="1" x14ac:dyDescent="0.25">
      <c r="B3" s="66"/>
      <c r="C3" s="33" t="s">
        <v>446</v>
      </c>
      <c r="D3" s="33"/>
      <c r="E3" s="33"/>
      <c r="G3" s="193">
        <v>0</v>
      </c>
      <c r="H3" s="211" t="s">
        <v>651</v>
      </c>
      <c r="I3" s="211"/>
      <c r="J3" s="210">
        <f>Valores!C2</f>
        <v>5.1346999999999996</v>
      </c>
      <c r="K3" s="210"/>
      <c r="AL3" s="209"/>
      <c r="AM3" s="31"/>
      <c r="AN3" s="191" t="s">
        <v>467</v>
      </c>
      <c r="AO3" s="31"/>
      <c r="AP3" s="159">
        <f>Valores!C2</f>
        <v>5.1346999999999996</v>
      </c>
      <c r="AQ3" s="27"/>
      <c r="AR3" s="27"/>
      <c r="AS3" s="157"/>
      <c r="AT3" s="157"/>
      <c r="AU3" s="27"/>
      <c r="AV3" s="27"/>
      <c r="AW3" s="27"/>
      <c r="AX3" s="27"/>
      <c r="AY3" s="27"/>
      <c r="AZ3" s="27"/>
    </row>
    <row r="4" spans="1:56" ht="11.25" customHeight="1" x14ac:dyDescent="0.25">
      <c r="A4" s="28"/>
      <c r="B4" s="66"/>
      <c r="C4" s="33" t="s">
        <v>647</v>
      </c>
      <c r="D4" s="66"/>
      <c r="E4" s="66"/>
      <c r="G4" s="190" t="s">
        <v>466</v>
      </c>
      <c r="AL4" s="190"/>
      <c r="AM4" s="191">
        <f>Valores!C2</f>
        <v>5.1346999999999996</v>
      </c>
      <c r="AN4" s="191" t="s">
        <v>466</v>
      </c>
      <c r="AO4" s="31"/>
      <c r="AP4" s="27"/>
      <c r="AQ4" s="27"/>
      <c r="AR4" s="27"/>
      <c r="AS4" s="157"/>
      <c r="AT4" s="157"/>
      <c r="AU4" s="27"/>
      <c r="AV4" s="27"/>
      <c r="AW4" s="27"/>
      <c r="AX4" s="27"/>
      <c r="AY4" s="27"/>
      <c r="AZ4" s="27"/>
    </row>
    <row r="5" spans="1:56" ht="48" customHeight="1" x14ac:dyDescent="0.15">
      <c r="A5" s="185"/>
      <c r="B5" s="185"/>
      <c r="C5" s="5"/>
      <c r="E5" s="5"/>
      <c r="F5" s="203" t="s">
        <v>361</v>
      </c>
      <c r="G5" s="204"/>
      <c r="H5" s="205" t="s">
        <v>362</v>
      </c>
      <c r="I5" s="206"/>
      <c r="J5" s="207" t="s">
        <v>363</v>
      </c>
      <c r="K5" s="208"/>
      <c r="L5" s="200" t="s">
        <v>364</v>
      </c>
      <c r="M5" s="201"/>
      <c r="N5" s="73" t="s">
        <v>388</v>
      </c>
      <c r="O5" s="74" t="s">
        <v>379</v>
      </c>
      <c r="P5" s="73" t="s">
        <v>365</v>
      </c>
      <c r="Q5" s="73" t="s">
        <v>366</v>
      </c>
      <c r="R5" s="73" t="s">
        <v>367</v>
      </c>
      <c r="S5" s="73" t="s">
        <v>489</v>
      </c>
      <c r="T5" s="74" t="s">
        <v>368</v>
      </c>
      <c r="U5" s="73" t="s">
        <v>368</v>
      </c>
      <c r="V5" s="73" t="s">
        <v>369</v>
      </c>
      <c r="W5" s="73" t="s">
        <v>370</v>
      </c>
      <c r="X5" s="202" t="s">
        <v>371</v>
      </c>
      <c r="Y5" s="201"/>
      <c r="Z5" s="73" t="s">
        <v>372</v>
      </c>
      <c r="AA5" s="75" t="s">
        <v>395</v>
      </c>
      <c r="AB5" s="73" t="s">
        <v>444</v>
      </c>
      <c r="AC5" s="73" t="s">
        <v>396</v>
      </c>
      <c r="AD5" s="200" t="s">
        <v>373</v>
      </c>
      <c r="AE5" s="201"/>
      <c r="AF5" s="73" t="s">
        <v>561</v>
      </c>
      <c r="AG5" s="73" t="s">
        <v>562</v>
      </c>
      <c r="AH5" s="73" t="s">
        <v>642</v>
      </c>
      <c r="AI5" s="105" t="s">
        <v>499</v>
      </c>
      <c r="AJ5" s="73" t="s">
        <v>609</v>
      </c>
      <c r="AK5" s="76" t="s">
        <v>377</v>
      </c>
      <c r="AL5" s="76" t="s">
        <v>450</v>
      </c>
      <c r="AM5" s="76" t="s">
        <v>645</v>
      </c>
      <c r="AN5" s="105" t="s">
        <v>500</v>
      </c>
      <c r="AO5" s="151" t="s">
        <v>589</v>
      </c>
      <c r="AP5" s="151" t="s">
        <v>590</v>
      </c>
      <c r="AQ5" s="151" t="s">
        <v>573</v>
      </c>
      <c r="AR5" s="151" t="s">
        <v>574</v>
      </c>
      <c r="AS5" s="151" t="s">
        <v>596</v>
      </c>
      <c r="AT5" s="105" t="s">
        <v>575</v>
      </c>
      <c r="AU5" s="105" t="s">
        <v>576</v>
      </c>
      <c r="AV5" s="151" t="s">
        <v>591</v>
      </c>
      <c r="AW5" s="151" t="s">
        <v>593</v>
      </c>
      <c r="AX5" s="151" t="s">
        <v>592</v>
      </c>
      <c r="AY5" s="151" t="s">
        <v>594</v>
      </c>
      <c r="AZ5" s="151" t="s">
        <v>597</v>
      </c>
      <c r="BA5" s="151" t="s">
        <v>595</v>
      </c>
      <c r="BB5" s="76" t="s">
        <v>452</v>
      </c>
      <c r="BC5" s="76" t="s">
        <v>453</v>
      </c>
      <c r="BD5" s="92" t="s">
        <v>468</v>
      </c>
    </row>
    <row r="6" spans="1:56" s="8" customFormat="1" ht="11.25" customHeight="1" x14ac:dyDescent="0.15">
      <c r="A6" s="20" t="s">
        <v>0</v>
      </c>
      <c r="B6" s="20"/>
      <c r="C6" s="40" t="s">
        <v>1</v>
      </c>
      <c r="E6" s="41" t="s">
        <v>2</v>
      </c>
      <c r="F6" s="68" t="s">
        <v>3</v>
      </c>
      <c r="G6" s="72" t="s">
        <v>397</v>
      </c>
      <c r="H6" s="132" t="s">
        <v>4</v>
      </c>
      <c r="I6" s="69" t="s">
        <v>398</v>
      </c>
      <c r="J6" s="144" t="s">
        <v>5</v>
      </c>
      <c r="K6" s="69" t="s">
        <v>399</v>
      </c>
      <c r="L6" s="119" t="s">
        <v>6</v>
      </c>
      <c r="M6" s="69" t="s">
        <v>400</v>
      </c>
      <c r="N6" s="41" t="s">
        <v>401</v>
      </c>
      <c r="O6" s="41" t="s">
        <v>458</v>
      </c>
      <c r="P6" s="41" t="s">
        <v>402</v>
      </c>
      <c r="Q6" s="41" t="s">
        <v>403</v>
      </c>
      <c r="R6" s="41" t="s">
        <v>404</v>
      </c>
      <c r="S6" s="41" t="s">
        <v>497</v>
      </c>
      <c r="T6" s="13" t="s">
        <v>405</v>
      </c>
      <c r="U6" s="41" t="s">
        <v>405</v>
      </c>
      <c r="V6" s="41" t="s">
        <v>406</v>
      </c>
      <c r="W6" s="41" t="s">
        <v>407</v>
      </c>
      <c r="X6" s="112" t="s">
        <v>385</v>
      </c>
      <c r="Y6" s="69" t="s">
        <v>408</v>
      </c>
      <c r="Z6" s="41" t="s">
        <v>409</v>
      </c>
      <c r="AA6" s="70" t="s">
        <v>410</v>
      </c>
      <c r="AB6" s="70" t="s">
        <v>461</v>
      </c>
      <c r="AC6" s="41" t="s">
        <v>411</v>
      </c>
      <c r="AD6" s="112" t="s">
        <v>381</v>
      </c>
      <c r="AE6" s="69" t="s">
        <v>412</v>
      </c>
      <c r="AF6" s="41" t="s">
        <v>560</v>
      </c>
      <c r="AG6" s="41" t="s">
        <v>563</v>
      </c>
      <c r="AH6" s="41" t="s">
        <v>643</v>
      </c>
      <c r="AI6" s="107" t="s">
        <v>554</v>
      </c>
      <c r="AJ6" s="181" t="s">
        <v>610</v>
      </c>
      <c r="AK6" s="70" t="s">
        <v>414</v>
      </c>
      <c r="AL6" s="70" t="s">
        <v>451</v>
      </c>
      <c r="AM6" s="70" t="s">
        <v>646</v>
      </c>
      <c r="AN6" s="106" t="s">
        <v>555</v>
      </c>
      <c r="AO6" s="152" t="s">
        <v>598</v>
      </c>
      <c r="AP6" s="152" t="s">
        <v>599</v>
      </c>
      <c r="AQ6" s="41" t="s">
        <v>600</v>
      </c>
      <c r="AR6" s="41" t="s">
        <v>601</v>
      </c>
      <c r="AS6" s="41" t="s">
        <v>602</v>
      </c>
      <c r="AT6" s="158"/>
      <c r="AU6" s="158"/>
      <c r="AV6" s="41" t="s">
        <v>603</v>
      </c>
      <c r="AW6" s="41" t="s">
        <v>605</v>
      </c>
      <c r="AX6" s="41" t="s">
        <v>604</v>
      </c>
      <c r="AY6" s="41" t="s">
        <v>606</v>
      </c>
      <c r="AZ6" s="41" t="s">
        <v>607</v>
      </c>
      <c r="BA6" s="41" t="s">
        <v>608</v>
      </c>
      <c r="BB6" s="91"/>
      <c r="BC6" s="91"/>
      <c r="BD6" s="71"/>
    </row>
    <row r="7" spans="1:56" s="9" customFormat="1" ht="11.25" customHeight="1" x14ac:dyDescent="0.15">
      <c r="A7" s="20">
        <v>6</v>
      </c>
      <c r="B7" s="20"/>
      <c r="C7" s="9" t="s">
        <v>7</v>
      </c>
      <c r="E7" s="10" t="s">
        <v>8</v>
      </c>
      <c r="F7" s="123">
        <v>107</v>
      </c>
      <c r="G7" s="7">
        <f ca="1">INT((F7*Valores!$C$2*100)+0.5)/100</f>
        <v>549.41</v>
      </c>
      <c r="H7" s="113">
        <v>3779</v>
      </c>
      <c r="I7" s="77">
        <f ca="1">INT((H7*Valores!$C$2*100)+0.5)/100</f>
        <v>19404.03</v>
      </c>
      <c r="J7" s="145">
        <v>219</v>
      </c>
      <c r="K7" s="77">
        <f ca="1">INT((J7*Valores!$C$2*100)+0.5)/100</f>
        <v>1124.5</v>
      </c>
      <c r="L7" s="123">
        <v>0</v>
      </c>
      <c r="M7" s="77">
        <f ca="1">INT((L7*Valores!$C$2*100)+0.5)/100</f>
        <v>0</v>
      </c>
      <c r="N7" s="77">
        <f t="shared" ref="N7:N70" ca="1" si="0">IF($I$2=0,IF(C7&lt;&gt;"13-930",(SUM(G7,I7,K7,M7,Y7,T7,S7)*$N$2),0),0)</f>
        <v>0</v>
      </c>
      <c r="O7" s="77">
        <f t="shared" ref="O7:O70" ca="1" si="1">SUM(G7,I7,K7,M7,Y7,S7)*$I$2</f>
        <v>22216.629999999997</v>
      </c>
      <c r="P7" s="78">
        <f>Valores!$C$16</f>
        <v>3165.05</v>
      </c>
      <c r="Q7" s="78">
        <f ca="1">Valores!$D$4</f>
        <v>2296.75</v>
      </c>
      <c r="R7" s="77">
        <v>0</v>
      </c>
      <c r="S7" s="79">
        <f>Valores!$C$43</f>
        <v>1138.69</v>
      </c>
      <c r="T7" s="77">
        <v>0</v>
      </c>
      <c r="U7" s="77">
        <f t="shared" ref="U7:U44" ca="1" si="2">T7*(1+$I$2)</f>
        <v>0</v>
      </c>
      <c r="V7" s="78">
        <f ca="1">SUM(G7,I7,K7)</f>
        <v>21077.94</v>
      </c>
      <c r="W7" s="78">
        <f ca="1">INT((SUM(G7,I7,K7)*0.4*100)+0.49)/100</f>
        <v>8431.18</v>
      </c>
      <c r="X7" s="116">
        <v>0</v>
      </c>
      <c r="Y7" s="77">
        <f ca="1">X7*Valores!$C$2</f>
        <v>0</v>
      </c>
      <c r="Z7" s="77">
        <v>0</v>
      </c>
      <c r="AA7" s="89">
        <f>Valores!$C$29</f>
        <v>131.68</v>
      </c>
      <c r="AB7" s="77">
        <f t="shared" ref="AB7:AB70" ca="1" si="3">SUM(G7,I7,K7,Y7,S7,M7)*$G$3/100</f>
        <v>0</v>
      </c>
      <c r="AC7" s="77">
        <f>Valores!$C$30</f>
        <v>131.68</v>
      </c>
      <c r="AD7" s="116">
        <v>0</v>
      </c>
      <c r="AE7" s="77">
        <f ca="1">AD7*Valores!$C$2</f>
        <v>0</v>
      </c>
      <c r="AF7" s="77">
        <f>Valores!$C$51</f>
        <v>267.87</v>
      </c>
      <c r="AG7" s="77">
        <f>Valores!$C$52</f>
        <v>76.540000000000006</v>
      </c>
      <c r="AH7" s="77">
        <f ca="1">SUM(G7,I7,K7,M7,N7,O7,P7,Q7,R7,S7,U7,V7,W7,Y7,Z7,AA7,AB7,AC7,AE7,AF7,AG7)*Valores!$C$54</f>
        <v>0</v>
      </c>
      <c r="AI7" s="15">
        <f ca="1">SUM(G7,I7,K7,M7,N7,O7,P7,Q7,R7,U7,V7,W7,Y7,Z7,AA7,AB7,AC7,AE7,S7,AF7,AG7,AH7)</f>
        <v>80011.949999999968</v>
      </c>
      <c r="AJ7" s="78">
        <f>Valores!$C$35</f>
        <v>182.07</v>
      </c>
      <c r="AK7" s="79">
        <f>Valores!$C$9</f>
        <v>306.14</v>
      </c>
      <c r="AL7" s="89">
        <v>0</v>
      </c>
      <c r="AM7" s="79">
        <f ca="1">IF($G$4="SI",SUM(AK7+AL7),AK7)*Valores!$C$54</f>
        <v>0</v>
      </c>
      <c r="AN7" s="12">
        <f ca="1">SUM(AJ7:AK7,AL7,AM7)</f>
        <v>488.21</v>
      </c>
      <c r="AO7" s="153">
        <f ca="1">AI7*-Valores!$C$56</f>
        <v>-10401.553499999996</v>
      </c>
      <c r="AP7" s="13">
        <f ca="1">AI7*-Valores!$C$57</f>
        <v>-400.05974999999984</v>
      </c>
      <c r="AQ7" s="78">
        <f ca="1">AI7*-Valores!$C$58</f>
        <v>-3600.5377499999986</v>
      </c>
      <c r="AR7" s="78">
        <f ca="1">AI7*-Valores!$C$59</f>
        <v>-2160.3226499999996</v>
      </c>
      <c r="AS7" s="78">
        <f ca="1">AI7*-Valores!$C$60</f>
        <v>-240.0358499999999</v>
      </c>
      <c r="AT7" s="15">
        <f t="shared" ref="AT7:AT70" ca="1" si="4">AI7+AN7+AP7+AQ7+AO7</f>
        <v>66098.008999999976</v>
      </c>
      <c r="AU7" s="15">
        <f t="shared" ref="AU7:AU70" ca="1" si="5">AI7+AN7+AP7+AR7+AO7+AS7</f>
        <v>67298.188249999977</v>
      </c>
      <c r="AV7" s="78">
        <f ca="1">AI7*Valores!$C$61</f>
        <v>12801.911999999995</v>
      </c>
      <c r="AW7" s="78">
        <f ca="1">AI7*Valores!$C$62</f>
        <v>3600.5377499999986</v>
      </c>
      <c r="AX7" s="78">
        <f ca="1">AI7*Valores!$C$64</f>
        <v>800.11949999999968</v>
      </c>
      <c r="AY7" s="78">
        <f ca="1">AI7*Valores!$C$65</f>
        <v>2800.4182499999993</v>
      </c>
      <c r="AZ7" s="78">
        <f ca="1">AI7*Valores!$C$66</f>
        <v>480.07169999999979</v>
      </c>
      <c r="BA7" s="78">
        <f ca="1">AI7*5.4/100</f>
        <v>4320.6452999999983</v>
      </c>
      <c r="BB7" s="20">
        <v>33</v>
      </c>
      <c r="BC7" s="20">
        <v>45</v>
      </c>
      <c r="BD7" s="9" t="s">
        <v>466</v>
      </c>
    </row>
    <row r="8" spans="1:56" s="9" customFormat="1" ht="11.25" customHeight="1" x14ac:dyDescent="0.15">
      <c r="A8" s="20">
        <v>7</v>
      </c>
      <c r="B8" s="20"/>
      <c r="C8" s="9" t="s">
        <v>9</v>
      </c>
      <c r="E8" s="10" t="s">
        <v>10</v>
      </c>
      <c r="F8" s="123">
        <v>107</v>
      </c>
      <c r="G8" s="7">
        <f ca="1">INT((F8*Valores!$C$2*100)+0.5)/100</f>
        <v>549.41</v>
      </c>
      <c r="H8" s="113">
        <v>3779</v>
      </c>
      <c r="I8" s="77">
        <f ca="1">INT((H8*Valores!$C$2*100)+0.5)/100</f>
        <v>19404.03</v>
      </c>
      <c r="J8" s="145">
        <v>219</v>
      </c>
      <c r="K8" s="77">
        <f ca="1">INT((J8*Valores!$C$2*100)+0.5)/100</f>
        <v>1124.5</v>
      </c>
      <c r="L8" s="123">
        <v>0</v>
      </c>
      <c r="M8" s="77">
        <f ca="1">INT((L8*Valores!$C$2*100)+0.5)/100</f>
        <v>0</v>
      </c>
      <c r="N8" s="77">
        <f t="shared" ca="1" si="0"/>
        <v>0</v>
      </c>
      <c r="O8" s="77">
        <f t="shared" ca="1" si="1"/>
        <v>22216.629999999997</v>
      </c>
      <c r="P8" s="78">
        <f>Valores!$C$16</f>
        <v>3165.05</v>
      </c>
      <c r="Q8" s="78">
        <f ca="1">Valores!$D$4</f>
        <v>2296.75</v>
      </c>
      <c r="R8" s="77">
        <v>0</v>
      </c>
      <c r="S8" s="79">
        <f>Valores!$C$43</f>
        <v>1138.69</v>
      </c>
      <c r="T8" s="77">
        <v>0</v>
      </c>
      <c r="U8" s="77">
        <f t="shared" ca="1" si="2"/>
        <v>0</v>
      </c>
      <c r="V8" s="78">
        <f ca="1">SUM(G8,I8,K8)</f>
        <v>21077.94</v>
      </c>
      <c r="W8" s="78">
        <f ca="1">INT((SUM(G8,I8,K8)*0.4*100)+0.49)/100</f>
        <v>8431.18</v>
      </c>
      <c r="X8" s="116">
        <v>0</v>
      </c>
      <c r="Y8" s="77">
        <f ca="1">X8*Valores!$C$2</f>
        <v>0</v>
      </c>
      <c r="Z8" s="77">
        <v>0</v>
      </c>
      <c r="AA8" s="89">
        <f>Valores!$C$29</f>
        <v>131.68</v>
      </c>
      <c r="AB8" s="77">
        <f t="shared" ca="1" si="3"/>
        <v>0</v>
      </c>
      <c r="AC8" s="77">
        <f>Valores!$C$30</f>
        <v>131.68</v>
      </c>
      <c r="AD8" s="116">
        <v>0</v>
      </c>
      <c r="AE8" s="77">
        <f ca="1">INT(((AD8*Valores!$C$2)*100)+0.5)/100</f>
        <v>0</v>
      </c>
      <c r="AF8" s="77">
        <f>Valores!$C$51</f>
        <v>267.87</v>
      </c>
      <c r="AG8" s="77">
        <f>Valores!$C$52</f>
        <v>76.540000000000006</v>
      </c>
      <c r="AH8" s="77">
        <f ca="1">SUM(G8,I8,K8,M8,N8,O8,P8,Q8,R8,S8,U8,V8,W8,Y8,Z8,AA8,AB8,AC8,AE8,AF8,AG8)*Valores!$C$54</f>
        <v>0</v>
      </c>
      <c r="AI8" s="15">
        <f t="shared" ref="AI8:AI71" ca="1" si="6">SUM(G8,I8,K8,M8,N8,O8,P8,Q8,R8,U8,V8,W8,Y8,Z8,AA8,AB8,AC8,AE8,S8,AF8,AG8,AH8)</f>
        <v>80011.949999999968</v>
      </c>
      <c r="AJ8" s="78">
        <f>Valores!$C$35</f>
        <v>182.07</v>
      </c>
      <c r="AK8" s="79">
        <f>Valores!$C$9</f>
        <v>306.14</v>
      </c>
      <c r="AL8" s="89">
        <v>0</v>
      </c>
      <c r="AM8" s="192">
        <f ca="1">IF($G$4="SI",SUM(AK8+AL8),AK8)*Valores!$C$54</f>
        <v>0</v>
      </c>
      <c r="AN8" s="12">
        <f ca="1">SUM(AJ8:AK8,AL8,AM8)</f>
        <v>488.21</v>
      </c>
      <c r="AO8" s="153">
        <f ca="1">AI8*-Valores!$C$56</f>
        <v>-10401.553499999996</v>
      </c>
      <c r="AP8" s="153">
        <f ca="1">AI8*-Valores!$C$57</f>
        <v>-400.05974999999984</v>
      </c>
      <c r="AQ8" s="78">
        <f ca="1">AI8*-Valores!$C$58</f>
        <v>-3600.5377499999986</v>
      </c>
      <c r="AR8" s="78">
        <f ca="1">AI8*-Valores!$C$59</f>
        <v>-2160.3226499999996</v>
      </c>
      <c r="AS8" s="78">
        <f ca="1">AI8*-Valores!$C$60</f>
        <v>-240.0358499999999</v>
      </c>
      <c r="AT8" s="15">
        <f t="shared" ca="1" si="4"/>
        <v>66098.008999999976</v>
      </c>
      <c r="AU8" s="15">
        <f t="shared" ca="1" si="5"/>
        <v>67298.188249999977</v>
      </c>
      <c r="AV8" s="78">
        <f ca="1">AI8*Valores!$C$61</f>
        <v>12801.911999999995</v>
      </c>
      <c r="AW8" s="78">
        <f ca="1">AI8*Valores!$C$62</f>
        <v>3600.5377499999986</v>
      </c>
      <c r="AX8" s="78">
        <f ca="1">AI8*Valores!$C$64</f>
        <v>800.11949999999968</v>
      </c>
      <c r="AY8" s="78">
        <f ca="1">AI8*Valores!$C$65</f>
        <v>2800.4182499999993</v>
      </c>
      <c r="AZ8" s="78">
        <f ca="1">AI8*Valores!$C$66</f>
        <v>480.07169999999979</v>
      </c>
      <c r="BA8" s="78">
        <f ca="1">AI8*Valores!$C$67</f>
        <v>4320.6452999999992</v>
      </c>
      <c r="BB8" s="20">
        <v>33</v>
      </c>
      <c r="BC8" s="20">
        <v>45</v>
      </c>
      <c r="BD8" s="9" t="s">
        <v>466</v>
      </c>
    </row>
    <row r="9" spans="1:56" s="9" customFormat="1" ht="11.25" customHeight="1" x14ac:dyDescent="0.15">
      <c r="A9" s="20">
        <v>8</v>
      </c>
      <c r="B9" s="20"/>
      <c r="C9" s="9" t="s">
        <v>11</v>
      </c>
      <c r="E9" s="10" t="s">
        <v>12</v>
      </c>
      <c r="F9" s="123">
        <v>107</v>
      </c>
      <c r="G9" s="128">
        <f ca="1">INT((F9*Valores!$C$2*100)+0.5)/100</f>
        <v>549.41</v>
      </c>
      <c r="H9" s="113">
        <v>3720</v>
      </c>
      <c r="I9" s="77">
        <f ca="1">INT((H9*Valores!$C$2*100)+0.5)/100</f>
        <v>19101.080000000002</v>
      </c>
      <c r="J9" s="145">
        <v>1226</v>
      </c>
      <c r="K9" s="77">
        <f ca="1">INT((J9*Valores!$C$2*100)+0.5)/100</f>
        <v>6295.14</v>
      </c>
      <c r="L9" s="123">
        <v>0</v>
      </c>
      <c r="M9" s="77">
        <f ca="1">INT((L9*Valores!$C$2*100)+0.5)/100</f>
        <v>0</v>
      </c>
      <c r="N9" s="77">
        <f t="shared" ca="1" si="0"/>
        <v>0</v>
      </c>
      <c r="O9" s="77">
        <f t="shared" ca="1" si="1"/>
        <v>27084.32</v>
      </c>
      <c r="P9" s="78">
        <f>Valores!$C$19</f>
        <v>3318.12</v>
      </c>
      <c r="Q9" s="78">
        <f ca="1">Valores!$D$4</f>
        <v>2296.75</v>
      </c>
      <c r="R9" s="77">
        <v>0</v>
      </c>
      <c r="S9" s="79">
        <f>Valores!$C$43</f>
        <v>1138.69</v>
      </c>
      <c r="T9" s="77">
        <f>Valores!$C$23</f>
        <v>2221.56</v>
      </c>
      <c r="U9" s="77">
        <f t="shared" ca="1" si="2"/>
        <v>4443.12</v>
      </c>
      <c r="V9" s="77">
        <v>0</v>
      </c>
      <c r="W9" s="77">
        <v>0</v>
      </c>
      <c r="X9" s="116">
        <v>0</v>
      </c>
      <c r="Y9" s="77">
        <f ca="1">X9*Valores!$C$2</f>
        <v>0</v>
      </c>
      <c r="Z9" s="77">
        <v>0</v>
      </c>
      <c r="AA9" s="89">
        <f>Valores!$C$29</f>
        <v>131.68</v>
      </c>
      <c r="AB9" s="77">
        <f t="shared" ca="1" si="3"/>
        <v>0</v>
      </c>
      <c r="AC9" s="77">
        <f>Valores!$C$30</f>
        <v>131.68</v>
      </c>
      <c r="AD9" s="116">
        <v>0</v>
      </c>
      <c r="AE9" s="77">
        <f ca="1">INT(((AD9*Valores!$C$2)*100)+0.5)/100</f>
        <v>0</v>
      </c>
      <c r="AF9" s="77">
        <f>Valores!$C$51</f>
        <v>267.87</v>
      </c>
      <c r="AG9" s="77">
        <f>Valores!$C$52</f>
        <v>76.540000000000006</v>
      </c>
      <c r="AH9" s="77">
        <f ca="1">SUM(G9,I9,K9,M9,N9,O9,P9,Q9,R9,S9,U9,V9,W9,Y9,Z9,AA9,AB9,AC9,AE9,AF9,AG9)*Valores!$C$54</f>
        <v>0</v>
      </c>
      <c r="AI9" s="15">
        <f t="shared" ca="1" si="6"/>
        <v>64834.400000000009</v>
      </c>
      <c r="AJ9" s="78">
        <f>Valores!$C$35</f>
        <v>182.07</v>
      </c>
      <c r="AK9" s="79">
        <f>Valores!$C$9</f>
        <v>306.14</v>
      </c>
      <c r="AL9" s="89">
        <v>0</v>
      </c>
      <c r="AM9" s="79">
        <f ca="1">IF($G$4="SI",SUM(AK9+AL9),AK9)*Valores!$C$54</f>
        <v>0</v>
      </c>
      <c r="AN9" s="12">
        <f t="shared" ref="AN9:AN71" ca="1" si="7">SUM(AJ9:AK9,AL9,AM9)</f>
        <v>488.21</v>
      </c>
      <c r="AO9" s="153">
        <f ca="1">AI9*-Valores!$C$56</f>
        <v>-8428.4720000000016</v>
      </c>
      <c r="AP9" s="153">
        <f ca="1">AI9*-Valores!$C$57</f>
        <v>-324.17200000000003</v>
      </c>
      <c r="AQ9" s="78">
        <f ca="1">AI9*-Valores!$C$58</f>
        <v>-2917.5480000000002</v>
      </c>
      <c r="AR9" s="78">
        <f ca="1">AI9*-Valores!$C$59</f>
        <v>-1750.5288000000005</v>
      </c>
      <c r="AS9" s="78">
        <f ca="1">AI9*-Valores!$C$60</f>
        <v>-194.50320000000002</v>
      </c>
      <c r="AT9" s="15">
        <f t="shared" ca="1" si="4"/>
        <v>53652.418000000005</v>
      </c>
      <c r="AU9" s="15">
        <f t="shared" ca="1" si="5"/>
        <v>54624.934000000008</v>
      </c>
      <c r="AV9" s="78">
        <f ca="1">AI9*Valores!$C$61</f>
        <v>10373.504000000001</v>
      </c>
      <c r="AW9" s="78">
        <f ca="1">AI9*Valores!$C$62</f>
        <v>2917.5480000000002</v>
      </c>
      <c r="AX9" s="78">
        <f ca="1">AI9*Valores!$C$64</f>
        <v>648.34400000000005</v>
      </c>
      <c r="AY9" s="78">
        <f ca="1">AI9*Valores!$C$65</f>
        <v>2269.2040000000006</v>
      </c>
      <c r="AZ9" s="78">
        <f ca="1">AI9*Valores!$C$66</f>
        <v>389.00640000000004</v>
      </c>
      <c r="BA9" s="78">
        <f t="shared" ref="BA9:BA72" ca="1" si="8">AI9*5.4/100</f>
        <v>3501.0576000000005</v>
      </c>
      <c r="BB9" s="20">
        <v>35</v>
      </c>
      <c r="BC9" s="20">
        <v>45</v>
      </c>
      <c r="BD9" s="9" t="s">
        <v>467</v>
      </c>
    </row>
    <row r="10" spans="1:56" s="9" customFormat="1" ht="11.25" customHeight="1" x14ac:dyDescent="0.15">
      <c r="A10" s="20">
        <v>9</v>
      </c>
      <c r="B10" s="20"/>
      <c r="C10" s="9" t="s">
        <v>13</v>
      </c>
      <c r="E10" s="10" t="s">
        <v>14</v>
      </c>
      <c r="F10" s="123">
        <v>107</v>
      </c>
      <c r="G10" s="7">
        <f ca="1">INT((F10*Valores!$C$2*100)+0.5)/100</f>
        <v>549.41</v>
      </c>
      <c r="H10" s="113">
        <v>3779</v>
      </c>
      <c r="I10" s="77">
        <f ca="1">INT((H10*Valores!$C$2*100)+0.5)/100</f>
        <v>19404.03</v>
      </c>
      <c r="J10" s="145">
        <v>219</v>
      </c>
      <c r="K10" s="77">
        <f ca="1">INT((J10*Valores!$C$2*100)+0.5)/100</f>
        <v>1124.5</v>
      </c>
      <c r="L10" s="123">
        <v>0</v>
      </c>
      <c r="M10" s="77">
        <f ca="1">INT((L10*Valores!$C$2*100)+0.5)/100</f>
        <v>0</v>
      </c>
      <c r="N10" s="77">
        <f t="shared" ca="1" si="0"/>
        <v>0</v>
      </c>
      <c r="O10" s="77">
        <f t="shared" ca="1" si="1"/>
        <v>22216.629999999997</v>
      </c>
      <c r="P10" s="78">
        <f>Valores!$C$16</f>
        <v>3165.05</v>
      </c>
      <c r="Q10" s="78">
        <f ca="1">Valores!$D$4</f>
        <v>2296.75</v>
      </c>
      <c r="R10" s="77">
        <v>0</v>
      </c>
      <c r="S10" s="79">
        <f>Valores!$C$43</f>
        <v>1138.69</v>
      </c>
      <c r="T10" s="77">
        <v>0</v>
      </c>
      <c r="U10" s="77">
        <f t="shared" ca="1" si="2"/>
        <v>0</v>
      </c>
      <c r="V10" s="78">
        <f t="shared" ref="V10:V19" ca="1" si="9">SUM(G10,I10,K10)</f>
        <v>21077.94</v>
      </c>
      <c r="W10" s="78">
        <f t="shared" ref="W10:W19" ca="1" si="10">INT((SUM(G10,I10,K10)*0.4*100)+0.49)/100</f>
        <v>8431.18</v>
      </c>
      <c r="X10" s="116">
        <v>0</v>
      </c>
      <c r="Y10" s="77">
        <f ca="1">X10*Valores!$C$2</f>
        <v>0</v>
      </c>
      <c r="Z10" s="77">
        <v>0</v>
      </c>
      <c r="AA10" s="89">
        <f>Valores!$C$29</f>
        <v>131.68</v>
      </c>
      <c r="AB10" s="77">
        <f t="shared" ca="1" si="3"/>
        <v>0</v>
      </c>
      <c r="AC10" s="77">
        <f>Valores!$C$30</f>
        <v>131.68</v>
      </c>
      <c r="AD10" s="116">
        <v>0</v>
      </c>
      <c r="AE10" s="77">
        <f ca="1">INT(((AD10*Valores!$C$2)*100)+0.5)/100</f>
        <v>0</v>
      </c>
      <c r="AF10" s="77">
        <f>Valores!$C$51</f>
        <v>267.87</v>
      </c>
      <c r="AG10" s="77">
        <f>Valores!$C$52</f>
        <v>76.540000000000006</v>
      </c>
      <c r="AH10" s="77">
        <f ca="1">SUM(G10,I10,K10,M10,N10,O10,P10,Q10,R10,S10,U10,V10,W10,Y10,Z10,AA10,AB10,AC10,AE10,AF10,AG10)*Valores!$C$54</f>
        <v>0</v>
      </c>
      <c r="AI10" s="15">
        <f t="shared" ca="1" si="6"/>
        <v>80011.949999999968</v>
      </c>
      <c r="AJ10" s="78">
        <f>Valores!$C$35</f>
        <v>182.07</v>
      </c>
      <c r="AK10" s="79">
        <f>Valores!$C$9</f>
        <v>306.14</v>
      </c>
      <c r="AL10" s="89">
        <v>0</v>
      </c>
      <c r="AM10" s="79">
        <f ca="1">IF($G$4="SI",SUM(AK10+AL10),AK10)*Valores!$C$54</f>
        <v>0</v>
      </c>
      <c r="AN10" s="12">
        <f t="shared" ca="1" si="7"/>
        <v>488.21</v>
      </c>
      <c r="AO10" s="153">
        <f ca="1">AI10*-Valores!$C$56</f>
        <v>-10401.553499999996</v>
      </c>
      <c r="AP10" s="153">
        <f ca="1">AI10*-Valores!$C$57</f>
        <v>-400.05974999999984</v>
      </c>
      <c r="AQ10" s="78">
        <f ca="1">AI10*-Valores!$C$58</f>
        <v>-3600.5377499999986</v>
      </c>
      <c r="AR10" s="78">
        <f ca="1">AI10*-Valores!$C$59</f>
        <v>-2160.3226499999996</v>
      </c>
      <c r="AS10" s="78">
        <f ca="1">AI10*-Valores!$C$60</f>
        <v>-240.0358499999999</v>
      </c>
      <c r="AT10" s="15">
        <f t="shared" ca="1" si="4"/>
        <v>66098.008999999976</v>
      </c>
      <c r="AU10" s="15">
        <f t="shared" ca="1" si="5"/>
        <v>67298.188249999977</v>
      </c>
      <c r="AV10" s="78">
        <f ca="1">AI10*Valores!$C$61</f>
        <v>12801.911999999995</v>
      </c>
      <c r="AW10" s="78">
        <f ca="1">AI10*Valores!$C$62</f>
        <v>3600.5377499999986</v>
      </c>
      <c r="AX10" s="78">
        <f ca="1">AI10*Valores!$C$64</f>
        <v>800.11949999999968</v>
      </c>
      <c r="AY10" s="78">
        <f ca="1">AI10*Valores!$C$65</f>
        <v>2800.4182499999993</v>
      </c>
      <c r="AZ10" s="78">
        <f ca="1">AI10*Valores!$C$66</f>
        <v>480.07169999999979</v>
      </c>
      <c r="BA10" s="78">
        <f t="shared" ca="1" si="8"/>
        <v>4320.6452999999983</v>
      </c>
      <c r="BB10" s="20">
        <v>33</v>
      </c>
      <c r="BC10" s="20">
        <v>45</v>
      </c>
      <c r="BD10" s="9" t="s">
        <v>466</v>
      </c>
    </row>
    <row r="11" spans="1:56" s="9" customFormat="1" ht="11.25" customHeight="1" x14ac:dyDescent="0.15">
      <c r="A11" s="55">
        <v>10</v>
      </c>
      <c r="B11" s="55" t="s">
        <v>462</v>
      </c>
      <c r="C11" s="52" t="s">
        <v>15</v>
      </c>
      <c r="D11" s="52"/>
      <c r="E11" s="53" t="s">
        <v>16</v>
      </c>
      <c r="F11" s="124">
        <v>107</v>
      </c>
      <c r="G11" s="129">
        <f ca="1">INT((F11*Valores!$C$2*100)+0.5)/100</f>
        <v>549.41</v>
      </c>
      <c r="H11" s="114">
        <v>3779</v>
      </c>
      <c r="I11" s="80">
        <f ca="1">INT((H11*Valores!$C$2*100)+0.5)/100</f>
        <v>19404.03</v>
      </c>
      <c r="J11" s="146">
        <v>219</v>
      </c>
      <c r="K11" s="80">
        <f ca="1">INT((J11*Valores!$C$2*100)+0.5)/100</f>
        <v>1124.5</v>
      </c>
      <c r="L11" s="124">
        <v>0</v>
      </c>
      <c r="M11" s="80">
        <f ca="1">INT((L11*Valores!$C$2*100)+0.5)/100</f>
        <v>0</v>
      </c>
      <c r="N11" s="80">
        <f t="shared" ca="1" si="0"/>
        <v>0</v>
      </c>
      <c r="O11" s="80">
        <f t="shared" ca="1" si="1"/>
        <v>22216.629999999997</v>
      </c>
      <c r="P11" s="81">
        <f>Valores!$C$16</f>
        <v>3165.05</v>
      </c>
      <c r="Q11" s="81">
        <f ca="1">Valores!$D$4</f>
        <v>2296.75</v>
      </c>
      <c r="R11" s="80">
        <v>0</v>
      </c>
      <c r="S11" s="82">
        <f>Valores!$C$43</f>
        <v>1138.69</v>
      </c>
      <c r="T11" s="80">
        <v>0</v>
      </c>
      <c r="U11" s="80">
        <f t="shared" ca="1" si="2"/>
        <v>0</v>
      </c>
      <c r="V11" s="81">
        <f t="shared" ca="1" si="9"/>
        <v>21077.94</v>
      </c>
      <c r="W11" s="81">
        <f t="shared" ca="1" si="10"/>
        <v>8431.18</v>
      </c>
      <c r="X11" s="115">
        <v>0</v>
      </c>
      <c r="Y11" s="80">
        <f ca="1">X11*Valores!$C$2</f>
        <v>0</v>
      </c>
      <c r="Z11" s="80">
        <v>0</v>
      </c>
      <c r="AA11" s="90">
        <f>Valores!$C$29</f>
        <v>131.68</v>
      </c>
      <c r="AB11" s="80">
        <f t="shared" ca="1" si="3"/>
        <v>0</v>
      </c>
      <c r="AC11" s="80">
        <f>Valores!$C$30</f>
        <v>131.68</v>
      </c>
      <c r="AD11" s="115">
        <v>0</v>
      </c>
      <c r="AE11" s="80">
        <f ca="1">INT(((AD11*Valores!$C$2)*100)+0.5)/100</f>
        <v>0</v>
      </c>
      <c r="AF11" s="80">
        <f>Valores!$C$51</f>
        <v>267.87</v>
      </c>
      <c r="AG11" s="80">
        <f>Valores!$C$52</f>
        <v>76.540000000000006</v>
      </c>
      <c r="AH11" s="80">
        <f ca="1">SUM(G11,I11,K11,M11,N11,O11,P11,Q11,R11,S11,U11,V11,W11,Y11,Z11,AA11,AB11,AC11,AE11,AF11,AG11)*Valores!$C$54</f>
        <v>0</v>
      </c>
      <c r="AI11" s="54">
        <f t="shared" ca="1" si="6"/>
        <v>80011.949999999968</v>
      </c>
      <c r="AJ11" s="81">
        <f>Valores!$C$35</f>
        <v>182.07</v>
      </c>
      <c r="AK11" s="82">
        <f>Valores!$C$9</f>
        <v>306.14</v>
      </c>
      <c r="AL11" s="90">
        <v>0</v>
      </c>
      <c r="AM11" s="82">
        <f ca="1">IF($G$4="SI",SUM(AK11+AL11),AK11)*Valores!$C$54</f>
        <v>0</v>
      </c>
      <c r="AN11" s="186">
        <f t="shared" ca="1" si="7"/>
        <v>488.21</v>
      </c>
      <c r="AO11" s="154">
        <f ca="1">AI11*-Valores!$C$56</f>
        <v>-10401.553499999996</v>
      </c>
      <c r="AP11" s="154">
        <f ca="1">AI11*-Valores!$C$57</f>
        <v>-400.05974999999984</v>
      </c>
      <c r="AQ11" s="81">
        <f ca="1">AI11*-Valores!$C$58</f>
        <v>-3600.5377499999986</v>
      </c>
      <c r="AR11" s="81">
        <f ca="1">AI11*-Valores!$C$59</f>
        <v>-2160.3226499999996</v>
      </c>
      <c r="AS11" s="81">
        <f ca="1">AI11*-Valores!$C$60</f>
        <v>-240.0358499999999</v>
      </c>
      <c r="AT11" s="54">
        <f t="shared" ca="1" si="4"/>
        <v>66098.008999999976</v>
      </c>
      <c r="AU11" s="54">
        <f t="shared" ca="1" si="5"/>
        <v>67298.188249999977</v>
      </c>
      <c r="AV11" s="81">
        <f ca="1">AI11*Valores!$C$61</f>
        <v>12801.911999999995</v>
      </c>
      <c r="AW11" s="81">
        <f ca="1">AI11*Valores!$C$62</f>
        <v>3600.5377499999986</v>
      </c>
      <c r="AX11" s="81">
        <f ca="1">AI11*Valores!$C$64</f>
        <v>800.11949999999968</v>
      </c>
      <c r="AY11" s="81">
        <f ca="1">AI11*Valores!$C$65</f>
        <v>2800.4182499999993</v>
      </c>
      <c r="AZ11" s="81">
        <f ca="1">AI11*Valores!$C$66</f>
        <v>480.07169999999979</v>
      </c>
      <c r="BA11" s="81">
        <f t="shared" ca="1" si="8"/>
        <v>4320.6452999999983</v>
      </c>
      <c r="BB11" s="55">
        <v>33</v>
      </c>
      <c r="BC11" s="55">
        <v>45</v>
      </c>
      <c r="BD11" s="52" t="s">
        <v>466</v>
      </c>
    </row>
    <row r="12" spans="1:56" s="9" customFormat="1" ht="11.25" customHeight="1" x14ac:dyDescent="0.15">
      <c r="A12" s="20">
        <v>11</v>
      </c>
      <c r="B12" s="20"/>
      <c r="C12" s="9" t="s">
        <v>17</v>
      </c>
      <c r="E12" s="10" t="s">
        <v>18</v>
      </c>
      <c r="F12" s="123">
        <v>107</v>
      </c>
      <c r="G12" s="7">
        <f ca="1">INT((F12*Valores!$C$2*100)+0.5)/100</f>
        <v>549.41</v>
      </c>
      <c r="H12" s="113">
        <v>3779</v>
      </c>
      <c r="I12" s="77">
        <f ca="1">INT((H12*Valores!$C$2*100)+0.5)/100</f>
        <v>19404.03</v>
      </c>
      <c r="J12" s="145">
        <v>219</v>
      </c>
      <c r="K12" s="77">
        <f ca="1">INT((J12*Valores!$C$2*100)+0.5)/100</f>
        <v>1124.5</v>
      </c>
      <c r="L12" s="123">
        <v>0</v>
      </c>
      <c r="M12" s="77">
        <f ca="1">INT((L12*Valores!$C$2*100)+0.5)/100</f>
        <v>0</v>
      </c>
      <c r="N12" s="77">
        <f t="shared" ca="1" si="0"/>
        <v>0</v>
      </c>
      <c r="O12" s="77">
        <f t="shared" ca="1" si="1"/>
        <v>22216.629999999997</v>
      </c>
      <c r="P12" s="78">
        <f>Valores!$C$16</f>
        <v>3165.05</v>
      </c>
      <c r="Q12" s="78">
        <f ca="1">Valores!$D$4</f>
        <v>2296.75</v>
      </c>
      <c r="R12" s="77">
        <v>0</v>
      </c>
      <c r="S12" s="79">
        <f>Valores!$C$43</f>
        <v>1138.69</v>
      </c>
      <c r="T12" s="77">
        <v>0</v>
      </c>
      <c r="U12" s="77">
        <f t="shared" ca="1" si="2"/>
        <v>0</v>
      </c>
      <c r="V12" s="78">
        <f t="shared" ca="1" si="9"/>
        <v>21077.94</v>
      </c>
      <c r="W12" s="78">
        <f t="shared" ca="1" si="10"/>
        <v>8431.18</v>
      </c>
      <c r="X12" s="116">
        <v>0</v>
      </c>
      <c r="Y12" s="77">
        <f ca="1">X12*Valores!$C$2</f>
        <v>0</v>
      </c>
      <c r="Z12" s="77">
        <v>0</v>
      </c>
      <c r="AA12" s="89">
        <f>Valores!$C$29</f>
        <v>131.68</v>
      </c>
      <c r="AB12" s="77">
        <f t="shared" ca="1" si="3"/>
        <v>0</v>
      </c>
      <c r="AC12" s="77">
        <f>Valores!$C$30</f>
        <v>131.68</v>
      </c>
      <c r="AD12" s="116">
        <v>0</v>
      </c>
      <c r="AE12" s="77">
        <f ca="1">INT(((AD12*Valores!$C$2)*100)+0.5)/100</f>
        <v>0</v>
      </c>
      <c r="AF12" s="77">
        <f>Valores!$C$51</f>
        <v>267.87</v>
      </c>
      <c r="AG12" s="77">
        <f>Valores!$C$52</f>
        <v>76.540000000000006</v>
      </c>
      <c r="AH12" s="77">
        <f ca="1">SUM(G12,I12,K12,M12,N12,O12,P12,Q12,R12,S12,U12,V12,W12,Y12,Z12,AA12,AB12,AC12,AE12,AF12,AG12)*Valores!$C$54</f>
        <v>0</v>
      </c>
      <c r="AI12" s="15">
        <f t="shared" ca="1" si="6"/>
        <v>80011.949999999968</v>
      </c>
      <c r="AJ12" s="78">
        <f>Valores!$C$35</f>
        <v>182.07</v>
      </c>
      <c r="AK12" s="79">
        <f>Valores!$C$9</f>
        <v>306.14</v>
      </c>
      <c r="AL12" s="89">
        <v>0</v>
      </c>
      <c r="AM12" s="79">
        <f ca="1">IF($G$4="SI",SUM(AK12+AL12),AK12)*Valores!$C$54</f>
        <v>0</v>
      </c>
      <c r="AN12" s="12">
        <f t="shared" ca="1" si="7"/>
        <v>488.21</v>
      </c>
      <c r="AO12" s="153">
        <f ca="1">AI12*-Valores!$C$56</f>
        <v>-10401.553499999996</v>
      </c>
      <c r="AP12" s="153">
        <f ca="1">AI12*-Valores!$C$57</f>
        <v>-400.05974999999984</v>
      </c>
      <c r="AQ12" s="78">
        <f ca="1">AI12*-Valores!$C$58</f>
        <v>-3600.5377499999986</v>
      </c>
      <c r="AR12" s="78">
        <f ca="1">AI12*-Valores!$C$59</f>
        <v>-2160.3226499999996</v>
      </c>
      <c r="AS12" s="78">
        <f ca="1">AI12*-Valores!$C$60</f>
        <v>-240.0358499999999</v>
      </c>
      <c r="AT12" s="15">
        <f t="shared" ca="1" si="4"/>
        <v>66098.008999999976</v>
      </c>
      <c r="AU12" s="15">
        <f t="shared" ca="1" si="5"/>
        <v>67298.188249999977</v>
      </c>
      <c r="AV12" s="78">
        <f ca="1">AI12*Valores!$C$61</f>
        <v>12801.911999999995</v>
      </c>
      <c r="AW12" s="78">
        <f ca="1">AI12*Valores!$C$62</f>
        <v>3600.5377499999986</v>
      </c>
      <c r="AX12" s="78">
        <f ca="1">AI12*Valores!$C$64</f>
        <v>800.11949999999968</v>
      </c>
      <c r="AY12" s="78">
        <f ca="1">AI12*Valores!$C$65</f>
        <v>2800.4182499999993</v>
      </c>
      <c r="AZ12" s="78">
        <f ca="1">AI12*Valores!$C$66</f>
        <v>480.07169999999979</v>
      </c>
      <c r="BA12" s="78">
        <f t="shared" ca="1" si="8"/>
        <v>4320.6452999999983</v>
      </c>
      <c r="BB12" s="20">
        <v>33</v>
      </c>
      <c r="BC12" s="20">
        <v>45</v>
      </c>
      <c r="BD12" s="9" t="s">
        <v>466</v>
      </c>
    </row>
    <row r="13" spans="1:56" s="9" customFormat="1" ht="11.25" customHeight="1" x14ac:dyDescent="0.15">
      <c r="A13" s="20">
        <v>12</v>
      </c>
      <c r="B13" s="20"/>
      <c r="C13" s="9" t="s">
        <v>19</v>
      </c>
      <c r="E13" s="10" t="s">
        <v>20</v>
      </c>
      <c r="F13" s="123">
        <v>107</v>
      </c>
      <c r="G13" s="7">
        <f ca="1">INT((F13*Valores!$C$2*100)+0.5)/100</f>
        <v>549.41</v>
      </c>
      <c r="H13" s="113">
        <v>3779</v>
      </c>
      <c r="I13" s="77">
        <f ca="1">INT((H13*Valores!$C$2*100)+0.5)/100</f>
        <v>19404.03</v>
      </c>
      <c r="J13" s="145">
        <v>219</v>
      </c>
      <c r="K13" s="77">
        <f ca="1">INT((J13*Valores!$C$2*100)+0.5)/100</f>
        <v>1124.5</v>
      </c>
      <c r="L13" s="123">
        <v>0</v>
      </c>
      <c r="M13" s="77">
        <f ca="1">INT((L13*Valores!$C$2*100)+0.5)/100</f>
        <v>0</v>
      </c>
      <c r="N13" s="77">
        <f t="shared" ca="1" si="0"/>
        <v>0</v>
      </c>
      <c r="O13" s="77">
        <f t="shared" ca="1" si="1"/>
        <v>22216.629999999997</v>
      </c>
      <c r="P13" s="78">
        <f>Valores!$C$16</f>
        <v>3165.05</v>
      </c>
      <c r="Q13" s="78">
        <f ca="1">Valores!$D$4</f>
        <v>2296.75</v>
      </c>
      <c r="R13" s="77">
        <v>0</v>
      </c>
      <c r="S13" s="79">
        <f>Valores!$C$43</f>
        <v>1138.69</v>
      </c>
      <c r="T13" s="77">
        <v>0</v>
      </c>
      <c r="U13" s="77">
        <f t="shared" ca="1" si="2"/>
        <v>0</v>
      </c>
      <c r="V13" s="78">
        <f t="shared" ca="1" si="9"/>
        <v>21077.94</v>
      </c>
      <c r="W13" s="78">
        <f t="shared" ca="1" si="10"/>
        <v>8431.18</v>
      </c>
      <c r="X13" s="116">
        <v>0</v>
      </c>
      <c r="Y13" s="77">
        <f ca="1">X13*Valores!$C$2</f>
        <v>0</v>
      </c>
      <c r="Z13" s="77">
        <v>0</v>
      </c>
      <c r="AA13" s="89">
        <f>Valores!$C$29</f>
        <v>131.68</v>
      </c>
      <c r="AB13" s="77">
        <f t="shared" ca="1" si="3"/>
        <v>0</v>
      </c>
      <c r="AC13" s="77">
        <f>Valores!$C$30</f>
        <v>131.68</v>
      </c>
      <c r="AD13" s="116">
        <v>0</v>
      </c>
      <c r="AE13" s="77">
        <f ca="1">INT(((AD13*Valores!$C$2)*100)+0.5)/100</f>
        <v>0</v>
      </c>
      <c r="AF13" s="77">
        <f>Valores!$C$51</f>
        <v>267.87</v>
      </c>
      <c r="AG13" s="77">
        <f>Valores!$C$52</f>
        <v>76.540000000000006</v>
      </c>
      <c r="AH13" s="77">
        <f ca="1">SUM(G13,I13,K13,M13,N13,O13,P13,Q13,R13,S13,U13,V13,W13,Y13,Z13,AA13,AB13,AC13,AE13,AF13,AG13)*Valores!$C$54</f>
        <v>0</v>
      </c>
      <c r="AI13" s="15">
        <f t="shared" ca="1" si="6"/>
        <v>80011.949999999968</v>
      </c>
      <c r="AJ13" s="78">
        <f>Valores!$C$35</f>
        <v>182.07</v>
      </c>
      <c r="AK13" s="79">
        <f>Valores!$C$9</f>
        <v>306.14</v>
      </c>
      <c r="AL13" s="89">
        <v>0</v>
      </c>
      <c r="AM13" s="79">
        <f ca="1">IF($G$4="SI",SUM(AK13+AL13),AK13)*Valores!$C$54</f>
        <v>0</v>
      </c>
      <c r="AN13" s="12">
        <f t="shared" ca="1" si="7"/>
        <v>488.21</v>
      </c>
      <c r="AO13" s="153">
        <f ca="1">AI13*-Valores!$C$56</f>
        <v>-10401.553499999996</v>
      </c>
      <c r="AP13" s="153">
        <f ca="1">AI13*-Valores!$C$57</f>
        <v>-400.05974999999984</v>
      </c>
      <c r="AQ13" s="78">
        <f ca="1">AI13*-Valores!$C$58</f>
        <v>-3600.5377499999986</v>
      </c>
      <c r="AR13" s="78">
        <f ca="1">AI13*-Valores!$C$59</f>
        <v>-2160.3226499999996</v>
      </c>
      <c r="AS13" s="78">
        <f ca="1">AI13*-Valores!$C$60</f>
        <v>-240.0358499999999</v>
      </c>
      <c r="AT13" s="15">
        <f t="shared" ca="1" si="4"/>
        <v>66098.008999999976</v>
      </c>
      <c r="AU13" s="15">
        <f t="shared" ca="1" si="5"/>
        <v>67298.188249999977</v>
      </c>
      <c r="AV13" s="78">
        <f ca="1">AI13*Valores!$C$61</f>
        <v>12801.911999999995</v>
      </c>
      <c r="AW13" s="78">
        <f ca="1">AI13*Valores!$C$62</f>
        <v>3600.5377499999986</v>
      </c>
      <c r="AX13" s="78">
        <f ca="1">AI13*Valores!$C$64</f>
        <v>800.11949999999968</v>
      </c>
      <c r="AY13" s="78">
        <f ca="1">AI13*Valores!$C$65</f>
        <v>2800.4182499999993</v>
      </c>
      <c r="AZ13" s="78">
        <f ca="1">AI13*Valores!$C$66</f>
        <v>480.07169999999979</v>
      </c>
      <c r="BA13" s="78">
        <f t="shared" ca="1" si="8"/>
        <v>4320.6452999999983</v>
      </c>
      <c r="BB13" s="20">
        <v>33</v>
      </c>
      <c r="BC13" s="20">
        <v>45</v>
      </c>
      <c r="BD13" s="9" t="s">
        <v>466</v>
      </c>
    </row>
    <row r="14" spans="1:56" s="9" customFormat="1" ht="11.25" customHeight="1" x14ac:dyDescent="0.15">
      <c r="A14" s="20">
        <v>13</v>
      </c>
      <c r="B14" s="20"/>
      <c r="C14" s="9" t="s">
        <v>21</v>
      </c>
      <c r="E14" s="10" t="s">
        <v>22</v>
      </c>
      <c r="F14" s="123">
        <v>107</v>
      </c>
      <c r="G14" s="7">
        <f ca="1">INT((F14*Valores!$C$2*100)+0.5)/100</f>
        <v>549.41</v>
      </c>
      <c r="H14" s="113">
        <v>3779</v>
      </c>
      <c r="I14" s="77">
        <f ca="1">INT((H14*Valores!$C$2*100)+0.5)/100</f>
        <v>19404.03</v>
      </c>
      <c r="J14" s="145">
        <v>219</v>
      </c>
      <c r="K14" s="77">
        <f ca="1">INT((J14*Valores!$C$2*100)+0.5)/100</f>
        <v>1124.5</v>
      </c>
      <c r="L14" s="123">
        <v>0</v>
      </c>
      <c r="M14" s="77">
        <f ca="1">INT((L14*Valores!$C$2*100)+0.5)/100</f>
        <v>0</v>
      </c>
      <c r="N14" s="77">
        <f t="shared" ca="1" si="0"/>
        <v>0</v>
      </c>
      <c r="O14" s="77">
        <f t="shared" ca="1" si="1"/>
        <v>22216.629999999997</v>
      </c>
      <c r="P14" s="78">
        <f>Valores!$C$16</f>
        <v>3165.05</v>
      </c>
      <c r="Q14" s="78">
        <f ca="1">Valores!$D$4</f>
        <v>2296.75</v>
      </c>
      <c r="R14" s="77">
        <v>0</v>
      </c>
      <c r="S14" s="79">
        <f>Valores!$C$43</f>
        <v>1138.69</v>
      </c>
      <c r="T14" s="77">
        <v>0</v>
      </c>
      <c r="U14" s="77">
        <f t="shared" ca="1" si="2"/>
        <v>0</v>
      </c>
      <c r="V14" s="78">
        <f t="shared" ca="1" si="9"/>
        <v>21077.94</v>
      </c>
      <c r="W14" s="78">
        <f t="shared" ca="1" si="10"/>
        <v>8431.18</v>
      </c>
      <c r="X14" s="116">
        <v>0</v>
      </c>
      <c r="Y14" s="77">
        <f ca="1">X14*Valores!$C$2</f>
        <v>0</v>
      </c>
      <c r="Z14" s="77">
        <v>0</v>
      </c>
      <c r="AA14" s="89">
        <f>Valores!$C$29</f>
        <v>131.68</v>
      </c>
      <c r="AB14" s="77">
        <f t="shared" ca="1" si="3"/>
        <v>0</v>
      </c>
      <c r="AC14" s="77">
        <f>Valores!$C$30</f>
        <v>131.68</v>
      </c>
      <c r="AD14" s="116">
        <v>0</v>
      </c>
      <c r="AE14" s="77">
        <f ca="1">INT(((AD14*Valores!$C$2)*100)+0.5)/100</f>
        <v>0</v>
      </c>
      <c r="AF14" s="77">
        <f>Valores!$C$51</f>
        <v>267.87</v>
      </c>
      <c r="AG14" s="77">
        <f>Valores!$C$52</f>
        <v>76.540000000000006</v>
      </c>
      <c r="AH14" s="77">
        <f ca="1">SUM(G14,I14,K14,M14,N14,O14,P14,Q14,R14,S14,U14,V14,W14,Y14,Z14,AA14,AB14,AC14,AE14,AF14,AG14)*Valores!$C$54</f>
        <v>0</v>
      </c>
      <c r="AI14" s="15">
        <f t="shared" ca="1" si="6"/>
        <v>80011.949999999968</v>
      </c>
      <c r="AJ14" s="78">
        <f>Valores!$C$35</f>
        <v>182.07</v>
      </c>
      <c r="AK14" s="79">
        <f>Valores!$C$9</f>
        <v>306.14</v>
      </c>
      <c r="AL14" s="89">
        <v>0</v>
      </c>
      <c r="AM14" s="79">
        <f ca="1">IF($G$4="SI",SUM(AK14+AL14),AK14)*Valores!$C$54</f>
        <v>0</v>
      </c>
      <c r="AN14" s="12">
        <f t="shared" ca="1" si="7"/>
        <v>488.21</v>
      </c>
      <c r="AO14" s="153">
        <f ca="1">AI14*-Valores!$C$56</f>
        <v>-10401.553499999996</v>
      </c>
      <c r="AP14" s="153">
        <f ca="1">AI14*-Valores!$C$57</f>
        <v>-400.05974999999984</v>
      </c>
      <c r="AQ14" s="78">
        <f ca="1">AI14*-Valores!$C$58</f>
        <v>-3600.5377499999986</v>
      </c>
      <c r="AR14" s="78">
        <f ca="1">AI14*-Valores!$C$59</f>
        <v>-2160.3226499999996</v>
      </c>
      <c r="AS14" s="78">
        <f ca="1">AI14*-Valores!$C$60</f>
        <v>-240.0358499999999</v>
      </c>
      <c r="AT14" s="15">
        <f t="shared" ca="1" si="4"/>
        <v>66098.008999999976</v>
      </c>
      <c r="AU14" s="15">
        <f t="shared" ca="1" si="5"/>
        <v>67298.188249999977</v>
      </c>
      <c r="AV14" s="78">
        <f ca="1">AI14*Valores!$C$61</f>
        <v>12801.911999999995</v>
      </c>
      <c r="AW14" s="78">
        <f ca="1">AI14*Valores!$C$62</f>
        <v>3600.5377499999986</v>
      </c>
      <c r="AX14" s="78">
        <f ca="1">AI14*Valores!$C$64</f>
        <v>800.11949999999968</v>
      </c>
      <c r="AY14" s="78">
        <f ca="1">AI14*Valores!$C$65</f>
        <v>2800.4182499999993</v>
      </c>
      <c r="AZ14" s="78">
        <f ca="1">AI14*Valores!$C$66</f>
        <v>480.07169999999979</v>
      </c>
      <c r="BA14" s="78">
        <f t="shared" ca="1" si="8"/>
        <v>4320.6452999999983</v>
      </c>
      <c r="BB14" s="20">
        <v>33</v>
      </c>
      <c r="BC14" s="20">
        <v>45</v>
      </c>
      <c r="BD14" s="9" t="s">
        <v>466</v>
      </c>
    </row>
    <row r="15" spans="1:56" s="9" customFormat="1" ht="11.25" customHeight="1" x14ac:dyDescent="0.15">
      <c r="A15" s="20">
        <v>14</v>
      </c>
      <c r="B15" s="20"/>
      <c r="C15" s="9" t="s">
        <v>23</v>
      </c>
      <c r="E15" s="10" t="s">
        <v>24</v>
      </c>
      <c r="F15" s="123">
        <v>100</v>
      </c>
      <c r="G15" s="7">
        <f ca="1">INT((F15*Valores!$C$2*100)+0.5)/100</f>
        <v>513.47</v>
      </c>
      <c r="H15" s="113">
        <v>3727</v>
      </c>
      <c r="I15" s="77">
        <f ca="1">INT((H15*Valores!$C$2*100)+0.5)/100</f>
        <v>19137.03</v>
      </c>
      <c r="J15" s="145">
        <v>219</v>
      </c>
      <c r="K15" s="77">
        <f ca="1">INT((J15*Valores!$C$2*100)+0.5)/100</f>
        <v>1124.5</v>
      </c>
      <c r="L15" s="123">
        <v>0</v>
      </c>
      <c r="M15" s="77">
        <f ca="1">INT((L15*Valores!$C$2*100)+0.5)/100</f>
        <v>0</v>
      </c>
      <c r="N15" s="77">
        <f t="shared" ca="1" si="0"/>
        <v>0</v>
      </c>
      <c r="O15" s="77">
        <f t="shared" ca="1" si="1"/>
        <v>21913.69</v>
      </c>
      <c r="P15" s="78">
        <f>Valores!$C$16</f>
        <v>3165.05</v>
      </c>
      <c r="Q15" s="78">
        <f ca="1">Valores!$D$4</f>
        <v>2296.75</v>
      </c>
      <c r="R15" s="77">
        <v>0</v>
      </c>
      <c r="S15" s="79">
        <f>Valores!$C$43</f>
        <v>1138.69</v>
      </c>
      <c r="T15" s="77">
        <v>0</v>
      </c>
      <c r="U15" s="77">
        <f t="shared" ca="1" si="2"/>
        <v>0</v>
      </c>
      <c r="V15" s="78">
        <f t="shared" ca="1" si="9"/>
        <v>20775</v>
      </c>
      <c r="W15" s="78">
        <f t="shared" ca="1" si="10"/>
        <v>8310</v>
      </c>
      <c r="X15" s="116">
        <v>0</v>
      </c>
      <c r="Y15" s="77">
        <f ca="1">X15*Valores!$C$2</f>
        <v>0</v>
      </c>
      <c r="Z15" s="77">
        <v>0</v>
      </c>
      <c r="AA15" s="89">
        <f>Valores!$C$29</f>
        <v>131.68</v>
      </c>
      <c r="AB15" s="77">
        <f t="shared" ca="1" si="3"/>
        <v>0</v>
      </c>
      <c r="AC15" s="77">
        <f>Valores!$C$30</f>
        <v>131.68</v>
      </c>
      <c r="AD15" s="116">
        <v>0</v>
      </c>
      <c r="AE15" s="77">
        <f ca="1">INT(((AD15*Valores!$C$2)*100)+0.5)/100</f>
        <v>0</v>
      </c>
      <c r="AF15" s="77">
        <f>Valores!$C$51</f>
        <v>267.87</v>
      </c>
      <c r="AG15" s="77">
        <f>Valores!$C$52</f>
        <v>76.540000000000006</v>
      </c>
      <c r="AH15" s="77">
        <f ca="1">SUM(G15,I15,K15,M15,N15,O15,P15,Q15,R15,S15,U15,V15,W15,Y15,Z15,AA15,AB15,AC15,AE15,AF15,AG15)*Valores!$C$54</f>
        <v>0</v>
      </c>
      <c r="AI15" s="15">
        <f t="shared" ca="1" si="6"/>
        <v>78981.949999999983</v>
      </c>
      <c r="AJ15" s="78">
        <f>Valores!$C$35</f>
        <v>182.07</v>
      </c>
      <c r="AK15" s="79">
        <f>Valores!$C$9</f>
        <v>306.14</v>
      </c>
      <c r="AL15" s="89">
        <v>0</v>
      </c>
      <c r="AM15" s="79">
        <f ca="1">IF($G$4="SI",SUM(AK15+AL15),AK15)*Valores!$C$54</f>
        <v>0</v>
      </c>
      <c r="AN15" s="12">
        <f t="shared" ca="1" si="7"/>
        <v>488.21</v>
      </c>
      <c r="AO15" s="153">
        <f ca="1">AI15*-Valores!$C$56</f>
        <v>-10267.653499999999</v>
      </c>
      <c r="AP15" s="153">
        <f ca="1">AI15*-Valores!$C$57</f>
        <v>-394.90974999999992</v>
      </c>
      <c r="AQ15" s="78">
        <f ca="1">AI15*-Valores!$C$58</f>
        <v>-3554.1877499999991</v>
      </c>
      <c r="AR15" s="78">
        <f ca="1">AI15*-Valores!$C$59</f>
        <v>-2132.5126499999997</v>
      </c>
      <c r="AS15" s="78">
        <f ca="1">AI15*-Valores!$C$60</f>
        <v>-236.94584999999995</v>
      </c>
      <c r="AT15" s="15">
        <f t="shared" ca="1" si="4"/>
        <v>65253.408999999985</v>
      </c>
      <c r="AU15" s="15">
        <f t="shared" ca="1" si="5"/>
        <v>66438.138249999975</v>
      </c>
      <c r="AV15" s="78">
        <f ca="1">AI15*Valores!$C$61</f>
        <v>12637.111999999997</v>
      </c>
      <c r="AW15" s="78">
        <f ca="1">AI15*Valores!$C$62</f>
        <v>3554.1877499999991</v>
      </c>
      <c r="AX15" s="78">
        <f ca="1">AI15*Valores!$C$64</f>
        <v>789.81949999999983</v>
      </c>
      <c r="AY15" s="78">
        <f ca="1">AI15*Valores!$C$65</f>
        <v>2764.3682499999995</v>
      </c>
      <c r="AZ15" s="78">
        <f ca="1">AI15*Valores!$C$66</f>
        <v>473.8916999999999</v>
      </c>
      <c r="BA15" s="78">
        <f t="shared" ca="1" si="8"/>
        <v>4265.0252999999993</v>
      </c>
      <c r="BB15" s="20">
        <v>33</v>
      </c>
      <c r="BC15" s="20">
        <v>45</v>
      </c>
      <c r="BD15" s="9" t="s">
        <v>466</v>
      </c>
    </row>
    <row r="16" spans="1:56" s="9" customFormat="1" ht="11.25" customHeight="1" x14ac:dyDescent="0.15">
      <c r="A16" s="55">
        <v>15</v>
      </c>
      <c r="B16" s="55" t="s">
        <v>462</v>
      </c>
      <c r="C16" s="52" t="s">
        <v>25</v>
      </c>
      <c r="D16" s="52"/>
      <c r="E16" s="53" t="s">
        <v>26</v>
      </c>
      <c r="F16" s="124">
        <v>100</v>
      </c>
      <c r="G16" s="129">
        <f ca="1">INT((F16*Valores!$C$2*100)+0.5)/100</f>
        <v>513.47</v>
      </c>
      <c r="H16" s="114">
        <v>3727</v>
      </c>
      <c r="I16" s="80">
        <f ca="1">INT((H16*Valores!$C$2*100)+0.5)/100</f>
        <v>19137.03</v>
      </c>
      <c r="J16" s="146">
        <v>219</v>
      </c>
      <c r="K16" s="80">
        <f ca="1">INT((J16*Valores!$C$2*100)+0.5)/100</f>
        <v>1124.5</v>
      </c>
      <c r="L16" s="124">
        <v>0</v>
      </c>
      <c r="M16" s="80">
        <f ca="1">INT((L16*Valores!$C$2*100)+0.5)/100</f>
        <v>0</v>
      </c>
      <c r="N16" s="80">
        <f t="shared" ca="1" si="0"/>
        <v>0</v>
      </c>
      <c r="O16" s="80">
        <f t="shared" ca="1" si="1"/>
        <v>21913.69</v>
      </c>
      <c r="P16" s="81">
        <f>Valores!$C$16</f>
        <v>3165.05</v>
      </c>
      <c r="Q16" s="81">
        <f ca="1">Valores!$D$4</f>
        <v>2296.75</v>
      </c>
      <c r="R16" s="80">
        <v>0</v>
      </c>
      <c r="S16" s="82">
        <f>Valores!$C$43</f>
        <v>1138.69</v>
      </c>
      <c r="T16" s="80">
        <v>0</v>
      </c>
      <c r="U16" s="80">
        <f t="shared" ca="1" si="2"/>
        <v>0</v>
      </c>
      <c r="V16" s="81">
        <f t="shared" ca="1" si="9"/>
        <v>20775</v>
      </c>
      <c r="W16" s="81">
        <f t="shared" ca="1" si="10"/>
        <v>8310</v>
      </c>
      <c r="X16" s="115">
        <v>0</v>
      </c>
      <c r="Y16" s="80">
        <f ca="1">X16*Valores!$C$2</f>
        <v>0</v>
      </c>
      <c r="Z16" s="80">
        <v>0</v>
      </c>
      <c r="AA16" s="90">
        <f>Valores!$C$29</f>
        <v>131.68</v>
      </c>
      <c r="AB16" s="80">
        <f t="shared" ca="1" si="3"/>
        <v>0</v>
      </c>
      <c r="AC16" s="80">
        <f>Valores!$C$30</f>
        <v>131.68</v>
      </c>
      <c r="AD16" s="115">
        <v>0</v>
      </c>
      <c r="AE16" s="80">
        <f ca="1">INT(((AD16*Valores!$C$2)*100)+0.5)/100</f>
        <v>0</v>
      </c>
      <c r="AF16" s="80">
        <f>Valores!$C$51</f>
        <v>267.87</v>
      </c>
      <c r="AG16" s="80">
        <f>Valores!$C$52</f>
        <v>76.540000000000006</v>
      </c>
      <c r="AH16" s="80">
        <f ca="1">SUM(G16,I16,K16,M16,N16,O16,P16,Q16,R16,S16,U16,V16,W16,Y16,Z16,AA16,AB16,AC16,AE16,AF16,AG16)*Valores!$C$54</f>
        <v>0</v>
      </c>
      <c r="AI16" s="54">
        <f t="shared" ca="1" si="6"/>
        <v>78981.949999999983</v>
      </c>
      <c r="AJ16" s="81">
        <f>Valores!$C$35</f>
        <v>182.07</v>
      </c>
      <c r="AK16" s="82">
        <f>Valores!$C$9</f>
        <v>306.14</v>
      </c>
      <c r="AL16" s="90">
        <v>0</v>
      </c>
      <c r="AM16" s="82">
        <f ca="1">IF($G$4="SI",SUM(AK16+AL16),AK16)*Valores!$C$54</f>
        <v>0</v>
      </c>
      <c r="AN16" s="186">
        <f t="shared" ca="1" si="7"/>
        <v>488.21</v>
      </c>
      <c r="AO16" s="154">
        <f ca="1">AI16*-Valores!$C$56</f>
        <v>-10267.653499999999</v>
      </c>
      <c r="AP16" s="154">
        <f ca="1">AI16*-Valores!$C$57</f>
        <v>-394.90974999999992</v>
      </c>
      <c r="AQ16" s="81">
        <f ca="1">AI16*-Valores!$C$58</f>
        <v>-3554.1877499999991</v>
      </c>
      <c r="AR16" s="81">
        <f ca="1">AI16*-Valores!$C$59</f>
        <v>-2132.5126499999997</v>
      </c>
      <c r="AS16" s="81">
        <f ca="1">AI16*-Valores!$C$60</f>
        <v>-236.94584999999995</v>
      </c>
      <c r="AT16" s="54">
        <f t="shared" ca="1" si="4"/>
        <v>65253.408999999985</v>
      </c>
      <c r="AU16" s="54">
        <f t="shared" ca="1" si="5"/>
        <v>66438.138249999975</v>
      </c>
      <c r="AV16" s="81">
        <f ca="1">AI16*Valores!$C$61</f>
        <v>12637.111999999997</v>
      </c>
      <c r="AW16" s="81">
        <f ca="1">AI16*Valores!$C$62</f>
        <v>3554.1877499999991</v>
      </c>
      <c r="AX16" s="81">
        <f ca="1">AI16*Valores!$C$64</f>
        <v>789.81949999999983</v>
      </c>
      <c r="AY16" s="81">
        <f ca="1">AI16*Valores!$C$65</f>
        <v>2764.3682499999995</v>
      </c>
      <c r="AZ16" s="81">
        <f ca="1">AI16*Valores!$C$66</f>
        <v>473.8916999999999</v>
      </c>
      <c r="BA16" s="81">
        <f t="shared" ca="1" si="8"/>
        <v>4265.0252999999993</v>
      </c>
      <c r="BB16" s="55">
        <v>33</v>
      </c>
      <c r="BC16" s="55">
        <v>45</v>
      </c>
      <c r="BD16" s="52" t="s">
        <v>466</v>
      </c>
    </row>
    <row r="17" spans="1:56" s="9" customFormat="1" ht="11.25" customHeight="1" x14ac:dyDescent="0.15">
      <c r="A17" s="20">
        <v>16</v>
      </c>
      <c r="B17" s="20"/>
      <c r="C17" s="9" t="s">
        <v>27</v>
      </c>
      <c r="E17" s="10" t="s">
        <v>28</v>
      </c>
      <c r="F17" s="123">
        <v>100</v>
      </c>
      <c r="G17" s="7">
        <f ca="1">INT((F17*Valores!$C$2*100)+0.5)/100</f>
        <v>513.47</v>
      </c>
      <c r="H17" s="113">
        <v>3727</v>
      </c>
      <c r="I17" s="77">
        <f ca="1">INT((H17*Valores!$C$2*100)+0.5)/100</f>
        <v>19137.03</v>
      </c>
      <c r="J17" s="145">
        <v>219</v>
      </c>
      <c r="K17" s="77">
        <f ca="1">INT((J17*Valores!$C$2*100)+0.5)/100</f>
        <v>1124.5</v>
      </c>
      <c r="L17" s="123">
        <v>0</v>
      </c>
      <c r="M17" s="77">
        <f ca="1">INT((L17*Valores!$C$2*100)+0.5)/100</f>
        <v>0</v>
      </c>
      <c r="N17" s="77">
        <f t="shared" ca="1" si="0"/>
        <v>0</v>
      </c>
      <c r="O17" s="77">
        <f t="shared" ca="1" si="1"/>
        <v>21913.69</v>
      </c>
      <c r="P17" s="78">
        <f>Valores!$C$16</f>
        <v>3165.05</v>
      </c>
      <c r="Q17" s="78">
        <f ca="1">Valores!$D$4</f>
        <v>2296.75</v>
      </c>
      <c r="R17" s="77">
        <v>0</v>
      </c>
      <c r="S17" s="79">
        <f>Valores!$C$43</f>
        <v>1138.69</v>
      </c>
      <c r="T17" s="77">
        <v>0</v>
      </c>
      <c r="U17" s="77">
        <f t="shared" ca="1" si="2"/>
        <v>0</v>
      </c>
      <c r="V17" s="78">
        <f t="shared" ca="1" si="9"/>
        <v>20775</v>
      </c>
      <c r="W17" s="78">
        <f t="shared" ca="1" si="10"/>
        <v>8310</v>
      </c>
      <c r="X17" s="116">
        <v>0</v>
      </c>
      <c r="Y17" s="77">
        <f ca="1">X17*Valores!$C$2</f>
        <v>0</v>
      </c>
      <c r="Z17" s="77">
        <v>0</v>
      </c>
      <c r="AA17" s="89">
        <f>Valores!$C$29</f>
        <v>131.68</v>
      </c>
      <c r="AB17" s="77">
        <f t="shared" ca="1" si="3"/>
        <v>0</v>
      </c>
      <c r="AC17" s="77">
        <f>Valores!$C$30</f>
        <v>131.68</v>
      </c>
      <c r="AD17" s="116">
        <v>0</v>
      </c>
      <c r="AE17" s="77">
        <f ca="1">INT(((AD17*Valores!$C$2)*100)+0.5)/100</f>
        <v>0</v>
      </c>
      <c r="AF17" s="77">
        <f>Valores!$C$51</f>
        <v>267.87</v>
      </c>
      <c r="AG17" s="77">
        <f>Valores!$C$52</f>
        <v>76.540000000000006</v>
      </c>
      <c r="AH17" s="77">
        <f ca="1">SUM(G17,I17,K17,M17,N17,O17,P17,Q17,R17,S17,U17,V17,W17,Y17,Z17,AA17,AB17,AC17,AE17,AF17,AG17)*Valores!$C$54</f>
        <v>0</v>
      </c>
      <c r="AI17" s="15">
        <f t="shared" ca="1" si="6"/>
        <v>78981.949999999983</v>
      </c>
      <c r="AJ17" s="78">
        <f>Valores!$C$35</f>
        <v>182.07</v>
      </c>
      <c r="AK17" s="79">
        <f>Valores!$C$9</f>
        <v>306.14</v>
      </c>
      <c r="AL17" s="89">
        <v>0</v>
      </c>
      <c r="AM17" s="79">
        <f ca="1">IF($G$4="SI",SUM(AK17+AL17),AK17)*Valores!$C$54</f>
        <v>0</v>
      </c>
      <c r="AN17" s="12">
        <f t="shared" ca="1" si="7"/>
        <v>488.21</v>
      </c>
      <c r="AO17" s="153">
        <f ca="1">AI17*-Valores!$C$56</f>
        <v>-10267.653499999999</v>
      </c>
      <c r="AP17" s="153">
        <f ca="1">AI17*-Valores!$C$57</f>
        <v>-394.90974999999992</v>
      </c>
      <c r="AQ17" s="78">
        <f ca="1">AI17*-Valores!$C$58</f>
        <v>-3554.1877499999991</v>
      </c>
      <c r="AR17" s="78">
        <f ca="1">AI17*-Valores!$C$59</f>
        <v>-2132.5126499999997</v>
      </c>
      <c r="AS17" s="78">
        <f ca="1">AI17*-Valores!$C$60</f>
        <v>-236.94584999999995</v>
      </c>
      <c r="AT17" s="15">
        <f t="shared" ca="1" si="4"/>
        <v>65253.408999999985</v>
      </c>
      <c r="AU17" s="15">
        <f t="shared" ca="1" si="5"/>
        <v>66438.138249999975</v>
      </c>
      <c r="AV17" s="78">
        <f ca="1">AI17*Valores!$C$61</f>
        <v>12637.111999999997</v>
      </c>
      <c r="AW17" s="78">
        <f ca="1">AI17*Valores!$C$62</f>
        <v>3554.1877499999991</v>
      </c>
      <c r="AX17" s="78">
        <f ca="1">AI17*Valores!$C$64</f>
        <v>789.81949999999983</v>
      </c>
      <c r="AY17" s="78">
        <f ca="1">AI17*Valores!$C$65</f>
        <v>2764.3682499999995</v>
      </c>
      <c r="AZ17" s="78">
        <f ca="1">AI17*Valores!$C$66</f>
        <v>473.8916999999999</v>
      </c>
      <c r="BA17" s="78">
        <f t="shared" ca="1" si="8"/>
        <v>4265.0252999999993</v>
      </c>
      <c r="BB17" s="20"/>
      <c r="BC17" s="20">
        <v>45</v>
      </c>
      <c r="BD17" s="9" t="s">
        <v>466</v>
      </c>
    </row>
    <row r="18" spans="1:56" s="9" customFormat="1" ht="11.25" customHeight="1" x14ac:dyDescent="0.15">
      <c r="A18" s="20">
        <v>17</v>
      </c>
      <c r="B18" s="20"/>
      <c r="C18" s="9" t="s">
        <v>29</v>
      </c>
      <c r="E18" s="10" t="s">
        <v>30</v>
      </c>
      <c r="F18" s="123">
        <v>100</v>
      </c>
      <c r="G18" s="7">
        <f ca="1">INT((F18*Valores!$C$2*100)+0.5)/100</f>
        <v>513.47</v>
      </c>
      <c r="H18" s="113">
        <v>3727</v>
      </c>
      <c r="I18" s="77">
        <f ca="1">INT((H18*Valores!$C$2*100)+0.5)/100</f>
        <v>19137.03</v>
      </c>
      <c r="J18" s="145">
        <v>219</v>
      </c>
      <c r="K18" s="77">
        <f ca="1">INT((J18*Valores!$C$2*100)+0.5)/100</f>
        <v>1124.5</v>
      </c>
      <c r="L18" s="123">
        <v>0</v>
      </c>
      <c r="M18" s="77">
        <f ca="1">INT((L18*Valores!$C$2*100)+0.5)/100</f>
        <v>0</v>
      </c>
      <c r="N18" s="77">
        <f t="shared" ca="1" si="0"/>
        <v>0</v>
      </c>
      <c r="O18" s="77">
        <f t="shared" ca="1" si="1"/>
        <v>21913.69</v>
      </c>
      <c r="P18" s="78">
        <f>Valores!$C$16</f>
        <v>3165.05</v>
      </c>
      <c r="Q18" s="78">
        <f ca="1">Valores!$D$4</f>
        <v>2296.75</v>
      </c>
      <c r="R18" s="77">
        <v>0</v>
      </c>
      <c r="S18" s="79">
        <f>Valores!$C$43</f>
        <v>1138.69</v>
      </c>
      <c r="T18" s="77">
        <v>0</v>
      </c>
      <c r="U18" s="77">
        <f t="shared" ca="1" si="2"/>
        <v>0</v>
      </c>
      <c r="V18" s="78">
        <f t="shared" ca="1" si="9"/>
        <v>20775</v>
      </c>
      <c r="W18" s="78">
        <f t="shared" ca="1" si="10"/>
        <v>8310</v>
      </c>
      <c r="X18" s="116">
        <v>0</v>
      </c>
      <c r="Y18" s="77">
        <f ca="1">X18*Valores!$C$2</f>
        <v>0</v>
      </c>
      <c r="Z18" s="77">
        <v>0</v>
      </c>
      <c r="AA18" s="89">
        <f>Valores!$C$29</f>
        <v>131.68</v>
      </c>
      <c r="AB18" s="77">
        <f t="shared" ca="1" si="3"/>
        <v>0</v>
      </c>
      <c r="AC18" s="77">
        <f>Valores!$C$30</f>
        <v>131.68</v>
      </c>
      <c r="AD18" s="116">
        <v>0</v>
      </c>
      <c r="AE18" s="77">
        <f ca="1">INT(((AD18*Valores!$C$2)*100)+0.5)/100</f>
        <v>0</v>
      </c>
      <c r="AF18" s="77">
        <f>Valores!$C$51</f>
        <v>267.87</v>
      </c>
      <c r="AG18" s="77">
        <f>Valores!$C$52</f>
        <v>76.540000000000006</v>
      </c>
      <c r="AH18" s="77">
        <f ca="1">SUM(G18,I18,K18,M18,N18,O18,P18,Q18,R18,S18,U18,V18,W18,Y18,Z18,AA18,AB18,AC18,AE18,AF18,AG18)*Valores!$C$54</f>
        <v>0</v>
      </c>
      <c r="AI18" s="15">
        <f t="shared" ca="1" si="6"/>
        <v>78981.949999999983</v>
      </c>
      <c r="AJ18" s="78">
        <f>Valores!$C$35</f>
        <v>182.07</v>
      </c>
      <c r="AK18" s="79">
        <f>Valores!$C$9</f>
        <v>306.14</v>
      </c>
      <c r="AL18" s="89">
        <v>0</v>
      </c>
      <c r="AM18" s="79">
        <f ca="1">IF($G$4="SI",SUM(AK18+AL18),AK18)*Valores!$C$54</f>
        <v>0</v>
      </c>
      <c r="AN18" s="12">
        <f t="shared" ca="1" si="7"/>
        <v>488.21</v>
      </c>
      <c r="AO18" s="153">
        <f ca="1">AI18*-Valores!$C$56</f>
        <v>-10267.653499999999</v>
      </c>
      <c r="AP18" s="153">
        <f ca="1">AI18*-Valores!$C$57</f>
        <v>-394.90974999999992</v>
      </c>
      <c r="AQ18" s="78">
        <f ca="1">AI18*-Valores!$C$58</f>
        <v>-3554.1877499999991</v>
      </c>
      <c r="AR18" s="78">
        <f ca="1">AI18*-Valores!$C$59</f>
        <v>-2132.5126499999997</v>
      </c>
      <c r="AS18" s="78">
        <f ca="1">AI18*-Valores!$C$60</f>
        <v>-236.94584999999995</v>
      </c>
      <c r="AT18" s="15">
        <f t="shared" ca="1" si="4"/>
        <v>65253.408999999985</v>
      </c>
      <c r="AU18" s="15">
        <f t="shared" ca="1" si="5"/>
        <v>66438.138249999975</v>
      </c>
      <c r="AV18" s="78">
        <f ca="1">AI18*Valores!$C$61</f>
        <v>12637.111999999997</v>
      </c>
      <c r="AW18" s="78">
        <f ca="1">AI18*Valores!$C$62</f>
        <v>3554.1877499999991</v>
      </c>
      <c r="AX18" s="78">
        <f ca="1">AI18*Valores!$C$64</f>
        <v>789.81949999999983</v>
      </c>
      <c r="AY18" s="78">
        <f ca="1">AI18*Valores!$C$65</f>
        <v>2764.3682499999995</v>
      </c>
      <c r="AZ18" s="78">
        <f ca="1">AI18*Valores!$C$66</f>
        <v>473.8916999999999</v>
      </c>
      <c r="BA18" s="78">
        <f t="shared" ca="1" si="8"/>
        <v>4265.0252999999993</v>
      </c>
      <c r="BB18" s="20"/>
      <c r="BC18" s="20">
        <v>45</v>
      </c>
      <c r="BD18" s="9" t="s">
        <v>466</v>
      </c>
    </row>
    <row r="19" spans="1:56" s="9" customFormat="1" ht="11.25" customHeight="1" x14ac:dyDescent="0.15">
      <c r="A19" s="20">
        <v>18</v>
      </c>
      <c r="B19" s="20"/>
      <c r="C19" s="9" t="s">
        <v>31</v>
      </c>
      <c r="E19" s="10" t="s">
        <v>32</v>
      </c>
      <c r="F19" s="123">
        <v>100</v>
      </c>
      <c r="G19" s="7">
        <f ca="1">INT((F19*Valores!$C$2*100)+0.5)/100</f>
        <v>513.47</v>
      </c>
      <c r="H19" s="113">
        <v>3727</v>
      </c>
      <c r="I19" s="77">
        <f ca="1">INT((H19*Valores!$C$2*100)+0.5)/100</f>
        <v>19137.03</v>
      </c>
      <c r="J19" s="145">
        <v>219</v>
      </c>
      <c r="K19" s="77">
        <f ca="1">INT((J19*Valores!$C$2*100)+0.5)/100</f>
        <v>1124.5</v>
      </c>
      <c r="L19" s="123">
        <v>0</v>
      </c>
      <c r="M19" s="77">
        <f ca="1">INT((L19*Valores!$C$2*100)+0.5)/100</f>
        <v>0</v>
      </c>
      <c r="N19" s="77">
        <f t="shared" ca="1" si="0"/>
        <v>0</v>
      </c>
      <c r="O19" s="77">
        <f t="shared" ca="1" si="1"/>
        <v>21913.69</v>
      </c>
      <c r="P19" s="78">
        <f>Valores!$C$16</f>
        <v>3165.05</v>
      </c>
      <c r="Q19" s="78">
        <f ca="1">Valores!$D$4</f>
        <v>2296.75</v>
      </c>
      <c r="R19" s="77">
        <v>0</v>
      </c>
      <c r="S19" s="79">
        <f>Valores!$C$43</f>
        <v>1138.69</v>
      </c>
      <c r="T19" s="77">
        <v>0</v>
      </c>
      <c r="U19" s="77">
        <f t="shared" ca="1" si="2"/>
        <v>0</v>
      </c>
      <c r="V19" s="78">
        <f t="shared" ca="1" si="9"/>
        <v>20775</v>
      </c>
      <c r="W19" s="78">
        <f t="shared" ca="1" si="10"/>
        <v>8310</v>
      </c>
      <c r="X19" s="116">
        <v>0</v>
      </c>
      <c r="Y19" s="77">
        <f ca="1">X19*Valores!$C$2</f>
        <v>0</v>
      </c>
      <c r="Z19" s="77">
        <v>0</v>
      </c>
      <c r="AA19" s="89">
        <f>Valores!$C$29</f>
        <v>131.68</v>
      </c>
      <c r="AB19" s="77">
        <f t="shared" ca="1" si="3"/>
        <v>0</v>
      </c>
      <c r="AC19" s="77">
        <f>Valores!$C$30</f>
        <v>131.68</v>
      </c>
      <c r="AD19" s="116">
        <v>0</v>
      </c>
      <c r="AE19" s="77">
        <f ca="1">INT(((AD19*Valores!$C$2)*100)+0.5)/100</f>
        <v>0</v>
      </c>
      <c r="AF19" s="77">
        <f>Valores!$C$51</f>
        <v>267.87</v>
      </c>
      <c r="AG19" s="77">
        <f>Valores!$C$52</f>
        <v>76.540000000000006</v>
      </c>
      <c r="AH19" s="77">
        <f ca="1">SUM(G19,I19,K19,M19,N19,O19,P19,Q19,R19,S19,U19,V19,W19,Y19,Z19,AA19,AB19,AC19,AE19,AF19,AG19)*Valores!$C$54</f>
        <v>0</v>
      </c>
      <c r="AI19" s="15">
        <f t="shared" ca="1" si="6"/>
        <v>78981.949999999983</v>
      </c>
      <c r="AJ19" s="78">
        <f>Valores!$C$35</f>
        <v>182.07</v>
      </c>
      <c r="AK19" s="79">
        <f>Valores!$C$9</f>
        <v>306.14</v>
      </c>
      <c r="AL19" s="89">
        <v>0</v>
      </c>
      <c r="AM19" s="79">
        <f ca="1">IF($G$4="SI",SUM(AK19+AL19),AK19)*Valores!$C$54</f>
        <v>0</v>
      </c>
      <c r="AN19" s="12">
        <f t="shared" ca="1" si="7"/>
        <v>488.21</v>
      </c>
      <c r="AO19" s="153">
        <f ca="1">AI19*-Valores!$C$56</f>
        <v>-10267.653499999999</v>
      </c>
      <c r="AP19" s="153">
        <f ca="1">AI19*-Valores!$C$57</f>
        <v>-394.90974999999992</v>
      </c>
      <c r="AQ19" s="78">
        <f ca="1">AI19*-Valores!$C$58</f>
        <v>-3554.1877499999991</v>
      </c>
      <c r="AR19" s="78">
        <f ca="1">AI19*-Valores!$C$59</f>
        <v>-2132.5126499999997</v>
      </c>
      <c r="AS19" s="78">
        <f ca="1">AI19*-Valores!$C$60</f>
        <v>-236.94584999999995</v>
      </c>
      <c r="AT19" s="15">
        <f t="shared" ca="1" si="4"/>
        <v>65253.408999999985</v>
      </c>
      <c r="AU19" s="15">
        <f t="shared" ca="1" si="5"/>
        <v>66438.138249999975</v>
      </c>
      <c r="AV19" s="78">
        <f ca="1">AI19*Valores!$C$61</f>
        <v>12637.111999999997</v>
      </c>
      <c r="AW19" s="78">
        <f ca="1">AI19*Valores!$C$62</f>
        <v>3554.1877499999991</v>
      </c>
      <c r="AX19" s="78">
        <f ca="1">AI19*Valores!$C$64</f>
        <v>789.81949999999983</v>
      </c>
      <c r="AY19" s="78">
        <f ca="1">AI19*Valores!$C$65</f>
        <v>2764.3682499999995</v>
      </c>
      <c r="AZ19" s="78">
        <f ca="1">AI19*Valores!$C$66</f>
        <v>473.8916999999999</v>
      </c>
      <c r="BA19" s="78">
        <f t="shared" ca="1" si="8"/>
        <v>4265.0252999999993</v>
      </c>
      <c r="BB19" s="20"/>
      <c r="BC19" s="20">
        <v>45</v>
      </c>
      <c r="BD19" s="9" t="s">
        <v>466</v>
      </c>
    </row>
    <row r="20" spans="1:56" s="9" customFormat="1" ht="11.25" customHeight="1" x14ac:dyDescent="0.15">
      <c r="A20" s="20">
        <v>19</v>
      </c>
      <c r="B20" s="20"/>
      <c r="C20" s="9" t="s">
        <v>33</v>
      </c>
      <c r="E20" s="10" t="s">
        <v>34</v>
      </c>
      <c r="F20" s="123">
        <v>107</v>
      </c>
      <c r="G20" s="7">
        <f ca="1">INT((F20*Valores!$C$2*100)+0.5)/100</f>
        <v>549.41</v>
      </c>
      <c r="H20" s="113">
        <v>3720</v>
      </c>
      <c r="I20" s="77">
        <f ca="1">INT((H20*Valores!$C$2*100)+0.5)/100</f>
        <v>19101.080000000002</v>
      </c>
      <c r="J20" s="145">
        <v>1226</v>
      </c>
      <c r="K20" s="77">
        <f ca="1">INT((J20*Valores!$C$2*100)+0.5)/100</f>
        <v>6295.14</v>
      </c>
      <c r="L20" s="123">
        <v>0</v>
      </c>
      <c r="M20" s="77">
        <f ca="1">INT((L20*Valores!$C$2*100)+0.5)/100</f>
        <v>0</v>
      </c>
      <c r="N20" s="77">
        <f t="shared" ca="1" si="0"/>
        <v>0</v>
      </c>
      <c r="O20" s="77">
        <f t="shared" ca="1" si="1"/>
        <v>27084.32</v>
      </c>
      <c r="P20" s="78">
        <f>Valores!$C$19</f>
        <v>3318.12</v>
      </c>
      <c r="Q20" s="78">
        <f ca="1">Valores!$D$4</f>
        <v>2296.75</v>
      </c>
      <c r="R20" s="77">
        <v>0</v>
      </c>
      <c r="S20" s="79">
        <f>Valores!$C$43</f>
        <v>1138.69</v>
      </c>
      <c r="T20" s="77">
        <f>Valores!$C$23</f>
        <v>2221.56</v>
      </c>
      <c r="U20" s="77">
        <f t="shared" ca="1" si="2"/>
        <v>4443.12</v>
      </c>
      <c r="V20" s="77">
        <v>0</v>
      </c>
      <c r="W20" s="77">
        <v>0</v>
      </c>
      <c r="X20" s="116">
        <v>0</v>
      </c>
      <c r="Y20" s="77">
        <f ca="1">X20*Valores!$C$2</f>
        <v>0</v>
      </c>
      <c r="Z20" s="77">
        <v>0</v>
      </c>
      <c r="AA20" s="89">
        <f>Valores!$C$29</f>
        <v>131.68</v>
      </c>
      <c r="AB20" s="77">
        <f t="shared" ca="1" si="3"/>
        <v>0</v>
      </c>
      <c r="AC20" s="77">
        <f>Valores!$C$30</f>
        <v>131.68</v>
      </c>
      <c r="AD20" s="116">
        <v>0</v>
      </c>
      <c r="AE20" s="77">
        <f ca="1">INT(((AD20*Valores!$C$2)*100)+0.5)/100</f>
        <v>0</v>
      </c>
      <c r="AF20" s="77">
        <f>Valores!$C$51</f>
        <v>267.87</v>
      </c>
      <c r="AG20" s="77">
        <f>Valores!$C$52</f>
        <v>76.540000000000006</v>
      </c>
      <c r="AH20" s="77">
        <f ca="1">SUM(G20,I20,K20,M20,N20,O20,P20,Q20,R20,S20,U20,V20,W20,Y20,Z20,AA20,AB20,AC20,AE20,AF20,AG20)*Valores!$C$54</f>
        <v>0</v>
      </c>
      <c r="AI20" s="15">
        <f t="shared" ca="1" si="6"/>
        <v>64834.400000000009</v>
      </c>
      <c r="AJ20" s="78">
        <f>Valores!$C$35</f>
        <v>182.07</v>
      </c>
      <c r="AK20" s="79">
        <f>Valores!$C$9</f>
        <v>306.14</v>
      </c>
      <c r="AL20" s="89">
        <v>224.5</v>
      </c>
      <c r="AM20" s="79">
        <f ca="1">IF($G$4="SI",SUM(AK20+AL20),AK20)*Valores!$C$54</f>
        <v>0</v>
      </c>
      <c r="AN20" s="12">
        <f t="shared" ca="1" si="7"/>
        <v>712.71</v>
      </c>
      <c r="AO20" s="153">
        <f ca="1">AI20*-Valores!$C$56</f>
        <v>-8428.4720000000016</v>
      </c>
      <c r="AP20" s="153">
        <f ca="1">AI20*-Valores!$C$57</f>
        <v>-324.17200000000003</v>
      </c>
      <c r="AQ20" s="78">
        <f ca="1">AI20*-Valores!$C$58</f>
        <v>-2917.5480000000002</v>
      </c>
      <c r="AR20" s="78">
        <f ca="1">AI20*-Valores!$C$59</f>
        <v>-1750.5288000000005</v>
      </c>
      <c r="AS20" s="78">
        <f ca="1">AI20*-Valores!$C$60</f>
        <v>-194.50320000000002</v>
      </c>
      <c r="AT20" s="15">
        <f t="shared" ca="1" si="4"/>
        <v>53876.918000000012</v>
      </c>
      <c r="AU20" s="15">
        <f t="shared" ca="1" si="5"/>
        <v>54849.434000000016</v>
      </c>
      <c r="AV20" s="78">
        <f ca="1">AI20*Valores!$C$61</f>
        <v>10373.504000000001</v>
      </c>
      <c r="AW20" s="78">
        <f ca="1">AI20*Valores!$C$62</f>
        <v>2917.5480000000002</v>
      </c>
      <c r="AX20" s="78">
        <f ca="1">AI20*Valores!$C$64</f>
        <v>648.34400000000005</v>
      </c>
      <c r="AY20" s="78">
        <f ca="1">AI20*Valores!$C$65</f>
        <v>2269.2040000000006</v>
      </c>
      <c r="AZ20" s="78">
        <f ca="1">AI20*Valores!$C$66</f>
        <v>389.00640000000004</v>
      </c>
      <c r="BA20" s="78">
        <f t="shared" ca="1" si="8"/>
        <v>3501.0576000000005</v>
      </c>
      <c r="BB20" s="20"/>
      <c r="BC20" s="20">
        <v>45</v>
      </c>
      <c r="BD20" s="9" t="s">
        <v>467</v>
      </c>
    </row>
    <row r="21" spans="1:56" s="9" customFormat="1" ht="11.25" customHeight="1" x14ac:dyDescent="0.15">
      <c r="A21" s="55">
        <v>20</v>
      </c>
      <c r="B21" s="55" t="s">
        <v>462</v>
      </c>
      <c r="C21" s="52" t="s">
        <v>35</v>
      </c>
      <c r="D21" s="52"/>
      <c r="E21" s="53" t="s">
        <v>36</v>
      </c>
      <c r="F21" s="124">
        <v>100</v>
      </c>
      <c r="G21" s="129">
        <f ca="1">INT((F21*Valores!$C$2*100)+0.5)/100</f>
        <v>513.47</v>
      </c>
      <c r="H21" s="114">
        <v>3727</v>
      </c>
      <c r="I21" s="80">
        <f ca="1">INT((H21*Valores!$C$2*100)+0.5)/100</f>
        <v>19137.03</v>
      </c>
      <c r="J21" s="146">
        <v>219</v>
      </c>
      <c r="K21" s="80">
        <f ca="1">INT((J21*Valores!$C$2*100)+0.5)/100</f>
        <v>1124.5</v>
      </c>
      <c r="L21" s="124">
        <v>0</v>
      </c>
      <c r="M21" s="80">
        <f ca="1">INT((L21*Valores!$C$2*100)+0.5)/100</f>
        <v>0</v>
      </c>
      <c r="N21" s="80">
        <f t="shared" ca="1" si="0"/>
        <v>0</v>
      </c>
      <c r="O21" s="80">
        <f t="shared" ca="1" si="1"/>
        <v>21913.69</v>
      </c>
      <c r="P21" s="81">
        <f>Valores!$C$16</f>
        <v>3165.05</v>
      </c>
      <c r="Q21" s="81">
        <f ca="1">Valores!$D$4</f>
        <v>2296.75</v>
      </c>
      <c r="R21" s="80">
        <v>0</v>
      </c>
      <c r="S21" s="82">
        <f>Valores!$C$43</f>
        <v>1138.69</v>
      </c>
      <c r="T21" s="80">
        <v>0</v>
      </c>
      <c r="U21" s="80">
        <f t="shared" ca="1" si="2"/>
        <v>0</v>
      </c>
      <c r="V21" s="81">
        <f ca="1">SUM(G21,I21,K21)</f>
        <v>20775</v>
      </c>
      <c r="W21" s="81">
        <f ca="1">INT((SUM(G21,I21,K21)*0.4*100)+0.49)/100</f>
        <v>8310</v>
      </c>
      <c r="X21" s="115">
        <v>0</v>
      </c>
      <c r="Y21" s="80">
        <f ca="1">X21*Valores!$C$2</f>
        <v>0</v>
      </c>
      <c r="Z21" s="80">
        <v>0</v>
      </c>
      <c r="AA21" s="90">
        <f>Valores!$C$29</f>
        <v>131.68</v>
      </c>
      <c r="AB21" s="80">
        <f t="shared" ca="1" si="3"/>
        <v>0</v>
      </c>
      <c r="AC21" s="80">
        <f>Valores!$C$30</f>
        <v>131.68</v>
      </c>
      <c r="AD21" s="115">
        <v>0</v>
      </c>
      <c r="AE21" s="80">
        <f ca="1">INT(((AD21*Valores!$C$2)*100)+0.5)/100</f>
        <v>0</v>
      </c>
      <c r="AF21" s="80">
        <f>Valores!$C$51</f>
        <v>267.87</v>
      </c>
      <c r="AG21" s="80">
        <f>Valores!$C$52</f>
        <v>76.540000000000006</v>
      </c>
      <c r="AH21" s="80">
        <f ca="1">SUM(G21,I21,K21,M21,N21,O21,P21,Q21,R21,S21,U21,V21,W21,Y21,Z21,AA21,AB21,AC21,AE21,AF21,AG21)*Valores!$C$54</f>
        <v>0</v>
      </c>
      <c r="AI21" s="54">
        <f t="shared" ca="1" si="6"/>
        <v>78981.949999999983</v>
      </c>
      <c r="AJ21" s="81">
        <f>Valores!$C$35</f>
        <v>182.07</v>
      </c>
      <c r="AK21" s="82">
        <f>Valores!$C$9</f>
        <v>306.14</v>
      </c>
      <c r="AL21" s="90">
        <v>0</v>
      </c>
      <c r="AM21" s="82">
        <f ca="1">IF($G$4="SI",SUM(AK21+AL21),AK21)*Valores!$C$54</f>
        <v>0</v>
      </c>
      <c r="AN21" s="186">
        <f t="shared" ca="1" si="7"/>
        <v>488.21</v>
      </c>
      <c r="AO21" s="154">
        <f ca="1">AI21*-Valores!$C$56</f>
        <v>-10267.653499999999</v>
      </c>
      <c r="AP21" s="154">
        <f ca="1">AI21*-Valores!$C$57</f>
        <v>-394.90974999999992</v>
      </c>
      <c r="AQ21" s="81">
        <f ca="1">AI21*-Valores!$C$58</f>
        <v>-3554.1877499999991</v>
      </c>
      <c r="AR21" s="81">
        <f ca="1">AI21*-Valores!$C$59</f>
        <v>-2132.5126499999997</v>
      </c>
      <c r="AS21" s="81">
        <f ca="1">AI21*-Valores!$C$60</f>
        <v>-236.94584999999995</v>
      </c>
      <c r="AT21" s="54">
        <f t="shared" ca="1" si="4"/>
        <v>65253.408999999985</v>
      </c>
      <c r="AU21" s="54">
        <f t="shared" ca="1" si="5"/>
        <v>66438.138249999975</v>
      </c>
      <c r="AV21" s="81">
        <f ca="1">AI21*Valores!$C$61</f>
        <v>12637.111999999997</v>
      </c>
      <c r="AW21" s="81">
        <f ca="1">AI21*Valores!$C$62</f>
        <v>3554.1877499999991</v>
      </c>
      <c r="AX21" s="81">
        <f ca="1">AI21*Valores!$C$64</f>
        <v>789.81949999999983</v>
      </c>
      <c r="AY21" s="81">
        <f ca="1">AI21*Valores!$C$65</f>
        <v>2764.3682499999995</v>
      </c>
      <c r="AZ21" s="81">
        <f ca="1">AI21*Valores!$C$66</f>
        <v>473.8916999999999</v>
      </c>
      <c r="BA21" s="81">
        <f t="shared" ca="1" si="8"/>
        <v>4265.0252999999993</v>
      </c>
      <c r="BB21" s="55"/>
      <c r="BC21" s="55">
        <v>45</v>
      </c>
      <c r="BD21" s="52" t="s">
        <v>466</v>
      </c>
    </row>
    <row r="22" spans="1:56" s="9" customFormat="1" ht="11.25" customHeight="1" x14ac:dyDescent="0.15">
      <c r="A22" s="20">
        <v>21</v>
      </c>
      <c r="B22" s="20"/>
      <c r="C22" s="9" t="s">
        <v>37</v>
      </c>
      <c r="E22" s="10" t="s">
        <v>38</v>
      </c>
      <c r="F22" s="123">
        <v>100</v>
      </c>
      <c r="G22" s="7">
        <f ca="1">INT((F22*Valores!$C$2*100)+0.5)/100</f>
        <v>513.47</v>
      </c>
      <c r="H22" s="113">
        <v>3727</v>
      </c>
      <c r="I22" s="77">
        <f ca="1">INT((H22*Valores!$C$2*100)+0.5)/100</f>
        <v>19137.03</v>
      </c>
      <c r="J22" s="145">
        <v>219</v>
      </c>
      <c r="K22" s="77">
        <f ca="1">INT((J22*Valores!$C$2*100)+0.5)/100</f>
        <v>1124.5</v>
      </c>
      <c r="L22" s="123">
        <v>0</v>
      </c>
      <c r="M22" s="77">
        <f ca="1">INT((L22*Valores!$C$2*100)+0.5)/100</f>
        <v>0</v>
      </c>
      <c r="N22" s="77">
        <f t="shared" ca="1" si="0"/>
        <v>0</v>
      </c>
      <c r="O22" s="77">
        <f t="shared" ca="1" si="1"/>
        <v>21913.69</v>
      </c>
      <c r="P22" s="78">
        <f>Valores!$C$16</f>
        <v>3165.05</v>
      </c>
      <c r="Q22" s="78">
        <f ca="1">Valores!$D$4</f>
        <v>2296.75</v>
      </c>
      <c r="R22" s="77">
        <v>0</v>
      </c>
      <c r="S22" s="79">
        <f>Valores!$C$43</f>
        <v>1138.69</v>
      </c>
      <c r="T22" s="77">
        <v>0</v>
      </c>
      <c r="U22" s="77">
        <f t="shared" ca="1" si="2"/>
        <v>0</v>
      </c>
      <c r="V22" s="78">
        <f ca="1">SUM(G22,I22,K22)</f>
        <v>20775</v>
      </c>
      <c r="W22" s="78">
        <f ca="1">INT((SUM(G22,I22,K22)*0.4*100)+0.49)/100</f>
        <v>8310</v>
      </c>
      <c r="X22" s="116">
        <v>0</v>
      </c>
      <c r="Y22" s="77">
        <f ca="1">X22*Valores!$C$2</f>
        <v>0</v>
      </c>
      <c r="Z22" s="77">
        <v>0</v>
      </c>
      <c r="AA22" s="89">
        <f>Valores!$C$29</f>
        <v>131.68</v>
      </c>
      <c r="AB22" s="77">
        <f t="shared" ca="1" si="3"/>
        <v>0</v>
      </c>
      <c r="AC22" s="77">
        <f>Valores!$C$30</f>
        <v>131.68</v>
      </c>
      <c r="AD22" s="116">
        <v>0</v>
      </c>
      <c r="AE22" s="77">
        <f ca="1">INT(((AD22*Valores!$C$2)*100)+0.5)/100</f>
        <v>0</v>
      </c>
      <c r="AF22" s="77">
        <f>Valores!$C$51</f>
        <v>267.87</v>
      </c>
      <c r="AG22" s="77">
        <f>Valores!$C$52</f>
        <v>76.540000000000006</v>
      </c>
      <c r="AH22" s="77">
        <f ca="1">SUM(G22,I22,K22,M22,N22,O22,P22,Q22,R22,S22,U22,V22,W22,Y22,Z22,AA22,AB22,AC22,AE22,AF22,AG22)*Valores!$C$54</f>
        <v>0</v>
      </c>
      <c r="AI22" s="15">
        <f t="shared" ca="1" si="6"/>
        <v>78981.949999999983</v>
      </c>
      <c r="AJ22" s="78">
        <f>Valores!$C$35</f>
        <v>182.07</v>
      </c>
      <c r="AK22" s="79">
        <f>Valores!$C$9</f>
        <v>306.14</v>
      </c>
      <c r="AL22" s="89">
        <v>0</v>
      </c>
      <c r="AM22" s="79">
        <f ca="1">IF($G$4="SI",SUM(AK22+AL22),AK22)*Valores!$C$54</f>
        <v>0</v>
      </c>
      <c r="AN22" s="12">
        <f t="shared" ca="1" si="7"/>
        <v>488.21</v>
      </c>
      <c r="AO22" s="153">
        <f ca="1">AI22*-Valores!$C$56</f>
        <v>-10267.653499999999</v>
      </c>
      <c r="AP22" s="153">
        <f ca="1">AI22*-Valores!$C$57</f>
        <v>-394.90974999999992</v>
      </c>
      <c r="AQ22" s="78">
        <f ca="1">AI22*-Valores!$C$58</f>
        <v>-3554.1877499999991</v>
      </c>
      <c r="AR22" s="78">
        <f ca="1">AI22*-Valores!$C$59</f>
        <v>-2132.5126499999997</v>
      </c>
      <c r="AS22" s="78">
        <f ca="1">AI22*-Valores!$C$60</f>
        <v>-236.94584999999995</v>
      </c>
      <c r="AT22" s="15">
        <f t="shared" ca="1" si="4"/>
        <v>65253.408999999985</v>
      </c>
      <c r="AU22" s="15">
        <f t="shared" ca="1" si="5"/>
        <v>66438.138249999975</v>
      </c>
      <c r="AV22" s="78">
        <f ca="1">AI22*Valores!$C$61</f>
        <v>12637.111999999997</v>
      </c>
      <c r="AW22" s="78">
        <f ca="1">AI22*Valores!$C$62</f>
        <v>3554.1877499999991</v>
      </c>
      <c r="AX22" s="78">
        <f ca="1">AI22*Valores!$C$64</f>
        <v>789.81949999999983</v>
      </c>
      <c r="AY22" s="78">
        <f ca="1">AI22*Valores!$C$65</f>
        <v>2764.3682499999995</v>
      </c>
      <c r="AZ22" s="78">
        <f ca="1">AI22*Valores!$C$66</f>
        <v>473.8916999999999</v>
      </c>
      <c r="BA22" s="78">
        <f t="shared" ca="1" si="8"/>
        <v>4265.0252999999993</v>
      </c>
      <c r="BB22" s="20"/>
      <c r="BC22" s="20">
        <v>45</v>
      </c>
      <c r="BD22" s="9" t="s">
        <v>466</v>
      </c>
    </row>
    <row r="23" spans="1:56" s="9" customFormat="1" ht="11.25" customHeight="1" x14ac:dyDescent="0.15">
      <c r="A23" s="20">
        <v>22</v>
      </c>
      <c r="B23" s="20"/>
      <c r="C23" s="9" t="s">
        <v>39</v>
      </c>
      <c r="E23" s="10" t="s">
        <v>40</v>
      </c>
      <c r="F23" s="123">
        <v>100</v>
      </c>
      <c r="G23" s="7">
        <f ca="1">INT((F23*Valores!$C$2*100)+0.5)/100</f>
        <v>513.47</v>
      </c>
      <c r="H23" s="113">
        <v>3727</v>
      </c>
      <c r="I23" s="77">
        <f ca="1">INT((H23*Valores!$C$2*100)+0.5)/100</f>
        <v>19137.03</v>
      </c>
      <c r="J23" s="145">
        <v>219</v>
      </c>
      <c r="K23" s="77">
        <f ca="1">INT((J23*Valores!$C$2*100)+0.5)/100</f>
        <v>1124.5</v>
      </c>
      <c r="L23" s="123">
        <v>0</v>
      </c>
      <c r="M23" s="77">
        <f ca="1">INT((L23*Valores!$C$2*100)+0.5)/100</f>
        <v>0</v>
      </c>
      <c r="N23" s="77">
        <f t="shared" ca="1" si="0"/>
        <v>0</v>
      </c>
      <c r="O23" s="77">
        <f t="shared" ca="1" si="1"/>
        <v>21913.69</v>
      </c>
      <c r="P23" s="78">
        <f>Valores!$C$16</f>
        <v>3165.05</v>
      </c>
      <c r="Q23" s="78">
        <f ca="1">Valores!$D$4</f>
        <v>2296.75</v>
      </c>
      <c r="R23" s="77">
        <v>0</v>
      </c>
      <c r="S23" s="79">
        <f>Valores!$C$43</f>
        <v>1138.69</v>
      </c>
      <c r="T23" s="77">
        <v>0</v>
      </c>
      <c r="U23" s="77">
        <f t="shared" ca="1" si="2"/>
        <v>0</v>
      </c>
      <c r="V23" s="78">
        <f ca="1">SUM(G23,I23,K23)</f>
        <v>20775</v>
      </c>
      <c r="W23" s="78">
        <f ca="1">INT((SUM(G23,I23,K23)*0.4*100)+0.49)/100</f>
        <v>8310</v>
      </c>
      <c r="X23" s="116">
        <v>0</v>
      </c>
      <c r="Y23" s="77">
        <f ca="1">X23*Valores!$C$2</f>
        <v>0</v>
      </c>
      <c r="Z23" s="77">
        <v>0</v>
      </c>
      <c r="AA23" s="89">
        <f>Valores!$C$29</f>
        <v>131.68</v>
      </c>
      <c r="AB23" s="77">
        <f t="shared" ca="1" si="3"/>
        <v>0</v>
      </c>
      <c r="AC23" s="77">
        <f>Valores!$C$30</f>
        <v>131.68</v>
      </c>
      <c r="AD23" s="116">
        <v>0</v>
      </c>
      <c r="AE23" s="77">
        <f ca="1">INT(((AD23*Valores!$C$2)*100)+0.5)/100</f>
        <v>0</v>
      </c>
      <c r="AF23" s="77">
        <f>Valores!$C$51</f>
        <v>267.87</v>
      </c>
      <c r="AG23" s="77">
        <f>Valores!$C$52</f>
        <v>76.540000000000006</v>
      </c>
      <c r="AH23" s="77">
        <f ca="1">SUM(G23,I23,K23,M23,N23,O23,P23,Q23,R23,S23,U23,V23,W23,Y23,Z23,AA23,AB23,AC23,AE23,AF23,AG23)*Valores!$C$54</f>
        <v>0</v>
      </c>
      <c r="AI23" s="15">
        <f t="shared" ca="1" si="6"/>
        <v>78981.949999999983</v>
      </c>
      <c r="AJ23" s="78">
        <f>Valores!$C$35</f>
        <v>182.07</v>
      </c>
      <c r="AK23" s="79">
        <f>Valores!$C$9</f>
        <v>306.14</v>
      </c>
      <c r="AL23" s="89">
        <v>0</v>
      </c>
      <c r="AM23" s="79">
        <f ca="1">IF($G$4="SI",SUM(AK23+AL23),AK23)*Valores!$C$54</f>
        <v>0</v>
      </c>
      <c r="AN23" s="12">
        <f t="shared" ca="1" si="7"/>
        <v>488.21</v>
      </c>
      <c r="AO23" s="153">
        <f ca="1">AI23*-Valores!$C$56</f>
        <v>-10267.653499999999</v>
      </c>
      <c r="AP23" s="153">
        <f ca="1">AI23*-Valores!$C$57</f>
        <v>-394.90974999999992</v>
      </c>
      <c r="AQ23" s="78">
        <f ca="1">AI23*-Valores!$C$58</f>
        <v>-3554.1877499999991</v>
      </c>
      <c r="AR23" s="78">
        <f ca="1">AI23*-Valores!$C$59</f>
        <v>-2132.5126499999997</v>
      </c>
      <c r="AS23" s="78">
        <f ca="1">AI23*-Valores!$C$60</f>
        <v>-236.94584999999995</v>
      </c>
      <c r="AT23" s="15">
        <f t="shared" ca="1" si="4"/>
        <v>65253.408999999985</v>
      </c>
      <c r="AU23" s="15">
        <f t="shared" ca="1" si="5"/>
        <v>66438.138249999975</v>
      </c>
      <c r="AV23" s="78">
        <f ca="1">AI23*Valores!$C$61</f>
        <v>12637.111999999997</v>
      </c>
      <c r="AW23" s="78">
        <f ca="1">AI23*Valores!$C$62</f>
        <v>3554.1877499999991</v>
      </c>
      <c r="AX23" s="78">
        <f ca="1">AI23*Valores!$C$64</f>
        <v>789.81949999999983</v>
      </c>
      <c r="AY23" s="78">
        <f ca="1">AI23*Valores!$C$65</f>
        <v>2764.3682499999995</v>
      </c>
      <c r="AZ23" s="78">
        <f ca="1">AI23*Valores!$C$66</f>
        <v>473.8916999999999</v>
      </c>
      <c r="BA23" s="78">
        <f t="shared" ca="1" si="8"/>
        <v>4265.0252999999993</v>
      </c>
      <c r="BB23" s="20"/>
      <c r="BC23" s="20">
        <v>45</v>
      </c>
      <c r="BD23" s="9" t="s">
        <v>466</v>
      </c>
    </row>
    <row r="24" spans="1:56" s="9" customFormat="1" ht="11.25" customHeight="1" x14ac:dyDescent="0.15">
      <c r="A24" s="20">
        <v>23</v>
      </c>
      <c r="B24" s="20"/>
      <c r="C24" s="9" t="s">
        <v>41</v>
      </c>
      <c r="E24" s="10" t="s">
        <v>42</v>
      </c>
      <c r="F24" s="123">
        <v>96</v>
      </c>
      <c r="G24" s="7">
        <f ca="1">INT((F24*Valores!$C$2*100)+0.5)/100</f>
        <v>492.93</v>
      </c>
      <c r="H24" s="113">
        <v>3737</v>
      </c>
      <c r="I24" s="77">
        <f ca="1">INT((H24*Valores!$C$2*100)+0.5)/100</f>
        <v>19188.37</v>
      </c>
      <c r="J24" s="145">
        <v>1220</v>
      </c>
      <c r="K24" s="77">
        <f ca="1">INT((J24*Valores!$C$2*100)+0.5)/100</f>
        <v>6264.33</v>
      </c>
      <c r="L24" s="123">
        <v>0</v>
      </c>
      <c r="M24" s="77">
        <f ca="1">INT((L24*Valores!$C$2*100)+0.5)/100</f>
        <v>0</v>
      </c>
      <c r="N24" s="77">
        <f t="shared" ca="1" si="0"/>
        <v>0</v>
      </c>
      <c r="O24" s="77">
        <f t="shared" ca="1" si="1"/>
        <v>27084.319999999996</v>
      </c>
      <c r="P24" s="78">
        <f>Valores!$C$19</f>
        <v>3318.12</v>
      </c>
      <c r="Q24" s="78">
        <f ca="1">Valores!$D$4</f>
        <v>2296.75</v>
      </c>
      <c r="R24" s="77">
        <v>0</v>
      </c>
      <c r="S24" s="79">
        <f>Valores!$C$43</f>
        <v>1138.69</v>
      </c>
      <c r="T24" s="77">
        <f>Valores!$C$23</f>
        <v>2221.56</v>
      </c>
      <c r="U24" s="77">
        <f t="shared" ca="1" si="2"/>
        <v>4443.12</v>
      </c>
      <c r="V24" s="77">
        <v>0</v>
      </c>
      <c r="W24" s="77">
        <v>0</v>
      </c>
      <c r="X24" s="116">
        <v>0</v>
      </c>
      <c r="Y24" s="77">
        <f ca="1">X24*Valores!$C$2</f>
        <v>0</v>
      </c>
      <c r="Z24" s="77">
        <v>0</v>
      </c>
      <c r="AA24" s="89">
        <f>Valores!$C$29</f>
        <v>131.68</v>
      </c>
      <c r="AB24" s="77">
        <f t="shared" ca="1" si="3"/>
        <v>0</v>
      </c>
      <c r="AC24" s="77">
        <f>Valores!$C$30</f>
        <v>131.68</v>
      </c>
      <c r="AD24" s="116">
        <v>0</v>
      </c>
      <c r="AE24" s="77">
        <f ca="1">INT(((AD24*Valores!$C$2)*100)+0.5)/100</f>
        <v>0</v>
      </c>
      <c r="AF24" s="77">
        <f>Valores!$C$51</f>
        <v>267.87</v>
      </c>
      <c r="AG24" s="77">
        <f>Valores!$C$52</f>
        <v>76.540000000000006</v>
      </c>
      <c r="AH24" s="77">
        <f ca="1">SUM(G24,I24,K24,M24,N24,O24,P24,Q24,R24,S24,U24,V24,W24,Y24,Z24,AA24,AB24,AC24,AE24,AF24,AG24)*Valores!$C$54</f>
        <v>0</v>
      </c>
      <c r="AI24" s="15">
        <f t="shared" ca="1" si="6"/>
        <v>64834.400000000009</v>
      </c>
      <c r="AJ24" s="78">
        <f>Valores!$C$35</f>
        <v>182.07</v>
      </c>
      <c r="AK24" s="79">
        <f>Valores!$C$9</f>
        <v>306.14</v>
      </c>
      <c r="AL24" s="89">
        <v>217.02</v>
      </c>
      <c r="AM24" s="79">
        <f ca="1">IF($G$4="SI",SUM(AK24+AL24),AK24)*Valores!$C$54</f>
        <v>0</v>
      </c>
      <c r="AN24" s="12">
        <f t="shared" ca="1" si="7"/>
        <v>705.23</v>
      </c>
      <c r="AO24" s="153">
        <f ca="1">AI24*-Valores!$C$56</f>
        <v>-8428.4720000000016</v>
      </c>
      <c r="AP24" s="153">
        <f ca="1">AI24*-Valores!$C$57</f>
        <v>-324.17200000000003</v>
      </c>
      <c r="AQ24" s="78">
        <f ca="1">AI24*-Valores!$C$58</f>
        <v>-2917.5480000000002</v>
      </c>
      <c r="AR24" s="78">
        <f ca="1">AI24*-Valores!$C$59</f>
        <v>-1750.5288000000005</v>
      </c>
      <c r="AS24" s="78">
        <f ca="1">AI24*-Valores!$C$60</f>
        <v>-194.50320000000002</v>
      </c>
      <c r="AT24" s="15">
        <f t="shared" ca="1" si="4"/>
        <v>53869.438000000002</v>
      </c>
      <c r="AU24" s="15">
        <f t="shared" ca="1" si="5"/>
        <v>54841.954000000005</v>
      </c>
      <c r="AV24" s="78">
        <f ca="1">AI24*Valores!$C$61</f>
        <v>10373.504000000001</v>
      </c>
      <c r="AW24" s="78">
        <f ca="1">AI24*Valores!$C$62</f>
        <v>2917.5480000000002</v>
      </c>
      <c r="AX24" s="78">
        <f ca="1">AI24*Valores!$C$64</f>
        <v>648.34400000000005</v>
      </c>
      <c r="AY24" s="78">
        <f ca="1">AI24*Valores!$C$65</f>
        <v>2269.2040000000006</v>
      </c>
      <c r="AZ24" s="78">
        <f ca="1">AI24*Valores!$C$66</f>
        <v>389.00640000000004</v>
      </c>
      <c r="BA24" s="78">
        <f t="shared" ca="1" si="8"/>
        <v>3501.0576000000005</v>
      </c>
      <c r="BB24" s="20"/>
      <c r="BC24" s="20">
        <v>45</v>
      </c>
      <c r="BD24" s="9" t="s">
        <v>467</v>
      </c>
    </row>
    <row r="25" spans="1:56" s="9" customFormat="1" ht="11.25" customHeight="1" x14ac:dyDescent="0.15">
      <c r="A25" s="20">
        <v>24</v>
      </c>
      <c r="B25" s="20"/>
      <c r="C25" s="9" t="s">
        <v>392</v>
      </c>
      <c r="E25" s="10" t="s">
        <v>393</v>
      </c>
      <c r="F25" s="123">
        <v>96</v>
      </c>
      <c r="G25" s="7">
        <f ca="1">INT((F25*Valores!$C$2*100)+0.5)/100</f>
        <v>492.93</v>
      </c>
      <c r="H25" s="113">
        <v>3737</v>
      </c>
      <c r="I25" s="77">
        <f ca="1">INT((H25*Valores!$C$2*100)+0.5)/100</f>
        <v>19188.37</v>
      </c>
      <c r="J25" s="145">
        <v>1220</v>
      </c>
      <c r="K25" s="77">
        <f ca="1">INT((J25*Valores!$C$2*100)+0.5)/100</f>
        <v>6264.33</v>
      </c>
      <c r="L25" s="123">
        <v>0</v>
      </c>
      <c r="M25" s="77">
        <f ca="1">INT((L25*Valores!$C$2*100)+0.5)/100</f>
        <v>0</v>
      </c>
      <c r="N25" s="77">
        <f t="shared" ca="1" si="0"/>
        <v>0</v>
      </c>
      <c r="O25" s="77">
        <f t="shared" ca="1" si="1"/>
        <v>27084.319999999996</v>
      </c>
      <c r="P25" s="78">
        <f>Valores!$C$19</f>
        <v>3318.12</v>
      </c>
      <c r="Q25" s="78">
        <f ca="1">Valores!$D$4</f>
        <v>2296.75</v>
      </c>
      <c r="R25" s="77">
        <v>0</v>
      </c>
      <c r="S25" s="79">
        <f>Valores!$C$43</f>
        <v>1138.69</v>
      </c>
      <c r="T25" s="77">
        <f>Valores!$C$23</f>
        <v>2221.56</v>
      </c>
      <c r="U25" s="77">
        <f t="shared" ca="1" si="2"/>
        <v>4443.12</v>
      </c>
      <c r="V25" s="77">
        <v>0</v>
      </c>
      <c r="W25" s="77">
        <v>0</v>
      </c>
      <c r="X25" s="116">
        <v>0</v>
      </c>
      <c r="Y25" s="77">
        <f ca="1">X25*Valores!$C$2</f>
        <v>0</v>
      </c>
      <c r="Z25" s="77">
        <v>0</v>
      </c>
      <c r="AA25" s="89">
        <f>Valores!$C$29</f>
        <v>131.68</v>
      </c>
      <c r="AB25" s="77">
        <f t="shared" ca="1" si="3"/>
        <v>0</v>
      </c>
      <c r="AC25" s="77">
        <f>Valores!$C$30</f>
        <v>131.68</v>
      </c>
      <c r="AD25" s="116">
        <v>0</v>
      </c>
      <c r="AE25" s="77">
        <f ca="1">INT(((AD25*Valores!$C$2)*100)+0.5)/100</f>
        <v>0</v>
      </c>
      <c r="AF25" s="77">
        <f>Valores!$C$51</f>
        <v>267.87</v>
      </c>
      <c r="AG25" s="77">
        <f>Valores!$C$52</f>
        <v>76.540000000000006</v>
      </c>
      <c r="AH25" s="77">
        <f ca="1">SUM(G25,I25,K25,M25,N25,O25,P25,Q25,R25,S25,U25,V25,W25,Y25,Z25,AA25,AB25,AC25,AE25,AF25,AG25)*Valores!$C$54</f>
        <v>0</v>
      </c>
      <c r="AI25" s="15">
        <f t="shared" ca="1" si="6"/>
        <v>64834.400000000009</v>
      </c>
      <c r="AJ25" s="78">
        <f>Valores!$C$35</f>
        <v>182.07</v>
      </c>
      <c r="AK25" s="79">
        <f>Valores!$C$9</f>
        <v>306.14</v>
      </c>
      <c r="AL25" s="89">
        <v>0</v>
      </c>
      <c r="AM25" s="79">
        <f ca="1">IF($G$4="SI",SUM(AK25+AL25),AK25)*Valores!$C$54</f>
        <v>0</v>
      </c>
      <c r="AN25" s="12">
        <f t="shared" ca="1" si="7"/>
        <v>488.21</v>
      </c>
      <c r="AO25" s="153">
        <f ca="1">AI25*-Valores!$C$56</f>
        <v>-8428.4720000000016</v>
      </c>
      <c r="AP25" s="153">
        <f ca="1">AI25*-Valores!$C$57</f>
        <v>-324.17200000000003</v>
      </c>
      <c r="AQ25" s="78">
        <f ca="1">AI25*-Valores!$C$58</f>
        <v>-2917.5480000000002</v>
      </c>
      <c r="AR25" s="78">
        <f ca="1">AI25*-Valores!$C$59</f>
        <v>-1750.5288000000005</v>
      </c>
      <c r="AS25" s="78">
        <f ca="1">AI25*-Valores!$C$60</f>
        <v>-194.50320000000002</v>
      </c>
      <c r="AT25" s="15">
        <f t="shared" ca="1" si="4"/>
        <v>53652.418000000005</v>
      </c>
      <c r="AU25" s="15">
        <f t="shared" ca="1" si="5"/>
        <v>54624.934000000008</v>
      </c>
      <c r="AV25" s="78">
        <f ca="1">AI25*Valores!$C$61</f>
        <v>10373.504000000001</v>
      </c>
      <c r="AW25" s="78">
        <f ca="1">AI25*Valores!$C$62</f>
        <v>2917.5480000000002</v>
      </c>
      <c r="AX25" s="78">
        <f ca="1">AI25*Valores!$C$64</f>
        <v>648.34400000000005</v>
      </c>
      <c r="AY25" s="78">
        <f ca="1">AI25*Valores!$C$65</f>
        <v>2269.2040000000006</v>
      </c>
      <c r="AZ25" s="78">
        <f ca="1">AI25*Valores!$C$66</f>
        <v>389.00640000000004</v>
      </c>
      <c r="BA25" s="78">
        <f t="shared" ca="1" si="8"/>
        <v>3501.0576000000005</v>
      </c>
      <c r="BB25" s="20"/>
      <c r="BC25" s="20">
        <v>45</v>
      </c>
      <c r="BD25" s="9" t="s">
        <v>467</v>
      </c>
    </row>
    <row r="26" spans="1:56" s="9" customFormat="1" ht="11.25" customHeight="1" x14ac:dyDescent="0.15">
      <c r="A26" s="55">
        <v>25</v>
      </c>
      <c r="B26" s="55" t="s">
        <v>462</v>
      </c>
      <c r="C26" s="52" t="s">
        <v>43</v>
      </c>
      <c r="D26" s="52"/>
      <c r="E26" s="53" t="s">
        <v>44</v>
      </c>
      <c r="F26" s="124">
        <v>96</v>
      </c>
      <c r="G26" s="129">
        <f ca="1">INT((F26*Valores!$C$2*100)+0.5)/100</f>
        <v>492.93</v>
      </c>
      <c r="H26" s="114">
        <v>3737</v>
      </c>
      <c r="I26" s="80">
        <f ca="1">INT((H26*Valores!$C$2*100)+0.5)/100</f>
        <v>19188.37</v>
      </c>
      <c r="J26" s="146">
        <v>1220</v>
      </c>
      <c r="K26" s="80">
        <f ca="1">INT((J26*Valores!$C$2*100)+0.5)/100</f>
        <v>6264.33</v>
      </c>
      <c r="L26" s="124">
        <v>0</v>
      </c>
      <c r="M26" s="80">
        <f ca="1">INT((L26*Valores!$C$2*100)+0.5)/100</f>
        <v>0</v>
      </c>
      <c r="N26" s="80">
        <f t="shared" ca="1" si="0"/>
        <v>0</v>
      </c>
      <c r="O26" s="80">
        <f t="shared" ca="1" si="1"/>
        <v>27084.319999999996</v>
      </c>
      <c r="P26" s="81">
        <f>Valores!$C$19</f>
        <v>3318.12</v>
      </c>
      <c r="Q26" s="81">
        <f ca="1">Valores!$D$4</f>
        <v>2296.75</v>
      </c>
      <c r="R26" s="80">
        <v>0</v>
      </c>
      <c r="S26" s="82">
        <f>Valores!$C$43</f>
        <v>1138.69</v>
      </c>
      <c r="T26" s="80">
        <f>Valores!$C$23</f>
        <v>2221.56</v>
      </c>
      <c r="U26" s="80">
        <f t="shared" ca="1" si="2"/>
        <v>4443.12</v>
      </c>
      <c r="V26" s="80">
        <v>0</v>
      </c>
      <c r="W26" s="80">
        <v>0</v>
      </c>
      <c r="X26" s="115">
        <v>0</v>
      </c>
      <c r="Y26" s="80">
        <f ca="1">X26*Valores!$C$2</f>
        <v>0</v>
      </c>
      <c r="Z26" s="80">
        <v>0</v>
      </c>
      <c r="AA26" s="90">
        <f>Valores!$C$29</f>
        <v>131.68</v>
      </c>
      <c r="AB26" s="80">
        <f t="shared" ca="1" si="3"/>
        <v>0</v>
      </c>
      <c r="AC26" s="80">
        <f>Valores!$C$30</f>
        <v>131.68</v>
      </c>
      <c r="AD26" s="115">
        <v>0</v>
      </c>
      <c r="AE26" s="80">
        <f ca="1">INT(((AD26*Valores!$C$2)*100)+0.5)/100</f>
        <v>0</v>
      </c>
      <c r="AF26" s="80">
        <f>Valores!$C$51</f>
        <v>267.87</v>
      </c>
      <c r="AG26" s="80">
        <f>Valores!$C$52</f>
        <v>76.540000000000006</v>
      </c>
      <c r="AH26" s="80">
        <f ca="1">SUM(G26,I26,K26,M26,N26,O26,P26,Q26,R26,S26,U26,V26,W26,Y26,Z26,AA26,AB26,AC26,AE26,AF26,AG26)*Valores!$C$54</f>
        <v>0</v>
      </c>
      <c r="AI26" s="54">
        <f t="shared" ca="1" si="6"/>
        <v>64834.400000000009</v>
      </c>
      <c r="AJ26" s="81">
        <f>Valores!$C$35</f>
        <v>182.07</v>
      </c>
      <c r="AK26" s="82">
        <f>Valores!$C$9</f>
        <v>306.14</v>
      </c>
      <c r="AL26" s="90">
        <v>0</v>
      </c>
      <c r="AM26" s="82">
        <f ca="1">IF($G$4="SI",SUM(AK26+AL26),AK26)*Valores!$C$54</f>
        <v>0</v>
      </c>
      <c r="AN26" s="186">
        <f t="shared" ca="1" si="7"/>
        <v>488.21</v>
      </c>
      <c r="AO26" s="154">
        <f ca="1">AI26*-Valores!$C$56</f>
        <v>-8428.4720000000016</v>
      </c>
      <c r="AP26" s="154">
        <f ca="1">AI26*-Valores!$C$57</f>
        <v>-324.17200000000003</v>
      </c>
      <c r="AQ26" s="81">
        <f ca="1">AI26*-Valores!$C$58</f>
        <v>-2917.5480000000002</v>
      </c>
      <c r="AR26" s="81">
        <f ca="1">AI26*-Valores!$C$59</f>
        <v>-1750.5288000000005</v>
      </c>
      <c r="AS26" s="81">
        <f ca="1">AI26*-Valores!$C$60</f>
        <v>-194.50320000000002</v>
      </c>
      <c r="AT26" s="54">
        <f t="shared" ca="1" si="4"/>
        <v>53652.418000000005</v>
      </c>
      <c r="AU26" s="54">
        <f t="shared" ca="1" si="5"/>
        <v>54624.934000000008</v>
      </c>
      <c r="AV26" s="81">
        <f ca="1">AI26*Valores!$C$61</f>
        <v>10373.504000000001</v>
      </c>
      <c r="AW26" s="81">
        <f ca="1">AI26*Valores!$C$62</f>
        <v>2917.5480000000002</v>
      </c>
      <c r="AX26" s="81">
        <f ca="1">AI26*Valores!$C$64</f>
        <v>648.34400000000005</v>
      </c>
      <c r="AY26" s="81">
        <f ca="1">AI26*Valores!$C$65</f>
        <v>2269.2040000000006</v>
      </c>
      <c r="AZ26" s="81">
        <f ca="1">AI26*Valores!$C$66</f>
        <v>389.00640000000004</v>
      </c>
      <c r="BA26" s="81">
        <f t="shared" ca="1" si="8"/>
        <v>3501.0576000000005</v>
      </c>
      <c r="BB26" s="55"/>
      <c r="BC26" s="55">
        <v>45</v>
      </c>
      <c r="BD26" s="52" t="s">
        <v>467</v>
      </c>
    </row>
    <row r="27" spans="1:56" s="9" customFormat="1" ht="11.25" customHeight="1" x14ac:dyDescent="0.15">
      <c r="A27" s="20">
        <v>26</v>
      </c>
      <c r="B27" s="20"/>
      <c r="C27" s="9" t="s">
        <v>45</v>
      </c>
      <c r="E27" s="10" t="s">
        <v>46</v>
      </c>
      <c r="F27" s="123">
        <v>107</v>
      </c>
      <c r="G27" s="7">
        <f ca="1">INT((F27*Valores!$C$2*100)+0.5)/100</f>
        <v>549.41</v>
      </c>
      <c r="H27" s="113">
        <v>3728</v>
      </c>
      <c r="I27" s="77">
        <f ca="1">INT((H27*Valores!$C$2*100)+0.5)/100</f>
        <v>19142.16</v>
      </c>
      <c r="J27" s="145">
        <v>1218</v>
      </c>
      <c r="K27" s="77">
        <f ca="1">INT((J27*Valores!$C$2*100)+0.5)/100</f>
        <v>6254.06</v>
      </c>
      <c r="L27" s="123">
        <v>0</v>
      </c>
      <c r="M27" s="77">
        <f ca="1">INT((L27*Valores!$C$2*100)+0.5)/100</f>
        <v>0</v>
      </c>
      <c r="N27" s="77">
        <f t="shared" ca="1" si="0"/>
        <v>0</v>
      </c>
      <c r="O27" s="77">
        <f t="shared" ca="1" si="1"/>
        <v>27084.32</v>
      </c>
      <c r="P27" s="78">
        <f>Valores!$C$19</f>
        <v>3318.12</v>
      </c>
      <c r="Q27" s="78">
        <f ca="1">Valores!$D$4</f>
        <v>2296.75</v>
      </c>
      <c r="R27" s="77">
        <v>0</v>
      </c>
      <c r="S27" s="79">
        <f>Valores!$C$43</f>
        <v>1138.69</v>
      </c>
      <c r="T27" s="77">
        <f>Valores!$C$23</f>
        <v>2221.56</v>
      </c>
      <c r="U27" s="77">
        <f t="shared" ca="1" si="2"/>
        <v>4443.12</v>
      </c>
      <c r="V27" s="77">
        <v>0</v>
      </c>
      <c r="W27" s="77">
        <v>0</v>
      </c>
      <c r="X27" s="116">
        <v>0</v>
      </c>
      <c r="Y27" s="77">
        <f ca="1">X27*Valores!$C$2</f>
        <v>0</v>
      </c>
      <c r="Z27" s="77">
        <v>0</v>
      </c>
      <c r="AA27" s="89">
        <f>Valores!$C$29</f>
        <v>131.68</v>
      </c>
      <c r="AB27" s="77">
        <f t="shared" ca="1" si="3"/>
        <v>0</v>
      </c>
      <c r="AC27" s="77">
        <f>Valores!$C$30</f>
        <v>131.68</v>
      </c>
      <c r="AD27" s="116">
        <v>0</v>
      </c>
      <c r="AE27" s="77">
        <f ca="1">INT(((AD27*Valores!$C$2)*100)+0.5)/100</f>
        <v>0</v>
      </c>
      <c r="AF27" s="77">
        <f>Valores!$C$51</f>
        <v>267.87</v>
      </c>
      <c r="AG27" s="77">
        <f>Valores!$C$52</f>
        <v>76.540000000000006</v>
      </c>
      <c r="AH27" s="77">
        <f ca="1">SUM(G27,I27,K27,M27,N27,O27,P27,Q27,R27,S27,U27,V27,W27,Y27,Z27,AA27,AB27,AC27,AE27,AF27,AG27)*Valores!$C$54</f>
        <v>0</v>
      </c>
      <c r="AI27" s="15">
        <f t="shared" ca="1" si="6"/>
        <v>64834.400000000009</v>
      </c>
      <c r="AJ27" s="78">
        <f>Valores!$C$35</f>
        <v>182.07</v>
      </c>
      <c r="AK27" s="79">
        <f>Valores!$C$9</f>
        <v>306.14</v>
      </c>
      <c r="AL27" s="89">
        <v>0</v>
      </c>
      <c r="AM27" s="79">
        <f ca="1">IF($G$4="SI",SUM(AK27+AL27),AK27)*Valores!$C$54</f>
        <v>0</v>
      </c>
      <c r="AN27" s="12">
        <f t="shared" ca="1" si="7"/>
        <v>488.21</v>
      </c>
      <c r="AO27" s="153">
        <f ca="1">AI27*-Valores!$C$56</f>
        <v>-8428.4720000000016</v>
      </c>
      <c r="AP27" s="153">
        <f ca="1">AI27*-Valores!$C$57</f>
        <v>-324.17200000000003</v>
      </c>
      <c r="AQ27" s="78">
        <f ca="1">AI27*-Valores!$C$58</f>
        <v>-2917.5480000000002</v>
      </c>
      <c r="AR27" s="78">
        <f ca="1">AI27*-Valores!$C$59</f>
        <v>-1750.5288000000005</v>
      </c>
      <c r="AS27" s="78">
        <f ca="1">AI27*-Valores!$C$60</f>
        <v>-194.50320000000002</v>
      </c>
      <c r="AT27" s="15">
        <f t="shared" ca="1" si="4"/>
        <v>53652.418000000005</v>
      </c>
      <c r="AU27" s="15">
        <f t="shared" ca="1" si="5"/>
        <v>54624.934000000008</v>
      </c>
      <c r="AV27" s="78">
        <f ca="1">AI27*Valores!$C$61</f>
        <v>10373.504000000001</v>
      </c>
      <c r="AW27" s="78">
        <f ca="1">AI27*Valores!$C$62</f>
        <v>2917.5480000000002</v>
      </c>
      <c r="AX27" s="78">
        <f ca="1">AI27*Valores!$C$64</f>
        <v>648.34400000000005</v>
      </c>
      <c r="AY27" s="78">
        <f ca="1">AI27*Valores!$C$65</f>
        <v>2269.2040000000006</v>
      </c>
      <c r="AZ27" s="78">
        <f ca="1">AI27*Valores!$C$66</f>
        <v>389.00640000000004</v>
      </c>
      <c r="BA27" s="78">
        <f t="shared" ca="1" si="8"/>
        <v>3501.0576000000005</v>
      </c>
      <c r="BB27" s="20"/>
      <c r="BC27" s="20">
        <v>45</v>
      </c>
      <c r="BD27" s="9" t="s">
        <v>466</v>
      </c>
    </row>
    <row r="28" spans="1:56" s="9" customFormat="1" ht="11.25" customHeight="1" x14ac:dyDescent="0.15">
      <c r="A28" s="20">
        <v>27</v>
      </c>
      <c r="B28" s="20"/>
      <c r="C28" s="9" t="s">
        <v>47</v>
      </c>
      <c r="E28" s="10" t="s">
        <v>48</v>
      </c>
      <c r="F28" s="123">
        <v>94</v>
      </c>
      <c r="G28" s="7">
        <f ca="1">INT((F28*Valores!$C$2*100)+0.5)/100</f>
        <v>482.66</v>
      </c>
      <c r="H28" s="113">
        <v>3624</v>
      </c>
      <c r="I28" s="77">
        <f ca="1">INT((H28*Valores!$C$2*100)+0.5)/100</f>
        <v>18608.150000000001</v>
      </c>
      <c r="J28" s="145">
        <v>1219</v>
      </c>
      <c r="K28" s="77">
        <f ca="1">INT((J28*Valores!$C$2*100)+0.5)/100</f>
        <v>6259.2</v>
      </c>
      <c r="L28" s="123">
        <v>0</v>
      </c>
      <c r="M28" s="77">
        <f ca="1">INT((L28*Valores!$C$2*100)+0.5)/100</f>
        <v>0</v>
      </c>
      <c r="N28" s="77">
        <f t="shared" ca="1" si="0"/>
        <v>0</v>
      </c>
      <c r="O28" s="77">
        <f t="shared" ca="1" si="1"/>
        <v>26488.7</v>
      </c>
      <c r="P28" s="78">
        <f>Valores!$C$17</f>
        <v>4367.1000000000004</v>
      </c>
      <c r="Q28" s="78">
        <f ca="1">Valores!$D$4</f>
        <v>2296.75</v>
      </c>
      <c r="R28" s="77">
        <v>0</v>
      </c>
      <c r="S28" s="79">
        <f>Valores!$C$43</f>
        <v>1138.69</v>
      </c>
      <c r="T28" s="77">
        <f>Valores!$C$23</f>
        <v>2221.56</v>
      </c>
      <c r="U28" s="77">
        <f t="shared" ca="1" si="2"/>
        <v>4443.12</v>
      </c>
      <c r="V28" s="77">
        <v>0</v>
      </c>
      <c r="W28" s="77">
        <v>0</v>
      </c>
      <c r="X28" s="116">
        <v>0</v>
      </c>
      <c r="Y28" s="77">
        <f ca="1">X28*Valores!$C$2</f>
        <v>0</v>
      </c>
      <c r="Z28" s="77">
        <v>0</v>
      </c>
      <c r="AA28" s="89">
        <f>Valores!$C$29</f>
        <v>131.68</v>
      </c>
      <c r="AB28" s="77">
        <f t="shared" ca="1" si="3"/>
        <v>0</v>
      </c>
      <c r="AC28" s="77">
        <f>Valores!$C$30</f>
        <v>131.68</v>
      </c>
      <c r="AD28" s="116">
        <v>0</v>
      </c>
      <c r="AE28" s="77">
        <f ca="1">INT(((AD28*Valores!$C$2)*100)+0.5)/100</f>
        <v>0</v>
      </c>
      <c r="AF28" s="77">
        <f>Valores!$C$51</f>
        <v>267.87</v>
      </c>
      <c r="AG28" s="77">
        <f>Valores!$C$52</f>
        <v>76.540000000000006</v>
      </c>
      <c r="AH28" s="77">
        <f ca="1">SUM(G28,I28,K28,M28,N28,O28,P28,Q28,R28,S28,U28,V28,W28,Y28,Z28,AA28,AB28,AC28,AE28,AF28,AG28)*Valores!$C$54</f>
        <v>0</v>
      </c>
      <c r="AI28" s="15">
        <f t="shared" ca="1" si="6"/>
        <v>64692.140000000014</v>
      </c>
      <c r="AJ28" s="78">
        <f>Valores!$C$35</f>
        <v>182.07</v>
      </c>
      <c r="AK28" s="79">
        <f>Valores!$C$9</f>
        <v>306.14</v>
      </c>
      <c r="AL28" s="89">
        <v>0</v>
      </c>
      <c r="AM28" s="79">
        <f ca="1">IF($G$4="SI",SUM(AK28+AL28),AK28)*Valores!$C$54</f>
        <v>0</v>
      </c>
      <c r="AN28" s="12">
        <f t="shared" ca="1" si="7"/>
        <v>488.21</v>
      </c>
      <c r="AO28" s="153">
        <f ca="1">AI28*-Valores!$C$56</f>
        <v>-8409.9782000000014</v>
      </c>
      <c r="AP28" s="153">
        <f ca="1">AI28*-Valores!$C$57</f>
        <v>-323.46070000000009</v>
      </c>
      <c r="AQ28" s="78">
        <f ca="1">AI28*-Valores!$C$58</f>
        <v>-2911.1463000000003</v>
      </c>
      <c r="AR28" s="78">
        <f ca="1">AI28*-Valores!$C$59</f>
        <v>-1746.6877800000007</v>
      </c>
      <c r="AS28" s="78">
        <f ca="1">AI28*-Valores!$C$60</f>
        <v>-194.07642000000004</v>
      </c>
      <c r="AT28" s="15">
        <f t="shared" ca="1" si="4"/>
        <v>53535.764800000004</v>
      </c>
      <c r="AU28" s="15">
        <f t="shared" ca="1" si="5"/>
        <v>54506.146900000007</v>
      </c>
      <c r="AV28" s="78">
        <f ca="1">AI28*Valores!$C$61</f>
        <v>10350.742400000003</v>
      </c>
      <c r="AW28" s="78">
        <f ca="1">AI28*Valores!$C$62</f>
        <v>2911.1463000000003</v>
      </c>
      <c r="AX28" s="78">
        <f ca="1">AI28*Valores!$C$64</f>
        <v>646.92140000000018</v>
      </c>
      <c r="AY28" s="78">
        <f ca="1">AI28*Valores!$C$65</f>
        <v>2264.2249000000006</v>
      </c>
      <c r="AZ28" s="78">
        <f ca="1">AI28*Valores!$C$66</f>
        <v>388.15284000000008</v>
      </c>
      <c r="BA28" s="78">
        <f t="shared" ca="1" si="8"/>
        <v>3493.3755600000009</v>
      </c>
      <c r="BB28" s="20"/>
      <c r="BC28" s="20">
        <v>45</v>
      </c>
      <c r="BD28" s="9" t="s">
        <v>467</v>
      </c>
    </row>
    <row r="29" spans="1:56" s="9" customFormat="1" ht="11.25" customHeight="1" x14ac:dyDescent="0.15">
      <c r="A29" s="20">
        <v>28</v>
      </c>
      <c r="B29" s="20"/>
      <c r="C29" s="9" t="s">
        <v>49</v>
      </c>
      <c r="E29" s="10" t="s">
        <v>50</v>
      </c>
      <c r="F29" s="123">
        <v>93</v>
      </c>
      <c r="G29" s="7">
        <f ca="1">INT((F29*Valores!$C$2*100)+0.5)/100</f>
        <v>477.53</v>
      </c>
      <c r="H29" s="113">
        <v>3627</v>
      </c>
      <c r="I29" s="77">
        <f ca="1">INT((H29*Valores!$C$2*100)+0.5)/100</f>
        <v>18623.560000000001</v>
      </c>
      <c r="J29" s="145">
        <v>210</v>
      </c>
      <c r="K29" s="77">
        <f ca="1">INT((J29*Valores!$C$2*100)+0.5)/100</f>
        <v>1078.29</v>
      </c>
      <c r="L29" s="123">
        <v>0</v>
      </c>
      <c r="M29" s="77">
        <f ca="1">INT((L29*Valores!$C$2*100)+0.5)/100</f>
        <v>0</v>
      </c>
      <c r="N29" s="77">
        <f t="shared" ca="1" si="0"/>
        <v>0</v>
      </c>
      <c r="O29" s="77">
        <f t="shared" ca="1" si="1"/>
        <v>21318.07</v>
      </c>
      <c r="P29" s="78">
        <f>Valores!$C$17</f>
        <v>4367.1000000000004</v>
      </c>
      <c r="Q29" s="78">
        <f ca="1">Valores!$D$4</f>
        <v>2296.75</v>
      </c>
      <c r="R29" s="77">
        <v>0</v>
      </c>
      <c r="S29" s="79">
        <f>Valores!$C$43</f>
        <v>1138.69</v>
      </c>
      <c r="T29" s="77">
        <f>Valores!$C$23</f>
        <v>2221.56</v>
      </c>
      <c r="U29" s="77">
        <f t="shared" ca="1" si="2"/>
        <v>4443.12</v>
      </c>
      <c r="V29" s="77">
        <v>0</v>
      </c>
      <c r="W29" s="77">
        <v>0</v>
      </c>
      <c r="X29" s="116">
        <v>0</v>
      </c>
      <c r="Y29" s="77">
        <f ca="1">X29*Valores!$C$2</f>
        <v>0</v>
      </c>
      <c r="Z29" s="77">
        <v>0</v>
      </c>
      <c r="AA29" s="89">
        <f>Valores!$C$29</f>
        <v>131.68</v>
      </c>
      <c r="AB29" s="77">
        <f t="shared" ca="1" si="3"/>
        <v>0</v>
      </c>
      <c r="AC29" s="77">
        <f>Valores!$C$30</f>
        <v>131.68</v>
      </c>
      <c r="AD29" s="116">
        <v>0</v>
      </c>
      <c r="AE29" s="77">
        <f ca="1">INT(((AD29*Valores!$C$2)*100)+0.5)/100</f>
        <v>0</v>
      </c>
      <c r="AF29" s="77">
        <f>Valores!$C$51</f>
        <v>267.87</v>
      </c>
      <c r="AG29" s="77">
        <f>Valores!$C$52</f>
        <v>76.540000000000006</v>
      </c>
      <c r="AH29" s="77">
        <f ca="1">SUM(G29,I29,K29,M29,N29,O29,P29,Q29,R29,S29,U29,V29,W29,Y29,Z29,AA29,AB29,AC29,AE29,AF29,AG29)*Valores!$C$54</f>
        <v>0</v>
      </c>
      <c r="AI29" s="15">
        <f t="shared" ca="1" si="6"/>
        <v>54350.880000000005</v>
      </c>
      <c r="AJ29" s="78">
        <f>Valores!$C$35</f>
        <v>182.07</v>
      </c>
      <c r="AK29" s="79">
        <f>Valores!$C$9</f>
        <v>306.14</v>
      </c>
      <c r="AL29" s="89">
        <v>0</v>
      </c>
      <c r="AM29" s="79">
        <f ca="1">IF($G$4="SI",SUM(AK29+AL29),AK29)*Valores!$C$54</f>
        <v>0</v>
      </c>
      <c r="AN29" s="12">
        <f t="shared" ca="1" si="7"/>
        <v>488.21</v>
      </c>
      <c r="AO29" s="153">
        <f ca="1">AI29*-Valores!$C$56</f>
        <v>-7065.6144000000013</v>
      </c>
      <c r="AP29" s="153">
        <f ca="1">AI29*-Valores!$C$57</f>
        <v>-271.75440000000003</v>
      </c>
      <c r="AQ29" s="78">
        <f ca="1">AI29*-Valores!$C$58</f>
        <v>-2445.7896000000001</v>
      </c>
      <c r="AR29" s="78">
        <f ca="1">AI29*-Valores!$C$59</f>
        <v>-1467.4737600000003</v>
      </c>
      <c r="AS29" s="78">
        <f ca="1">AI29*-Valores!$C$60</f>
        <v>-163.05264000000003</v>
      </c>
      <c r="AT29" s="15">
        <f t="shared" ca="1" si="4"/>
        <v>45055.931600000004</v>
      </c>
      <c r="AU29" s="15">
        <f t="shared" ca="1" si="5"/>
        <v>45871.194800000005</v>
      </c>
      <c r="AV29" s="78">
        <f ca="1">AI29*Valores!$C$61</f>
        <v>8696.140800000001</v>
      </c>
      <c r="AW29" s="78">
        <f ca="1">AI29*Valores!$C$62</f>
        <v>2445.7896000000001</v>
      </c>
      <c r="AX29" s="78">
        <f ca="1">AI29*Valores!$C$64</f>
        <v>543.50880000000006</v>
      </c>
      <c r="AY29" s="78">
        <f ca="1">AI29*Valores!$C$65</f>
        <v>1902.2808000000005</v>
      </c>
      <c r="AZ29" s="78">
        <f ca="1">AI29*Valores!$C$66</f>
        <v>326.10528000000005</v>
      </c>
      <c r="BA29" s="78">
        <f t="shared" ca="1" si="8"/>
        <v>2934.9475200000002</v>
      </c>
      <c r="BB29" s="20"/>
      <c r="BC29" s="20">
        <v>45</v>
      </c>
      <c r="BD29" s="9" t="s">
        <v>466</v>
      </c>
    </row>
    <row r="30" spans="1:56" s="9" customFormat="1" ht="11.25" customHeight="1" x14ac:dyDescent="0.15">
      <c r="A30" s="20">
        <v>29</v>
      </c>
      <c r="B30" s="20"/>
      <c r="C30" s="9" t="s">
        <v>51</v>
      </c>
      <c r="E30" s="10" t="s">
        <v>52</v>
      </c>
      <c r="F30" s="123">
        <v>93</v>
      </c>
      <c r="G30" s="7">
        <f ca="1">INT((F30*Valores!$C$2*100)+0.5)/100</f>
        <v>477.53</v>
      </c>
      <c r="H30" s="113">
        <v>3630</v>
      </c>
      <c r="I30" s="77">
        <f ca="1">INT((H30*Valores!$C$2*100)+0.5)/100</f>
        <v>18638.96</v>
      </c>
      <c r="J30" s="145">
        <v>1214</v>
      </c>
      <c r="K30" s="77">
        <f ca="1">INT((J30*Valores!$C$2*100)+0.5)/100</f>
        <v>6233.53</v>
      </c>
      <c r="L30" s="123">
        <v>0</v>
      </c>
      <c r="M30" s="77">
        <f ca="1">INT((L30*Valores!$C$2*100)+0.5)/100</f>
        <v>0</v>
      </c>
      <c r="N30" s="77">
        <f t="shared" ca="1" si="0"/>
        <v>0</v>
      </c>
      <c r="O30" s="77">
        <f t="shared" ca="1" si="1"/>
        <v>26488.709999999995</v>
      </c>
      <c r="P30" s="78">
        <f>Valores!$C$17</f>
        <v>4367.1000000000004</v>
      </c>
      <c r="Q30" s="78">
        <f ca="1">Valores!$D$4</f>
        <v>2296.75</v>
      </c>
      <c r="R30" s="77">
        <v>0</v>
      </c>
      <c r="S30" s="79">
        <f>Valores!$C$43</f>
        <v>1138.69</v>
      </c>
      <c r="T30" s="77">
        <f>Valores!$C$23</f>
        <v>2221.56</v>
      </c>
      <c r="U30" s="77">
        <f t="shared" ca="1" si="2"/>
        <v>4443.12</v>
      </c>
      <c r="V30" s="77">
        <v>0</v>
      </c>
      <c r="W30" s="77">
        <v>0</v>
      </c>
      <c r="X30" s="116">
        <v>0</v>
      </c>
      <c r="Y30" s="77">
        <f ca="1">X30*Valores!$C$2</f>
        <v>0</v>
      </c>
      <c r="Z30" s="77">
        <v>0</v>
      </c>
      <c r="AA30" s="89">
        <f>Valores!$C$29</f>
        <v>131.68</v>
      </c>
      <c r="AB30" s="77">
        <f t="shared" ca="1" si="3"/>
        <v>0</v>
      </c>
      <c r="AC30" s="77">
        <f>Valores!$C$30</f>
        <v>131.68</v>
      </c>
      <c r="AD30" s="116">
        <v>0</v>
      </c>
      <c r="AE30" s="77">
        <f ca="1">INT(((AD30*Valores!$C$2)*100)+0.5)/100</f>
        <v>0</v>
      </c>
      <c r="AF30" s="77">
        <f>Valores!$C$51</f>
        <v>267.87</v>
      </c>
      <c r="AG30" s="77">
        <f>Valores!$C$52</f>
        <v>76.540000000000006</v>
      </c>
      <c r="AH30" s="77">
        <f ca="1">SUM(G30,I30,K30,M30,N30,O30,P30,Q30,R30,S30,U30,V30,W30,Y30,Z30,AA30,AB30,AC30,AE30,AF30,AG30)*Valores!$C$54</f>
        <v>0</v>
      </c>
      <c r="AI30" s="15">
        <f t="shared" ca="1" si="6"/>
        <v>64692.160000000003</v>
      </c>
      <c r="AJ30" s="78">
        <f>Valores!$C$35</f>
        <v>182.07</v>
      </c>
      <c r="AK30" s="79">
        <f>Valores!$C$9</f>
        <v>306.14</v>
      </c>
      <c r="AL30" s="89">
        <v>220</v>
      </c>
      <c r="AM30" s="79">
        <f ca="1">IF($G$4="SI",SUM(AK30+AL30),AK30)*Valores!$C$54</f>
        <v>0</v>
      </c>
      <c r="AN30" s="12">
        <f t="shared" ca="1" si="7"/>
        <v>708.21</v>
      </c>
      <c r="AO30" s="153">
        <f ca="1">AI30*-Valores!$C$56</f>
        <v>-8409.9808000000012</v>
      </c>
      <c r="AP30" s="153">
        <f ca="1">AI30*-Valores!$C$57</f>
        <v>-323.46080000000001</v>
      </c>
      <c r="AQ30" s="78">
        <f ca="1">AI30*-Valores!$C$58</f>
        <v>-2911.1471999999999</v>
      </c>
      <c r="AR30" s="78">
        <f ca="1">AI30*-Valores!$C$59</f>
        <v>-1746.6883200000002</v>
      </c>
      <c r="AS30" s="78">
        <f ca="1">AI30*-Valores!$C$60</f>
        <v>-194.07648</v>
      </c>
      <c r="AT30" s="15">
        <f t="shared" ca="1" si="4"/>
        <v>53755.781199999998</v>
      </c>
      <c r="AU30" s="15">
        <f t="shared" ca="1" si="5"/>
        <v>54726.1636</v>
      </c>
      <c r="AV30" s="78">
        <f ca="1">AI30*Valores!$C$61</f>
        <v>10350.7456</v>
      </c>
      <c r="AW30" s="78">
        <f ca="1">AI30*Valores!$C$62</f>
        <v>2911.1471999999999</v>
      </c>
      <c r="AX30" s="78">
        <f ca="1">AI30*Valores!$C$64</f>
        <v>646.92160000000001</v>
      </c>
      <c r="AY30" s="78">
        <f ca="1">AI30*Valores!$C$65</f>
        <v>2264.2256000000002</v>
      </c>
      <c r="AZ30" s="78">
        <f ca="1">AI30*Valores!$C$66</f>
        <v>388.15296000000001</v>
      </c>
      <c r="BA30" s="78">
        <f t="shared" ca="1" si="8"/>
        <v>3493.3766400000004</v>
      </c>
      <c r="BB30" s="20"/>
      <c r="BC30" s="20">
        <v>45</v>
      </c>
      <c r="BD30" s="9" t="s">
        <v>467</v>
      </c>
    </row>
    <row r="31" spans="1:56" s="9" customFormat="1" ht="11.25" customHeight="1" x14ac:dyDescent="0.15">
      <c r="A31" s="55">
        <v>30</v>
      </c>
      <c r="B31" s="55" t="s">
        <v>462</v>
      </c>
      <c r="C31" s="52" t="s">
        <v>53</v>
      </c>
      <c r="D31" s="52"/>
      <c r="E31" s="53" t="s">
        <v>54</v>
      </c>
      <c r="F31" s="124">
        <v>96</v>
      </c>
      <c r="G31" s="129">
        <f ca="1">INT((F31*Valores!$C$2*100)+0.5)/100</f>
        <v>492.93</v>
      </c>
      <c r="H31" s="114">
        <v>3737</v>
      </c>
      <c r="I31" s="80">
        <f ca="1">INT((H31*Valores!$C$2*100)+0.5)/100</f>
        <v>19188.37</v>
      </c>
      <c r="J31" s="146">
        <v>1220</v>
      </c>
      <c r="K31" s="80">
        <f ca="1">INT((J31*Valores!$C$2*100)+0.5)/100</f>
        <v>6264.33</v>
      </c>
      <c r="L31" s="124">
        <v>0</v>
      </c>
      <c r="M31" s="80">
        <f ca="1">INT((L31*Valores!$C$2*100)+0.5)/100</f>
        <v>0</v>
      </c>
      <c r="N31" s="80">
        <f t="shared" ca="1" si="0"/>
        <v>0</v>
      </c>
      <c r="O31" s="80">
        <f t="shared" ca="1" si="1"/>
        <v>27084.319999999996</v>
      </c>
      <c r="P31" s="81">
        <f>Valores!$C$19</f>
        <v>3318.12</v>
      </c>
      <c r="Q31" s="81">
        <f ca="1">Valores!$D$4</f>
        <v>2296.75</v>
      </c>
      <c r="R31" s="80">
        <v>0</v>
      </c>
      <c r="S31" s="82">
        <f>Valores!$C$43</f>
        <v>1138.69</v>
      </c>
      <c r="T31" s="80">
        <f>Valores!$C$23</f>
        <v>2221.56</v>
      </c>
      <c r="U31" s="80">
        <f t="shared" ca="1" si="2"/>
        <v>4443.12</v>
      </c>
      <c r="V31" s="80">
        <v>0</v>
      </c>
      <c r="W31" s="80">
        <v>0</v>
      </c>
      <c r="X31" s="115">
        <v>0</v>
      </c>
      <c r="Y31" s="80">
        <f ca="1">X31*Valores!$C$2</f>
        <v>0</v>
      </c>
      <c r="Z31" s="80">
        <f ca="1">SUM(K31,I31,G31,S31)*Valores!$C$3</f>
        <v>4062.6479999999992</v>
      </c>
      <c r="AA31" s="90">
        <f>Valores!$C$29</f>
        <v>131.68</v>
      </c>
      <c r="AB31" s="80">
        <f t="shared" ca="1" si="3"/>
        <v>0</v>
      </c>
      <c r="AC31" s="80">
        <f>Valores!$C$30</f>
        <v>131.68</v>
      </c>
      <c r="AD31" s="115">
        <v>0</v>
      </c>
      <c r="AE31" s="80">
        <f ca="1">INT(((AD31*Valores!$C$2)*100)+0.5)/100</f>
        <v>0</v>
      </c>
      <c r="AF31" s="80">
        <f>Valores!$C$51</f>
        <v>267.87</v>
      </c>
      <c r="AG31" s="80">
        <f>Valores!$C$52</f>
        <v>76.540000000000006</v>
      </c>
      <c r="AH31" s="80">
        <f ca="1">SUM(G31,I31,K31,M31,N31,O31,P31,Q31,R31,S31,U31,V31,W31,Y31,Z31,AA31,AB31,AC31,AE31,AF31,AG31)*Valores!$C$54</f>
        <v>0</v>
      </c>
      <c r="AI31" s="54">
        <f t="shared" ca="1" si="6"/>
        <v>68897.047999999981</v>
      </c>
      <c r="AJ31" s="81">
        <f>Valores!$C$35</f>
        <v>182.07</v>
      </c>
      <c r="AK31" s="82">
        <f>Valores!$C$9</f>
        <v>306.14</v>
      </c>
      <c r="AL31" s="90">
        <v>0</v>
      </c>
      <c r="AM31" s="82">
        <f ca="1">IF($G$4="SI",SUM(AK31+AL31),AK31)*Valores!$C$54</f>
        <v>0</v>
      </c>
      <c r="AN31" s="186">
        <f t="shared" ca="1" si="7"/>
        <v>488.21</v>
      </c>
      <c r="AO31" s="154">
        <f ca="1">AI31*-Valores!$C$56</f>
        <v>-8956.6162399999976</v>
      </c>
      <c r="AP31" s="154">
        <f ca="1">AI31*-Valores!$C$57</f>
        <v>-344.48523999999992</v>
      </c>
      <c r="AQ31" s="81">
        <f ca="1">AI31*-Valores!$C$58</f>
        <v>-3100.3671599999989</v>
      </c>
      <c r="AR31" s="81">
        <f ca="1">AI31*-Valores!$C$59</f>
        <v>-1860.2202959999997</v>
      </c>
      <c r="AS31" s="81">
        <f ca="1">AI31*-Valores!$C$60</f>
        <v>-206.69114399999995</v>
      </c>
      <c r="AT31" s="54">
        <f t="shared" ca="1" si="4"/>
        <v>56983.789360000002</v>
      </c>
      <c r="AU31" s="54">
        <f t="shared" ca="1" si="5"/>
        <v>58017.245080000001</v>
      </c>
      <c r="AV31" s="81">
        <f ca="1">AI31*Valores!$C$61</f>
        <v>11023.527679999997</v>
      </c>
      <c r="AW31" s="81">
        <f ca="1">AI31*Valores!$C$62</f>
        <v>3100.3671599999989</v>
      </c>
      <c r="AX31" s="81">
        <f ca="1">AI31*Valores!$C$64</f>
        <v>688.97047999999984</v>
      </c>
      <c r="AY31" s="81">
        <f ca="1">AI31*Valores!$C$65</f>
        <v>2411.3966799999994</v>
      </c>
      <c r="AZ31" s="81">
        <f ca="1">AI31*Valores!$C$66</f>
        <v>413.3822879999999</v>
      </c>
      <c r="BA31" s="81">
        <f t="shared" ca="1" si="8"/>
        <v>3720.440591999999</v>
      </c>
      <c r="BB31" s="55"/>
      <c r="BC31" s="55">
        <v>45</v>
      </c>
      <c r="BD31" s="52" t="s">
        <v>466</v>
      </c>
    </row>
    <row r="32" spans="1:56" s="9" customFormat="1" ht="11.25" customHeight="1" x14ac:dyDescent="0.15">
      <c r="A32" s="20">
        <v>31</v>
      </c>
      <c r="B32" s="20"/>
      <c r="C32" s="9" t="s">
        <v>55</v>
      </c>
      <c r="E32" s="10" t="s">
        <v>56</v>
      </c>
      <c r="F32" s="123">
        <v>92</v>
      </c>
      <c r="G32" s="7">
        <f ca="1">INT((F32*Valores!$C$2*100)+0.5)/100</f>
        <v>472.39</v>
      </c>
      <c r="H32" s="113">
        <v>3483</v>
      </c>
      <c r="I32" s="77">
        <f ca="1">INT((H32*Valores!$C$2*100)+0.5)/100</f>
        <v>17884.16</v>
      </c>
      <c r="J32" s="145">
        <v>1217</v>
      </c>
      <c r="K32" s="77">
        <f ca="1">INT((J32*Valores!$C$2*100)+0.5)/100</f>
        <v>6248.93</v>
      </c>
      <c r="L32" s="123">
        <v>0</v>
      </c>
      <c r="M32" s="77">
        <f ca="1">INT((L32*Valores!$C$2*100)+0.5)/100</f>
        <v>0</v>
      </c>
      <c r="N32" s="77">
        <f t="shared" ca="1" si="0"/>
        <v>0</v>
      </c>
      <c r="O32" s="77">
        <f t="shared" ca="1" si="1"/>
        <v>25744.17</v>
      </c>
      <c r="P32" s="78">
        <f>Valores!$C$18</f>
        <v>5991.43</v>
      </c>
      <c r="Q32" s="78">
        <f ca="1">Valores!$D$4</f>
        <v>2296.75</v>
      </c>
      <c r="R32" s="77">
        <v>0</v>
      </c>
      <c r="S32" s="79">
        <f>Valores!$C$43</f>
        <v>1138.69</v>
      </c>
      <c r="T32" s="77">
        <f>Valores!$C$23</f>
        <v>2221.56</v>
      </c>
      <c r="U32" s="77">
        <f t="shared" ca="1" si="2"/>
        <v>4443.12</v>
      </c>
      <c r="V32" s="77">
        <v>0</v>
      </c>
      <c r="W32" s="77">
        <v>0</v>
      </c>
      <c r="X32" s="116">
        <v>0</v>
      </c>
      <c r="Y32" s="77">
        <f ca="1">X32*Valores!$C$2</f>
        <v>0</v>
      </c>
      <c r="Z32" s="77">
        <v>0</v>
      </c>
      <c r="AA32" s="89">
        <f>Valores!$C$29</f>
        <v>131.68</v>
      </c>
      <c r="AB32" s="77">
        <f t="shared" ca="1" si="3"/>
        <v>0</v>
      </c>
      <c r="AC32" s="77">
        <f>Valores!$C$30</f>
        <v>131.68</v>
      </c>
      <c r="AD32" s="116">
        <v>0</v>
      </c>
      <c r="AE32" s="77">
        <f ca="1">INT(((AD32*Valores!$C$2)*100)+0.5)/100</f>
        <v>0</v>
      </c>
      <c r="AF32" s="77">
        <f>Valores!$C$51</f>
        <v>267.87</v>
      </c>
      <c r="AG32" s="77">
        <f>Valores!$C$52</f>
        <v>76.540000000000006</v>
      </c>
      <c r="AH32" s="77">
        <f ca="1">SUM(G32,I32,K32,M32,N32,O32,P32,Q32,R32,S32,U32,V32,W32,Y32,Z32,AA32,AB32,AC32,AE32,AF32,AG32)*Valores!$C$54</f>
        <v>0</v>
      </c>
      <c r="AI32" s="15">
        <f t="shared" ca="1" si="6"/>
        <v>64827.41</v>
      </c>
      <c r="AJ32" s="78">
        <f>Valores!$C$35</f>
        <v>182.07</v>
      </c>
      <c r="AK32" s="79">
        <f>Valores!$C$9</f>
        <v>306.14</v>
      </c>
      <c r="AL32" s="89">
        <v>224.5</v>
      </c>
      <c r="AM32" s="79">
        <f ca="1">IF($G$4="SI",SUM(AK32+AL32),AK32)*Valores!$C$54</f>
        <v>0</v>
      </c>
      <c r="AN32" s="12">
        <f t="shared" ca="1" si="7"/>
        <v>712.71</v>
      </c>
      <c r="AO32" s="153">
        <f ca="1">AI32*-Valores!$C$56</f>
        <v>-8427.5633000000016</v>
      </c>
      <c r="AP32" s="153">
        <f ca="1">AI32*-Valores!$C$57</f>
        <v>-324.13705000000004</v>
      </c>
      <c r="AQ32" s="78">
        <f ca="1">AI32*-Valores!$C$58</f>
        <v>-2917.2334500000002</v>
      </c>
      <c r="AR32" s="78">
        <f ca="1">AI32*-Valores!$C$59</f>
        <v>-1750.3400700000002</v>
      </c>
      <c r="AS32" s="78">
        <f ca="1">AI32*-Valores!$C$60</f>
        <v>-194.48223000000002</v>
      </c>
      <c r="AT32" s="15">
        <f t="shared" ca="1" si="4"/>
        <v>53871.186200000011</v>
      </c>
      <c r="AU32" s="15">
        <f t="shared" ca="1" si="5"/>
        <v>54843.597350000011</v>
      </c>
      <c r="AV32" s="78">
        <f ca="1">AI32*Valores!$C$61</f>
        <v>10372.385600000001</v>
      </c>
      <c r="AW32" s="78">
        <f ca="1">AI32*Valores!$C$62</f>
        <v>2917.2334500000002</v>
      </c>
      <c r="AX32" s="78">
        <f ca="1">AI32*Valores!$C$64</f>
        <v>648.27410000000009</v>
      </c>
      <c r="AY32" s="78">
        <f ca="1">AI32*Valores!$C$65</f>
        <v>2268.9593500000005</v>
      </c>
      <c r="AZ32" s="78">
        <f ca="1">AI32*Valores!$C$66</f>
        <v>388.96446000000003</v>
      </c>
      <c r="BA32" s="78">
        <f t="shared" ca="1" si="8"/>
        <v>3500.6801400000004</v>
      </c>
      <c r="BB32" s="20"/>
      <c r="BC32" s="20">
        <v>45</v>
      </c>
      <c r="BD32" s="9" t="s">
        <v>467</v>
      </c>
    </row>
    <row r="33" spans="1:56" s="9" customFormat="1" ht="11.25" customHeight="1" x14ac:dyDescent="0.15">
      <c r="A33" s="20">
        <v>32</v>
      </c>
      <c r="B33" s="20"/>
      <c r="C33" s="9" t="s">
        <v>390</v>
      </c>
      <c r="E33" s="10" t="s">
        <v>391</v>
      </c>
      <c r="F33" s="123">
        <v>85</v>
      </c>
      <c r="G33" s="7">
        <f ca="1">INT((F33*Valores!$C$2*100)+0.5)/100</f>
        <v>436.45</v>
      </c>
      <c r="H33" s="113">
        <v>3498</v>
      </c>
      <c r="I33" s="77">
        <f ca="1">INT((H33*Valores!$C$2*100)+0.5)/100</f>
        <v>17961.18</v>
      </c>
      <c r="J33" s="145">
        <v>1209</v>
      </c>
      <c r="K33" s="77">
        <f ca="1">INT((J33*Valores!$C$2*100)+0.5)/100</f>
        <v>6207.85</v>
      </c>
      <c r="L33" s="123">
        <v>0</v>
      </c>
      <c r="M33" s="77">
        <f ca="1">INT((L33*Valores!$C$2*100)+0.5)/100</f>
        <v>0</v>
      </c>
      <c r="N33" s="77">
        <f t="shared" ca="1" si="0"/>
        <v>0</v>
      </c>
      <c r="O33" s="77">
        <f t="shared" ca="1" si="1"/>
        <v>25744.170000000002</v>
      </c>
      <c r="P33" s="78">
        <f>Valores!$C$18</f>
        <v>5991.43</v>
      </c>
      <c r="Q33" s="78">
        <f ca="1">Valores!$D$4</f>
        <v>2296.75</v>
      </c>
      <c r="R33" s="77">
        <v>0</v>
      </c>
      <c r="S33" s="79">
        <f>Valores!$C$43</f>
        <v>1138.69</v>
      </c>
      <c r="T33" s="77">
        <f>Valores!$C$23</f>
        <v>2221.56</v>
      </c>
      <c r="U33" s="77">
        <f t="shared" ca="1" si="2"/>
        <v>4443.12</v>
      </c>
      <c r="V33" s="77">
        <v>0</v>
      </c>
      <c r="W33" s="77">
        <v>0</v>
      </c>
      <c r="X33" s="116">
        <v>0</v>
      </c>
      <c r="Y33" s="77">
        <f ca="1">X33*Valores!$C$2</f>
        <v>0</v>
      </c>
      <c r="Z33" s="77">
        <v>0</v>
      </c>
      <c r="AA33" s="89">
        <f>Valores!$C$29</f>
        <v>131.68</v>
      </c>
      <c r="AB33" s="77">
        <f t="shared" ca="1" si="3"/>
        <v>0</v>
      </c>
      <c r="AC33" s="77">
        <f>Valores!$C$30</f>
        <v>131.68</v>
      </c>
      <c r="AD33" s="116">
        <v>0</v>
      </c>
      <c r="AE33" s="77">
        <f ca="1">INT(((AD33*Valores!$C$2)*100)+0.5)/100</f>
        <v>0</v>
      </c>
      <c r="AF33" s="77">
        <f>Valores!$C$51</f>
        <v>267.87</v>
      </c>
      <c r="AG33" s="77">
        <f>Valores!$C$52</f>
        <v>76.540000000000006</v>
      </c>
      <c r="AH33" s="77">
        <f ca="1">SUM(G33,I33,K33,M33,N33,O33,P33,Q33,R33,S33,U33,V33,W33,Y33,Z33,AA33,AB33,AC33,AE33,AF33,AG33)*Valores!$C$54</f>
        <v>0</v>
      </c>
      <c r="AI33" s="15">
        <f t="shared" ca="1" si="6"/>
        <v>64827.410000000018</v>
      </c>
      <c r="AJ33" s="78">
        <f>Valores!$C$35</f>
        <v>182.07</v>
      </c>
      <c r="AK33" s="79">
        <f>Valores!$C$9</f>
        <v>306.14</v>
      </c>
      <c r="AL33" s="89">
        <v>224.5</v>
      </c>
      <c r="AM33" s="79">
        <f ca="1">IF($G$4="SI",SUM(AK33+AL33),AK33)*Valores!$C$54</f>
        <v>0</v>
      </c>
      <c r="AN33" s="12">
        <f t="shared" ca="1" si="7"/>
        <v>712.71</v>
      </c>
      <c r="AO33" s="153">
        <f ca="1">AI33*-Valores!$C$56</f>
        <v>-8427.5633000000034</v>
      </c>
      <c r="AP33" s="153">
        <f ca="1">AI33*-Valores!$C$57</f>
        <v>-324.1370500000001</v>
      </c>
      <c r="AQ33" s="78">
        <f ca="1">AI33*-Valores!$C$58</f>
        <v>-2917.2334500000006</v>
      </c>
      <c r="AR33" s="78">
        <f ca="1">AI33*-Valores!$C$59</f>
        <v>-1750.3400700000007</v>
      </c>
      <c r="AS33" s="78">
        <f ca="1">AI33*-Valores!$C$60</f>
        <v>-194.48223000000007</v>
      </c>
      <c r="AT33" s="15">
        <f t="shared" ca="1" si="4"/>
        <v>53871.186200000026</v>
      </c>
      <c r="AU33" s="15">
        <f t="shared" ca="1" si="5"/>
        <v>54843.597350000025</v>
      </c>
      <c r="AV33" s="78">
        <f ca="1">AI33*Valores!$C$61</f>
        <v>10372.385600000003</v>
      </c>
      <c r="AW33" s="78">
        <f ca="1">AI33*Valores!$C$62</f>
        <v>2917.2334500000006</v>
      </c>
      <c r="AX33" s="78">
        <f ca="1">AI33*Valores!$C$64</f>
        <v>648.2741000000002</v>
      </c>
      <c r="AY33" s="78">
        <f ca="1">AI33*Valores!$C$65</f>
        <v>2268.959350000001</v>
      </c>
      <c r="AZ33" s="78">
        <f ca="1">AI33*Valores!$C$66</f>
        <v>388.96446000000014</v>
      </c>
      <c r="BA33" s="78">
        <f t="shared" ca="1" si="8"/>
        <v>3500.6801400000013</v>
      </c>
      <c r="BB33" s="20"/>
      <c r="BC33" s="20">
        <v>45</v>
      </c>
      <c r="BD33" s="9" t="s">
        <v>467</v>
      </c>
    </row>
    <row r="34" spans="1:56" s="9" customFormat="1" ht="11.25" customHeight="1" x14ac:dyDescent="0.15">
      <c r="A34" s="20">
        <v>33</v>
      </c>
      <c r="B34" s="20"/>
      <c r="C34" s="9" t="s">
        <v>57</v>
      </c>
      <c r="E34" s="10" t="s">
        <v>58</v>
      </c>
      <c r="F34" s="123">
        <v>92</v>
      </c>
      <c r="G34" s="7">
        <f ca="1">INT((F34*Valores!$C$2*100)+0.5)/100</f>
        <v>472.39</v>
      </c>
      <c r="H34" s="113">
        <v>3483</v>
      </c>
      <c r="I34" s="77">
        <f ca="1">INT((H34*Valores!$C$2*100)+0.5)/100</f>
        <v>17884.16</v>
      </c>
      <c r="J34" s="145">
        <v>1217</v>
      </c>
      <c r="K34" s="77">
        <f ca="1">INT((J34*Valores!$C$2*100)+0.5)/100</f>
        <v>6248.93</v>
      </c>
      <c r="L34" s="123">
        <v>0</v>
      </c>
      <c r="M34" s="77">
        <f ca="1">INT((L34*Valores!$C$2*100)+0.5)/100</f>
        <v>0</v>
      </c>
      <c r="N34" s="77">
        <f t="shared" ca="1" si="0"/>
        <v>0</v>
      </c>
      <c r="O34" s="77">
        <f t="shared" ca="1" si="1"/>
        <v>25744.17</v>
      </c>
      <c r="P34" s="78">
        <f>Valores!$C$18</f>
        <v>5991.43</v>
      </c>
      <c r="Q34" s="78">
        <f ca="1">Valores!$D$4</f>
        <v>2296.75</v>
      </c>
      <c r="R34" s="77">
        <v>0</v>
      </c>
      <c r="S34" s="79">
        <f>Valores!$C$43</f>
        <v>1138.69</v>
      </c>
      <c r="T34" s="77">
        <f>Valores!$C$23</f>
        <v>2221.56</v>
      </c>
      <c r="U34" s="77">
        <f t="shared" ca="1" si="2"/>
        <v>4443.12</v>
      </c>
      <c r="V34" s="77">
        <v>0</v>
      </c>
      <c r="W34" s="77">
        <v>0</v>
      </c>
      <c r="X34" s="116">
        <v>0</v>
      </c>
      <c r="Y34" s="77">
        <f ca="1">X34*Valores!$C$2</f>
        <v>0</v>
      </c>
      <c r="Z34" s="77">
        <v>0</v>
      </c>
      <c r="AA34" s="89">
        <f>Valores!$C$29</f>
        <v>131.68</v>
      </c>
      <c r="AB34" s="77">
        <f ca="1">SUM(G34,I34,K34,Y34,S34,M34)*$G$3/100</f>
        <v>0</v>
      </c>
      <c r="AC34" s="77">
        <f>Valores!$C$30</f>
        <v>131.68</v>
      </c>
      <c r="AD34" s="116">
        <v>0</v>
      </c>
      <c r="AE34" s="77">
        <f ca="1">INT(((AD34*Valores!$C$2)*100)+0.5)/100</f>
        <v>0</v>
      </c>
      <c r="AF34" s="77">
        <f>Valores!$C$51</f>
        <v>267.87</v>
      </c>
      <c r="AG34" s="77">
        <f>Valores!$C$52</f>
        <v>76.540000000000006</v>
      </c>
      <c r="AH34" s="77">
        <f ca="1">SUM(G34,I34,K34,M34,N34,O34,P34,Q34,R34,S34,U34,V34,W34,Y34,Z34,AA34,AB34,AC34,AE34,AF34,AG34)*Valores!$C$54</f>
        <v>0</v>
      </c>
      <c r="AI34" s="15">
        <f t="shared" ca="1" si="6"/>
        <v>64827.41</v>
      </c>
      <c r="AJ34" s="78">
        <f>Valores!$C$35</f>
        <v>182.07</v>
      </c>
      <c r="AK34" s="79">
        <f>Valores!$C$9</f>
        <v>306.14</v>
      </c>
      <c r="AL34" s="89">
        <v>0</v>
      </c>
      <c r="AM34" s="79">
        <f ca="1">IF($G$4="SI",SUM(AK34+AL34),AK34)*Valores!$C$54</f>
        <v>0</v>
      </c>
      <c r="AN34" s="12">
        <f t="shared" ca="1" si="7"/>
        <v>488.21</v>
      </c>
      <c r="AO34" s="153">
        <f ca="1">AI34*-Valores!$C$56</f>
        <v>-8427.5633000000016</v>
      </c>
      <c r="AP34" s="153">
        <f ca="1">AI34*-Valores!$C$57</f>
        <v>-324.13705000000004</v>
      </c>
      <c r="AQ34" s="78">
        <f ca="1">AI34*-Valores!$C$58</f>
        <v>-2917.2334500000002</v>
      </c>
      <c r="AR34" s="78">
        <f ca="1">AI34*-Valores!$C$59</f>
        <v>-1750.3400700000002</v>
      </c>
      <c r="AS34" s="78">
        <f ca="1">AI34*-Valores!$C$60</f>
        <v>-194.48223000000002</v>
      </c>
      <c r="AT34" s="15">
        <f t="shared" ca="1" si="4"/>
        <v>53646.686200000004</v>
      </c>
      <c r="AU34" s="15">
        <f t="shared" ca="1" si="5"/>
        <v>54619.097350000004</v>
      </c>
      <c r="AV34" s="78">
        <f ca="1">AI34*Valores!$C$61</f>
        <v>10372.385600000001</v>
      </c>
      <c r="AW34" s="78">
        <f ca="1">AI34*Valores!$C$62</f>
        <v>2917.2334500000002</v>
      </c>
      <c r="AX34" s="78">
        <f ca="1">AI34*Valores!$C$64</f>
        <v>648.27410000000009</v>
      </c>
      <c r="AY34" s="78">
        <f ca="1">AI34*Valores!$C$65</f>
        <v>2268.9593500000005</v>
      </c>
      <c r="AZ34" s="78">
        <f ca="1">AI34*Valores!$C$66</f>
        <v>388.96446000000003</v>
      </c>
      <c r="BA34" s="78">
        <f t="shared" ca="1" si="8"/>
        <v>3500.6801400000004</v>
      </c>
      <c r="BB34" s="20"/>
      <c r="BC34" s="20">
        <v>45</v>
      </c>
      <c r="BD34" s="9" t="s">
        <v>467</v>
      </c>
    </row>
    <row r="35" spans="1:56" s="9" customFormat="1" ht="11.25" customHeight="1" x14ac:dyDescent="0.15">
      <c r="A35" s="20">
        <v>34</v>
      </c>
      <c r="B35" s="20"/>
      <c r="C35" s="9" t="s">
        <v>59</v>
      </c>
      <c r="E35" s="10" t="s">
        <v>60</v>
      </c>
      <c r="F35" s="123">
        <v>85</v>
      </c>
      <c r="G35" s="7">
        <f ca="1">INT((F35*Valores!$C$2*100)+0.5)/100</f>
        <v>436.45</v>
      </c>
      <c r="H35" s="113">
        <v>3498</v>
      </c>
      <c r="I35" s="77">
        <f ca="1">INT((H35*Valores!$C$2*100)+0.5)/100</f>
        <v>17961.18</v>
      </c>
      <c r="J35" s="145">
        <v>1209</v>
      </c>
      <c r="K35" s="77">
        <f ca="1">INT((J35*Valores!$C$2*100)+0.5)/100</f>
        <v>6207.85</v>
      </c>
      <c r="L35" s="123">
        <v>0</v>
      </c>
      <c r="M35" s="77">
        <f ca="1">INT((L35*Valores!$C$2*100)+0.5)/100</f>
        <v>0</v>
      </c>
      <c r="N35" s="77">
        <f t="shared" ca="1" si="0"/>
        <v>0</v>
      </c>
      <c r="O35" s="77">
        <f t="shared" ca="1" si="1"/>
        <v>25744.170000000002</v>
      </c>
      <c r="P35" s="78">
        <f>Valores!$C$18</f>
        <v>5991.43</v>
      </c>
      <c r="Q35" s="78">
        <f ca="1">Valores!$D$4</f>
        <v>2296.75</v>
      </c>
      <c r="R35" s="77">
        <v>0</v>
      </c>
      <c r="S35" s="79">
        <f>Valores!$C$43</f>
        <v>1138.69</v>
      </c>
      <c r="T35" s="77">
        <f>Valores!$C$23</f>
        <v>2221.56</v>
      </c>
      <c r="U35" s="77">
        <f t="shared" ca="1" si="2"/>
        <v>4443.12</v>
      </c>
      <c r="V35" s="77">
        <v>0</v>
      </c>
      <c r="W35" s="77">
        <v>0</v>
      </c>
      <c r="X35" s="116">
        <v>0</v>
      </c>
      <c r="Y35" s="77">
        <f ca="1">X35*Valores!$C$2</f>
        <v>0</v>
      </c>
      <c r="Z35" s="77">
        <v>0</v>
      </c>
      <c r="AA35" s="89">
        <f>Valores!$C$29</f>
        <v>131.68</v>
      </c>
      <c r="AB35" s="77">
        <f t="shared" ca="1" si="3"/>
        <v>0</v>
      </c>
      <c r="AC35" s="77">
        <f>Valores!$C$30</f>
        <v>131.68</v>
      </c>
      <c r="AD35" s="116">
        <v>0</v>
      </c>
      <c r="AE35" s="77">
        <f ca="1">INT(((AD35*Valores!$C$2)*100)+0.5)/100</f>
        <v>0</v>
      </c>
      <c r="AF35" s="77">
        <f>Valores!$C$51</f>
        <v>267.87</v>
      </c>
      <c r="AG35" s="77">
        <f>Valores!$C$52</f>
        <v>76.540000000000006</v>
      </c>
      <c r="AH35" s="77">
        <f ca="1">SUM(G35,I35,K35,M35,N35,O35,P35,Q35,R35,S35,U35,V35,W35,Y35,Z35,AA35,AB35,AC35,AE35,AF35,AG35)*Valores!$C$54</f>
        <v>0</v>
      </c>
      <c r="AI35" s="15">
        <f t="shared" ca="1" si="6"/>
        <v>64827.410000000018</v>
      </c>
      <c r="AJ35" s="78">
        <f>Valores!$C$35</f>
        <v>182.07</v>
      </c>
      <c r="AK35" s="79">
        <f>Valores!$C$9</f>
        <v>306.14</v>
      </c>
      <c r="AL35" s="89">
        <v>0</v>
      </c>
      <c r="AM35" s="79">
        <f ca="1">IF($G$4="SI",SUM(AK35+AL35),AK35)*Valores!$C$54</f>
        <v>0</v>
      </c>
      <c r="AN35" s="12">
        <f t="shared" ca="1" si="7"/>
        <v>488.21</v>
      </c>
      <c r="AO35" s="153">
        <f ca="1">AI35*-Valores!$C$56</f>
        <v>-8427.5633000000034</v>
      </c>
      <c r="AP35" s="153">
        <f ca="1">AI35*-Valores!$C$57</f>
        <v>-324.1370500000001</v>
      </c>
      <c r="AQ35" s="78">
        <f ca="1">AI35*-Valores!$C$58</f>
        <v>-2917.2334500000006</v>
      </c>
      <c r="AR35" s="78">
        <f ca="1">AI35*-Valores!$C$59</f>
        <v>-1750.3400700000007</v>
      </c>
      <c r="AS35" s="78">
        <f ca="1">AI35*-Valores!$C$60</f>
        <v>-194.48223000000007</v>
      </c>
      <c r="AT35" s="15">
        <f t="shared" ca="1" si="4"/>
        <v>53646.686200000018</v>
      </c>
      <c r="AU35" s="15">
        <f t="shared" ca="1" si="5"/>
        <v>54619.097350000018</v>
      </c>
      <c r="AV35" s="78">
        <f ca="1">AI35*Valores!$C$61</f>
        <v>10372.385600000003</v>
      </c>
      <c r="AW35" s="78">
        <f ca="1">AI35*Valores!$C$62</f>
        <v>2917.2334500000006</v>
      </c>
      <c r="AX35" s="78">
        <f ca="1">AI35*Valores!$C$64</f>
        <v>648.2741000000002</v>
      </c>
      <c r="AY35" s="78">
        <f ca="1">AI35*Valores!$C$65</f>
        <v>2268.959350000001</v>
      </c>
      <c r="AZ35" s="78">
        <f ca="1">AI35*Valores!$C$66</f>
        <v>388.96446000000014</v>
      </c>
      <c r="BA35" s="78">
        <f t="shared" ca="1" si="8"/>
        <v>3500.6801400000013</v>
      </c>
      <c r="BB35" s="20"/>
      <c r="BC35" s="20">
        <v>45</v>
      </c>
      <c r="BD35" s="9" t="s">
        <v>466</v>
      </c>
    </row>
    <row r="36" spans="1:56" s="9" customFormat="1" ht="11.25" customHeight="1" x14ac:dyDescent="0.15">
      <c r="A36" s="55">
        <v>35</v>
      </c>
      <c r="B36" s="55" t="s">
        <v>462</v>
      </c>
      <c r="C36" s="52" t="s">
        <v>61</v>
      </c>
      <c r="D36" s="52"/>
      <c r="E36" s="53" t="s">
        <v>62</v>
      </c>
      <c r="F36" s="124">
        <v>92</v>
      </c>
      <c r="G36" s="129">
        <f ca="1">INT((F36*Valores!$C$2*100)+0.5)/100</f>
        <v>472.39</v>
      </c>
      <c r="H36" s="114">
        <v>3483</v>
      </c>
      <c r="I36" s="80">
        <f ca="1">INT((H36*Valores!$C$2*100)+0.5)/100</f>
        <v>17884.16</v>
      </c>
      <c r="J36" s="146">
        <v>1217</v>
      </c>
      <c r="K36" s="80">
        <f ca="1">INT((J36*Valores!$C$2*100)+0.5)/100</f>
        <v>6248.93</v>
      </c>
      <c r="L36" s="124">
        <v>0</v>
      </c>
      <c r="M36" s="80">
        <f ca="1">INT((L36*Valores!$C$2*100)+0.5)/100</f>
        <v>0</v>
      </c>
      <c r="N36" s="80">
        <f t="shared" ca="1" si="0"/>
        <v>0</v>
      </c>
      <c r="O36" s="80">
        <f t="shared" ca="1" si="1"/>
        <v>25744.17</v>
      </c>
      <c r="P36" s="81">
        <f>Valores!$C$18</f>
        <v>5991.43</v>
      </c>
      <c r="Q36" s="81">
        <f ca="1">Valores!$D$4</f>
        <v>2296.75</v>
      </c>
      <c r="R36" s="80">
        <v>0</v>
      </c>
      <c r="S36" s="82">
        <f>Valores!$C$43</f>
        <v>1138.69</v>
      </c>
      <c r="T36" s="80">
        <f>Valores!$C$23</f>
        <v>2221.56</v>
      </c>
      <c r="U36" s="80">
        <f t="shared" ca="1" si="2"/>
        <v>4443.12</v>
      </c>
      <c r="V36" s="80">
        <v>0</v>
      </c>
      <c r="W36" s="80">
        <v>0</v>
      </c>
      <c r="X36" s="115">
        <v>0</v>
      </c>
      <c r="Y36" s="80">
        <f ca="1">X36*Valores!$C$2</f>
        <v>0</v>
      </c>
      <c r="Z36" s="80">
        <f ca="1">SUM(K36,I36,G36,S36)*Valores!$C$3</f>
        <v>3861.6254999999996</v>
      </c>
      <c r="AA36" s="90">
        <f>Valores!$C$29</f>
        <v>131.68</v>
      </c>
      <c r="AB36" s="80">
        <f t="shared" ca="1" si="3"/>
        <v>0</v>
      </c>
      <c r="AC36" s="80">
        <f>Valores!$C$30</f>
        <v>131.68</v>
      </c>
      <c r="AD36" s="115">
        <v>0</v>
      </c>
      <c r="AE36" s="80">
        <f ca="1">INT(((AD36*Valores!$C$2)*100)+0.5)/100</f>
        <v>0</v>
      </c>
      <c r="AF36" s="80">
        <f>Valores!$C$51</f>
        <v>267.87</v>
      </c>
      <c r="AG36" s="80">
        <f>Valores!$C$52</f>
        <v>76.540000000000006</v>
      </c>
      <c r="AH36" s="80">
        <f ca="1">SUM(G36,I36,K36,M36,N36,O36,P36,Q36,R36,S36,U36,V36,W36,Y36,Z36,AA36,AB36,AC36,AE36,AF36,AG36)*Valores!$C$54</f>
        <v>0</v>
      </c>
      <c r="AI36" s="54">
        <f t="shared" ca="1" si="6"/>
        <v>68689.035499999969</v>
      </c>
      <c r="AJ36" s="81">
        <f>Valores!$C$35</f>
        <v>182.07</v>
      </c>
      <c r="AK36" s="82">
        <f>Valores!$C$9</f>
        <v>306.14</v>
      </c>
      <c r="AL36" s="90">
        <v>0</v>
      </c>
      <c r="AM36" s="82">
        <f ca="1">IF($G$4="SI",SUM(AK36+AL36),AK36)*Valores!$C$54</f>
        <v>0</v>
      </c>
      <c r="AN36" s="186">
        <f t="shared" ca="1" si="7"/>
        <v>488.21</v>
      </c>
      <c r="AO36" s="154">
        <f ca="1">AI36*-Valores!$C$56</f>
        <v>-8929.5746149999959</v>
      </c>
      <c r="AP36" s="154">
        <f ca="1">AI36*-Valores!$C$57</f>
        <v>-343.44517749999983</v>
      </c>
      <c r="AQ36" s="81">
        <f ca="1">AI36*-Valores!$C$58</f>
        <v>-3091.0065974999984</v>
      </c>
      <c r="AR36" s="81">
        <f ca="1">AI36*-Valores!$C$59</f>
        <v>-1854.6039584999994</v>
      </c>
      <c r="AS36" s="81">
        <f ca="1">AI36*-Valores!$C$60</f>
        <v>-206.06710649999991</v>
      </c>
      <c r="AT36" s="54">
        <f t="shared" ca="1" si="4"/>
        <v>56813.219109999969</v>
      </c>
      <c r="AU36" s="54">
        <f t="shared" ca="1" si="5"/>
        <v>57843.554642499977</v>
      </c>
      <c r="AV36" s="81">
        <f ca="1">AI36*Valores!$C$61</f>
        <v>10990.245679999995</v>
      </c>
      <c r="AW36" s="81">
        <f ca="1">AI36*Valores!$C$62</f>
        <v>3091.0065974999984</v>
      </c>
      <c r="AX36" s="81">
        <f ca="1">AI36*Valores!$C$64</f>
        <v>686.89035499999966</v>
      </c>
      <c r="AY36" s="81">
        <f ca="1">AI36*Valores!$C$65</f>
        <v>2404.1162424999993</v>
      </c>
      <c r="AZ36" s="81">
        <f ca="1">AI36*Valores!$C$66</f>
        <v>412.13421299999982</v>
      </c>
      <c r="BA36" s="81">
        <f t="shared" ca="1" si="8"/>
        <v>3709.2079169999988</v>
      </c>
      <c r="BB36" s="55"/>
      <c r="BC36" s="55">
        <v>45</v>
      </c>
      <c r="BD36" s="52" t="s">
        <v>466</v>
      </c>
    </row>
    <row r="37" spans="1:56" s="9" customFormat="1" ht="11.25" customHeight="1" x14ac:dyDescent="0.15">
      <c r="A37" s="20">
        <v>36</v>
      </c>
      <c r="B37" s="20"/>
      <c r="C37" s="9" t="s">
        <v>63</v>
      </c>
      <c r="E37" s="10" t="s">
        <v>64</v>
      </c>
      <c r="F37" s="123">
        <v>85</v>
      </c>
      <c r="G37" s="7">
        <f ca="1">INT((F37*Valores!$C$2*100)+0.5)/100</f>
        <v>436.45</v>
      </c>
      <c r="H37" s="113">
        <v>3498</v>
      </c>
      <c r="I37" s="77">
        <f ca="1">INT((H37*Valores!$C$2*100)+0.5)/100</f>
        <v>17961.18</v>
      </c>
      <c r="J37" s="145">
        <v>202</v>
      </c>
      <c r="K37" s="77">
        <f ca="1">INT((J37*Valores!$C$2*100)+0.5)/100</f>
        <v>1037.21</v>
      </c>
      <c r="L37" s="123">
        <v>0</v>
      </c>
      <c r="M37" s="77">
        <f ca="1">INT((L37*Valores!$C$2*100)+0.5)/100</f>
        <v>0</v>
      </c>
      <c r="N37" s="77">
        <f t="shared" ca="1" si="0"/>
        <v>0</v>
      </c>
      <c r="O37" s="77">
        <f t="shared" ca="1" si="1"/>
        <v>20573.53</v>
      </c>
      <c r="P37" s="78">
        <f>Valores!$C$18</f>
        <v>5991.43</v>
      </c>
      <c r="Q37" s="78">
        <f ca="1">Valores!$D$4</f>
        <v>2296.75</v>
      </c>
      <c r="R37" s="77">
        <v>0</v>
      </c>
      <c r="S37" s="79">
        <f>Valores!$C$43</f>
        <v>1138.69</v>
      </c>
      <c r="T37" s="77">
        <f>Valores!$C$23</f>
        <v>2221.56</v>
      </c>
      <c r="U37" s="77">
        <f t="shared" ca="1" si="2"/>
        <v>4443.12</v>
      </c>
      <c r="V37" s="77">
        <v>0</v>
      </c>
      <c r="W37" s="77">
        <v>0</v>
      </c>
      <c r="X37" s="116">
        <v>0</v>
      </c>
      <c r="Y37" s="77">
        <f ca="1">X37*Valores!$C$2</f>
        <v>0</v>
      </c>
      <c r="Z37" s="77">
        <v>0</v>
      </c>
      <c r="AA37" s="89">
        <f>Valores!$C$29</f>
        <v>131.68</v>
      </c>
      <c r="AB37" s="77">
        <f t="shared" ca="1" si="3"/>
        <v>0</v>
      </c>
      <c r="AC37" s="77">
        <f>Valores!$C$30</f>
        <v>131.68</v>
      </c>
      <c r="AD37" s="116">
        <v>0</v>
      </c>
      <c r="AE37" s="77">
        <f ca="1">INT(((AD37*Valores!$C$2)*100)+0.5)/100</f>
        <v>0</v>
      </c>
      <c r="AF37" s="77">
        <f>Valores!$C$51</f>
        <v>267.87</v>
      </c>
      <c r="AG37" s="77">
        <f>Valores!$C$52</f>
        <v>76.540000000000006</v>
      </c>
      <c r="AH37" s="77">
        <f ca="1">SUM(G37,I37,K37,M37,N37,O37,P37,Q37,R37,S37,U37,V37,W37,Y37,Z37,AA37,AB37,AC37,AE37,AF37,AG37)*Valores!$C$54</f>
        <v>0</v>
      </c>
      <c r="AI37" s="15">
        <f t="shared" ca="1" si="6"/>
        <v>54486.130000000005</v>
      </c>
      <c r="AJ37" s="78">
        <f>Valores!$C$35</f>
        <v>182.07</v>
      </c>
      <c r="AK37" s="79">
        <f>Valores!$C$9</f>
        <v>306.14</v>
      </c>
      <c r="AL37" s="89">
        <v>0</v>
      </c>
      <c r="AM37" s="79">
        <f ca="1">IF($G$4="SI",SUM(AK37+AL37),AK37)*Valores!$C$54</f>
        <v>0</v>
      </c>
      <c r="AN37" s="12">
        <f t="shared" ca="1" si="7"/>
        <v>488.21</v>
      </c>
      <c r="AO37" s="153">
        <f ca="1">AI37*-Valores!$C$56</f>
        <v>-7083.1969000000008</v>
      </c>
      <c r="AP37" s="153">
        <f ca="1">AI37*-Valores!$C$57</f>
        <v>-272.43065000000001</v>
      </c>
      <c r="AQ37" s="78">
        <f ca="1">AI37*-Valores!$C$58</f>
        <v>-2451.8758499999999</v>
      </c>
      <c r="AR37" s="78">
        <f ca="1">AI37*-Valores!$C$59</f>
        <v>-1471.1255100000003</v>
      </c>
      <c r="AS37" s="78">
        <f ca="1">AI37*-Valores!$C$60</f>
        <v>-163.45839000000001</v>
      </c>
      <c r="AT37" s="15">
        <f t="shared" ca="1" si="4"/>
        <v>45166.836600000002</v>
      </c>
      <c r="AU37" s="15">
        <f t="shared" ca="1" si="5"/>
        <v>45984.128550000001</v>
      </c>
      <c r="AV37" s="78">
        <f ca="1">AI37*Valores!$C$61</f>
        <v>8717.7808000000005</v>
      </c>
      <c r="AW37" s="78">
        <f ca="1">AI37*Valores!$C$62</f>
        <v>2451.8758499999999</v>
      </c>
      <c r="AX37" s="78">
        <f ca="1">AI37*Valores!$C$64</f>
        <v>544.86130000000003</v>
      </c>
      <c r="AY37" s="78">
        <f ca="1">AI37*Valores!$C$65</f>
        <v>1907.0145500000003</v>
      </c>
      <c r="AZ37" s="78">
        <f ca="1">AI37*Valores!$C$66</f>
        <v>326.91678000000002</v>
      </c>
      <c r="BA37" s="78">
        <f t="shared" ca="1" si="8"/>
        <v>2942.2510200000006</v>
      </c>
      <c r="BB37" s="20"/>
      <c r="BC37" s="20">
        <v>45</v>
      </c>
      <c r="BD37" s="9" t="s">
        <v>466</v>
      </c>
    </row>
    <row r="38" spans="1:56" s="9" customFormat="1" ht="11.25" customHeight="1" x14ac:dyDescent="0.15">
      <c r="A38" s="20">
        <v>37</v>
      </c>
      <c r="B38" s="20"/>
      <c r="C38" s="9" t="s">
        <v>65</v>
      </c>
      <c r="E38" s="10" t="s">
        <v>66</v>
      </c>
      <c r="F38" s="123">
        <v>85</v>
      </c>
      <c r="G38" s="7">
        <f ca="1">INT((F38*Valores!$C$2*100)+0.5)/100</f>
        <v>436.45</v>
      </c>
      <c r="H38" s="113">
        <v>3498</v>
      </c>
      <c r="I38" s="77">
        <f ca="1">INT((H38*Valores!$C$2*100)+0.5)/100</f>
        <v>17961.18</v>
      </c>
      <c r="J38" s="145">
        <v>1209</v>
      </c>
      <c r="K38" s="77">
        <f ca="1">INT((J38*Valores!$C$2*100)+0.5)/100</f>
        <v>6207.85</v>
      </c>
      <c r="L38" s="123">
        <v>0</v>
      </c>
      <c r="M38" s="77">
        <f ca="1">INT((L38*Valores!$C$2*100)+0.5)/100</f>
        <v>0</v>
      </c>
      <c r="N38" s="77">
        <f t="shared" ca="1" si="0"/>
        <v>0</v>
      </c>
      <c r="O38" s="77">
        <f t="shared" ca="1" si="1"/>
        <v>25744.170000000002</v>
      </c>
      <c r="P38" s="78">
        <f>Valores!$C$18</f>
        <v>5991.43</v>
      </c>
      <c r="Q38" s="78">
        <f ca="1">Valores!$D$4</f>
        <v>2296.75</v>
      </c>
      <c r="R38" s="77">
        <v>0</v>
      </c>
      <c r="S38" s="79">
        <f>Valores!$C$43</f>
        <v>1138.69</v>
      </c>
      <c r="T38" s="77">
        <f>Valores!$C$23</f>
        <v>2221.56</v>
      </c>
      <c r="U38" s="77">
        <f t="shared" ca="1" si="2"/>
        <v>4443.12</v>
      </c>
      <c r="V38" s="77">
        <v>0</v>
      </c>
      <c r="W38" s="77">
        <v>0</v>
      </c>
      <c r="X38" s="116">
        <v>0</v>
      </c>
      <c r="Y38" s="77">
        <f ca="1">X38*Valores!$C$2</f>
        <v>0</v>
      </c>
      <c r="Z38" s="77">
        <v>0</v>
      </c>
      <c r="AA38" s="89">
        <f>Valores!$C$29</f>
        <v>131.68</v>
      </c>
      <c r="AB38" s="77">
        <f t="shared" ca="1" si="3"/>
        <v>0</v>
      </c>
      <c r="AC38" s="77">
        <f>Valores!$C$30</f>
        <v>131.68</v>
      </c>
      <c r="AD38" s="116">
        <v>0</v>
      </c>
      <c r="AE38" s="77">
        <f ca="1">INT(((AD38*Valores!$C$2)*100)+0.5)/100</f>
        <v>0</v>
      </c>
      <c r="AF38" s="77">
        <f>Valores!$C$51</f>
        <v>267.87</v>
      </c>
      <c r="AG38" s="77">
        <f>Valores!$C$52</f>
        <v>76.540000000000006</v>
      </c>
      <c r="AH38" s="77">
        <f ca="1">SUM(G38,I38,K38,M38,N38,O38,P38,Q38,R38,S38,U38,V38,W38,Y38,Z38,AA38,AB38,AC38,AE38,AF38,AG38)*Valores!$C$54</f>
        <v>0</v>
      </c>
      <c r="AI38" s="15">
        <f t="shared" ca="1" si="6"/>
        <v>64827.410000000018</v>
      </c>
      <c r="AJ38" s="78">
        <f>Valores!$C$35</f>
        <v>182.07</v>
      </c>
      <c r="AK38" s="79">
        <f>Valores!$C$9</f>
        <v>306.14</v>
      </c>
      <c r="AL38" s="89">
        <v>224.5</v>
      </c>
      <c r="AM38" s="79">
        <f ca="1">IF($G$4="SI",SUM(AK38+AL38),AK38)*Valores!$C$54</f>
        <v>0</v>
      </c>
      <c r="AN38" s="12">
        <f t="shared" ca="1" si="7"/>
        <v>712.71</v>
      </c>
      <c r="AO38" s="153">
        <f ca="1">AI38*-Valores!$C$56</f>
        <v>-8427.5633000000034</v>
      </c>
      <c r="AP38" s="153">
        <f ca="1">AI38*-Valores!$C$57</f>
        <v>-324.1370500000001</v>
      </c>
      <c r="AQ38" s="78">
        <f ca="1">AI38*-Valores!$C$58</f>
        <v>-2917.2334500000006</v>
      </c>
      <c r="AR38" s="78">
        <f ca="1">AI38*-Valores!$C$59</f>
        <v>-1750.3400700000007</v>
      </c>
      <c r="AS38" s="78">
        <f ca="1">AI38*-Valores!$C$60</f>
        <v>-194.48223000000007</v>
      </c>
      <c r="AT38" s="15">
        <f t="shared" ca="1" si="4"/>
        <v>53871.186200000026</v>
      </c>
      <c r="AU38" s="15">
        <f t="shared" ca="1" si="5"/>
        <v>54843.597350000025</v>
      </c>
      <c r="AV38" s="78">
        <f ca="1">AI38*Valores!$C$61</f>
        <v>10372.385600000003</v>
      </c>
      <c r="AW38" s="78">
        <f ca="1">AI38*Valores!$C$62</f>
        <v>2917.2334500000006</v>
      </c>
      <c r="AX38" s="78">
        <f ca="1">AI38*Valores!$C$64</f>
        <v>648.2741000000002</v>
      </c>
      <c r="AY38" s="78">
        <f ca="1">AI38*Valores!$C$65</f>
        <v>2268.959350000001</v>
      </c>
      <c r="AZ38" s="78">
        <f ca="1">AI38*Valores!$C$66</f>
        <v>388.96446000000014</v>
      </c>
      <c r="BA38" s="78">
        <f t="shared" ca="1" si="8"/>
        <v>3500.6801400000013</v>
      </c>
      <c r="BB38" s="20"/>
      <c r="BC38" s="20">
        <v>45</v>
      </c>
      <c r="BD38" s="9" t="s">
        <v>467</v>
      </c>
    </row>
    <row r="39" spans="1:56" s="9" customFormat="1" ht="11.25" customHeight="1" x14ac:dyDescent="0.15">
      <c r="A39" s="20">
        <v>38</v>
      </c>
      <c r="B39" s="20"/>
      <c r="C39" s="9" t="s">
        <v>67</v>
      </c>
      <c r="E39" s="10" t="s">
        <v>68</v>
      </c>
      <c r="F39" s="123">
        <v>85</v>
      </c>
      <c r="G39" s="7">
        <f ca="1">INT((F39*Valores!$C$2*100)+0.5)/100</f>
        <v>436.45</v>
      </c>
      <c r="H39" s="113">
        <v>3498</v>
      </c>
      <c r="I39" s="77">
        <f ca="1">INT((H39*Valores!$C$2*100)+0.5)/100</f>
        <v>17961.18</v>
      </c>
      <c r="J39" s="145">
        <v>1209</v>
      </c>
      <c r="K39" s="77">
        <f ca="1">INT((J39*Valores!$C$2*100)+0.5)/100</f>
        <v>6207.85</v>
      </c>
      <c r="L39" s="123">
        <v>0</v>
      </c>
      <c r="M39" s="77">
        <f ca="1">INT((L39*Valores!$C$2*100)+0.5)/100</f>
        <v>0</v>
      </c>
      <c r="N39" s="77">
        <f t="shared" ca="1" si="0"/>
        <v>0</v>
      </c>
      <c r="O39" s="77">
        <f t="shared" ca="1" si="1"/>
        <v>25744.170000000002</v>
      </c>
      <c r="P39" s="78">
        <f>Valores!$C$18</f>
        <v>5991.43</v>
      </c>
      <c r="Q39" s="78">
        <f ca="1">Valores!$D$4</f>
        <v>2296.75</v>
      </c>
      <c r="R39" s="77">
        <v>0</v>
      </c>
      <c r="S39" s="79">
        <f>Valores!$C$43</f>
        <v>1138.69</v>
      </c>
      <c r="T39" s="77">
        <f>Valores!$C$23</f>
        <v>2221.56</v>
      </c>
      <c r="U39" s="77">
        <f t="shared" ca="1" si="2"/>
        <v>4443.12</v>
      </c>
      <c r="V39" s="77">
        <v>0</v>
      </c>
      <c r="W39" s="77">
        <v>0</v>
      </c>
      <c r="X39" s="116">
        <v>0</v>
      </c>
      <c r="Y39" s="77">
        <f ca="1">X39*Valores!$C$2</f>
        <v>0</v>
      </c>
      <c r="Z39" s="77">
        <v>0</v>
      </c>
      <c r="AA39" s="89">
        <f>Valores!$C$29</f>
        <v>131.68</v>
      </c>
      <c r="AB39" s="77">
        <f t="shared" ca="1" si="3"/>
        <v>0</v>
      </c>
      <c r="AC39" s="77">
        <f>Valores!$C$30</f>
        <v>131.68</v>
      </c>
      <c r="AD39" s="116">
        <v>0</v>
      </c>
      <c r="AE39" s="77">
        <f ca="1">INT(((AD39*Valores!$C$2)*100)+0.5)/100</f>
        <v>0</v>
      </c>
      <c r="AF39" s="77">
        <f>Valores!$C$51</f>
        <v>267.87</v>
      </c>
      <c r="AG39" s="77">
        <f>Valores!$C$52</f>
        <v>76.540000000000006</v>
      </c>
      <c r="AH39" s="77">
        <f ca="1">SUM(G39,I39,K39,M39,N39,O39,P39,Q39,R39,S39,U39,V39,W39,Y39,Z39,AA39,AB39,AC39,AE39,AF39,AG39)*Valores!$C$54</f>
        <v>0</v>
      </c>
      <c r="AI39" s="15">
        <f t="shared" ca="1" si="6"/>
        <v>64827.410000000018</v>
      </c>
      <c r="AJ39" s="78">
        <f>Valores!$C$35</f>
        <v>182.07</v>
      </c>
      <c r="AK39" s="79">
        <f>Valores!$C$9</f>
        <v>306.14</v>
      </c>
      <c r="AL39" s="89">
        <v>0</v>
      </c>
      <c r="AM39" s="79">
        <f ca="1">IF($G$4="SI",SUM(AK39+AL39),AK39)*Valores!$C$54</f>
        <v>0</v>
      </c>
      <c r="AN39" s="12">
        <f t="shared" ca="1" si="7"/>
        <v>488.21</v>
      </c>
      <c r="AO39" s="153">
        <f ca="1">AI39*-Valores!$C$56</f>
        <v>-8427.5633000000034</v>
      </c>
      <c r="AP39" s="153">
        <f ca="1">AI39*-Valores!$C$57</f>
        <v>-324.1370500000001</v>
      </c>
      <c r="AQ39" s="78">
        <f ca="1">AI39*-Valores!$C$58</f>
        <v>-2917.2334500000006</v>
      </c>
      <c r="AR39" s="78">
        <f ca="1">AI39*-Valores!$C$59</f>
        <v>-1750.3400700000007</v>
      </c>
      <c r="AS39" s="78">
        <f ca="1">AI39*-Valores!$C$60</f>
        <v>-194.48223000000007</v>
      </c>
      <c r="AT39" s="15">
        <f t="shared" ca="1" si="4"/>
        <v>53646.686200000018</v>
      </c>
      <c r="AU39" s="15">
        <f t="shared" ca="1" si="5"/>
        <v>54619.097350000018</v>
      </c>
      <c r="AV39" s="78">
        <f ca="1">AI39*Valores!$C$61</f>
        <v>10372.385600000003</v>
      </c>
      <c r="AW39" s="78">
        <f ca="1">AI39*Valores!$C$62</f>
        <v>2917.2334500000006</v>
      </c>
      <c r="AX39" s="78">
        <f ca="1">AI39*Valores!$C$64</f>
        <v>648.2741000000002</v>
      </c>
      <c r="AY39" s="78">
        <f ca="1">AI39*Valores!$C$65</f>
        <v>2268.959350000001</v>
      </c>
      <c r="AZ39" s="78">
        <f ca="1">AI39*Valores!$C$66</f>
        <v>388.96446000000014</v>
      </c>
      <c r="BA39" s="78">
        <f t="shared" ca="1" si="8"/>
        <v>3500.6801400000013</v>
      </c>
      <c r="BB39" s="20"/>
      <c r="BC39" s="20">
        <v>45</v>
      </c>
      <c r="BD39" s="9" t="s">
        <v>466</v>
      </c>
    </row>
    <row r="40" spans="1:56" s="9" customFormat="1" ht="11.25" customHeight="1" x14ac:dyDescent="0.15">
      <c r="A40" s="20">
        <v>39</v>
      </c>
      <c r="B40" s="20"/>
      <c r="C40" s="9" t="s">
        <v>69</v>
      </c>
      <c r="E40" s="10" t="s">
        <v>70</v>
      </c>
      <c r="F40" s="123">
        <v>101</v>
      </c>
      <c r="G40" s="7">
        <f ca="1">INT((F40*Valores!$C$2*100)+0.5)/100</f>
        <v>518.6</v>
      </c>
      <c r="H40" s="113">
        <v>2548</v>
      </c>
      <c r="I40" s="77">
        <f ca="1">INT((H40*Valores!$C$2*100)+0.5)/100</f>
        <v>13083.22</v>
      </c>
      <c r="J40" s="145">
        <v>216</v>
      </c>
      <c r="K40" s="77">
        <f ca="1">INT((J40*Valores!$C$2*100)+0.5)/100</f>
        <v>1109.0999999999999</v>
      </c>
      <c r="L40" s="123">
        <v>0</v>
      </c>
      <c r="M40" s="77">
        <f ca="1">INT((L40*Valores!$C$2*100)+0.5)/100</f>
        <v>0</v>
      </c>
      <c r="N40" s="77">
        <f t="shared" ca="1" si="0"/>
        <v>0</v>
      </c>
      <c r="O40" s="77">
        <f t="shared" ca="1" si="1"/>
        <v>15849.61</v>
      </c>
      <c r="P40" s="78">
        <f>Valores!$C$16</f>
        <v>3165.05</v>
      </c>
      <c r="Q40" s="78">
        <f ca="1">Valores!$D$4</f>
        <v>2296.75</v>
      </c>
      <c r="R40" s="77">
        <v>0</v>
      </c>
      <c r="S40" s="79">
        <f>Valores!$C$43</f>
        <v>1138.69</v>
      </c>
      <c r="T40" s="77">
        <f>Valores!$C$23</f>
        <v>2221.56</v>
      </c>
      <c r="U40" s="77">
        <f t="shared" ca="1" si="2"/>
        <v>4443.12</v>
      </c>
      <c r="V40" s="77">
        <v>0</v>
      </c>
      <c r="W40" s="77">
        <v>0</v>
      </c>
      <c r="X40" s="116">
        <v>0</v>
      </c>
      <c r="Y40" s="77">
        <f ca="1">X40*Valores!$C$2</f>
        <v>0</v>
      </c>
      <c r="Z40" s="77">
        <v>0</v>
      </c>
      <c r="AA40" s="89">
        <f>Valores!$C$29</f>
        <v>131.68</v>
      </c>
      <c r="AB40" s="77">
        <f t="shared" ca="1" si="3"/>
        <v>0</v>
      </c>
      <c r="AC40" s="77">
        <f>Valores!$C$30</f>
        <v>131.68</v>
      </c>
      <c r="AD40" s="116">
        <v>0</v>
      </c>
      <c r="AE40" s="77">
        <f ca="1">INT(((AD40*Valores!$C$2)*100)+0.5)/100</f>
        <v>0</v>
      </c>
      <c r="AF40" s="77">
        <f>Valores!$C$51</f>
        <v>267.87</v>
      </c>
      <c r="AG40" s="77">
        <f>Valores!$C$52</f>
        <v>76.540000000000006</v>
      </c>
      <c r="AH40" s="77">
        <f ca="1">SUM(G40,I40,K40,M40,N40,O40,P40,Q40,R40,S40,U40,V40,W40,Y40,Z40,AA40,AB40,AC40,AE40,AF40,AG40)*Valores!$C$54</f>
        <v>0</v>
      </c>
      <c r="AI40" s="15">
        <f t="shared" ca="1" si="6"/>
        <v>42211.910000000011</v>
      </c>
      <c r="AJ40" s="78">
        <f>Valores!$C$35</f>
        <v>182.07</v>
      </c>
      <c r="AK40" s="79">
        <f>Valores!$C$9</f>
        <v>306.14</v>
      </c>
      <c r="AL40" s="89">
        <v>0</v>
      </c>
      <c r="AM40" s="79">
        <f ca="1">IF($G$4="SI",SUM(AK40+AL40),AK40)*Valores!$C$54</f>
        <v>0</v>
      </c>
      <c r="AN40" s="12">
        <f t="shared" ca="1" si="7"/>
        <v>488.21</v>
      </c>
      <c r="AO40" s="153">
        <f ca="1">AI40*-Valores!$C$56</f>
        <v>-5487.5483000000013</v>
      </c>
      <c r="AP40" s="153">
        <f ca="1">AI40*-Valores!$C$57</f>
        <v>-211.05955000000006</v>
      </c>
      <c r="AQ40" s="78">
        <f ca="1">AI40*-Valores!$C$58</f>
        <v>-1899.5359500000004</v>
      </c>
      <c r="AR40" s="78">
        <f ca="1">AI40*-Valores!$C$59</f>
        <v>-1139.7215700000004</v>
      </c>
      <c r="AS40" s="78">
        <f ca="1">AI40*-Valores!$C$60</f>
        <v>-126.63573000000004</v>
      </c>
      <c r="AT40" s="15">
        <f t="shared" ca="1" si="4"/>
        <v>35101.976200000012</v>
      </c>
      <c r="AU40" s="15">
        <f t="shared" ca="1" si="5"/>
        <v>35735.154850000006</v>
      </c>
      <c r="AV40" s="78">
        <f ca="1">AI40*Valores!$C$61</f>
        <v>6753.9056000000019</v>
      </c>
      <c r="AW40" s="78">
        <f ca="1">AI40*Valores!$C$62</f>
        <v>1899.5359500000004</v>
      </c>
      <c r="AX40" s="78">
        <f ca="1">AI40*Valores!$C$64</f>
        <v>422.11910000000012</v>
      </c>
      <c r="AY40" s="78">
        <f ca="1">AI40*Valores!$C$65</f>
        <v>1477.4168500000005</v>
      </c>
      <c r="AZ40" s="78">
        <f ca="1">AI40*Valores!$C$66</f>
        <v>253.27146000000008</v>
      </c>
      <c r="BA40" s="78">
        <f t="shared" ca="1" si="8"/>
        <v>2279.4431400000008</v>
      </c>
      <c r="BB40" s="20"/>
      <c r="BC40" s="20">
        <v>45</v>
      </c>
      <c r="BD40" s="9" t="s">
        <v>466</v>
      </c>
    </row>
    <row r="41" spans="1:56" s="9" customFormat="1" ht="11.25" customHeight="1" x14ac:dyDescent="0.15">
      <c r="A41" s="55">
        <v>40</v>
      </c>
      <c r="B41" s="55" t="s">
        <v>462</v>
      </c>
      <c r="C41" s="52" t="s">
        <v>71</v>
      </c>
      <c r="D41" s="52"/>
      <c r="E41" s="53" t="s">
        <v>70</v>
      </c>
      <c r="F41" s="124">
        <v>101</v>
      </c>
      <c r="G41" s="129">
        <f ca="1">INT((F41*Valores!$C$2*100)+0.5)/100</f>
        <v>518.6</v>
      </c>
      <c r="H41" s="114">
        <v>2548</v>
      </c>
      <c r="I41" s="80">
        <f ca="1">INT((H41*Valores!$C$2*100)+0.5)/100</f>
        <v>13083.22</v>
      </c>
      <c r="J41" s="146">
        <v>216</v>
      </c>
      <c r="K41" s="80">
        <f ca="1">INT((J41*Valores!$C$2*100)+0.5)/100</f>
        <v>1109.0999999999999</v>
      </c>
      <c r="L41" s="124">
        <v>0</v>
      </c>
      <c r="M41" s="80">
        <f ca="1">INT((L41*Valores!$C$2*100)+0.5)/100</f>
        <v>0</v>
      </c>
      <c r="N41" s="80">
        <f t="shared" ca="1" si="0"/>
        <v>0</v>
      </c>
      <c r="O41" s="80">
        <f t="shared" ca="1" si="1"/>
        <v>15849.61</v>
      </c>
      <c r="P41" s="81">
        <f>Valores!$C$16</f>
        <v>3165.05</v>
      </c>
      <c r="Q41" s="81">
        <f ca="1">Valores!$D$4</f>
        <v>2296.75</v>
      </c>
      <c r="R41" s="80">
        <v>0</v>
      </c>
      <c r="S41" s="82">
        <f>Valores!$C$43</f>
        <v>1138.69</v>
      </c>
      <c r="T41" s="80">
        <f>Valores!$C$23</f>
        <v>2221.56</v>
      </c>
      <c r="U41" s="80">
        <f t="shared" ca="1" si="2"/>
        <v>4443.12</v>
      </c>
      <c r="V41" s="80">
        <v>0</v>
      </c>
      <c r="W41" s="80">
        <v>0</v>
      </c>
      <c r="X41" s="115">
        <v>0</v>
      </c>
      <c r="Y41" s="80">
        <f ca="1">X41*Valores!$C$2</f>
        <v>0</v>
      </c>
      <c r="Z41" s="80">
        <v>0</v>
      </c>
      <c r="AA41" s="90">
        <f>Valores!$C$29</f>
        <v>131.68</v>
      </c>
      <c r="AB41" s="80">
        <f t="shared" ca="1" si="3"/>
        <v>0</v>
      </c>
      <c r="AC41" s="80">
        <f>Valores!$C$30</f>
        <v>131.68</v>
      </c>
      <c r="AD41" s="115">
        <v>0</v>
      </c>
      <c r="AE41" s="80">
        <f ca="1">INT(((AD41*Valores!$C$2)*100)+0.5)/100</f>
        <v>0</v>
      </c>
      <c r="AF41" s="80">
        <f>Valores!$C$51</f>
        <v>267.87</v>
      </c>
      <c r="AG41" s="80">
        <f>Valores!$C$52</f>
        <v>76.540000000000006</v>
      </c>
      <c r="AH41" s="80">
        <f ca="1">SUM(G41,I41,K41,M41,N41,O41,P41,Q41,R41,S41,U41,V41,W41,Y41,Z41,AA41,AB41,AC41,AE41,AF41,AG41)*Valores!$C$54</f>
        <v>0</v>
      </c>
      <c r="AI41" s="54">
        <f t="shared" ca="1" si="6"/>
        <v>42211.910000000011</v>
      </c>
      <c r="AJ41" s="81">
        <f>Valores!$C$35</f>
        <v>182.07</v>
      </c>
      <c r="AK41" s="82">
        <f>Valores!$C$9</f>
        <v>306.14</v>
      </c>
      <c r="AL41" s="90">
        <v>0</v>
      </c>
      <c r="AM41" s="82">
        <f ca="1">IF($G$4="SI",SUM(AK41+AL41),AK41)*Valores!$C$54</f>
        <v>0</v>
      </c>
      <c r="AN41" s="186">
        <f t="shared" ca="1" si="7"/>
        <v>488.21</v>
      </c>
      <c r="AO41" s="154">
        <f ca="1">AI41*-Valores!$C$56</f>
        <v>-5487.5483000000013</v>
      </c>
      <c r="AP41" s="154">
        <f ca="1">AI41*-Valores!$C$57</f>
        <v>-211.05955000000006</v>
      </c>
      <c r="AQ41" s="81">
        <f ca="1">AI41*-Valores!$C$58</f>
        <v>-1899.5359500000004</v>
      </c>
      <c r="AR41" s="81">
        <f ca="1">AI41*-Valores!$C$59</f>
        <v>-1139.7215700000004</v>
      </c>
      <c r="AS41" s="81">
        <f ca="1">AI41*-Valores!$C$60</f>
        <v>-126.63573000000004</v>
      </c>
      <c r="AT41" s="54">
        <f t="shared" ca="1" si="4"/>
        <v>35101.976200000012</v>
      </c>
      <c r="AU41" s="54">
        <f t="shared" ca="1" si="5"/>
        <v>35735.154850000006</v>
      </c>
      <c r="AV41" s="81">
        <f ca="1">AI41*Valores!$C$61</f>
        <v>6753.9056000000019</v>
      </c>
      <c r="AW41" s="81">
        <f ca="1">AI41*Valores!$C$62</f>
        <v>1899.5359500000004</v>
      </c>
      <c r="AX41" s="81">
        <f ca="1">AI41*Valores!$C$64</f>
        <v>422.11910000000012</v>
      </c>
      <c r="AY41" s="81">
        <f ca="1">AI41*Valores!$C$65</f>
        <v>1477.4168500000005</v>
      </c>
      <c r="AZ41" s="81">
        <f ca="1">AI41*Valores!$C$66</f>
        <v>253.27146000000008</v>
      </c>
      <c r="BA41" s="81">
        <f t="shared" ca="1" si="8"/>
        <v>2279.4431400000008</v>
      </c>
      <c r="BB41" s="55"/>
      <c r="BC41" s="55">
        <v>45</v>
      </c>
      <c r="BD41" s="52" t="s">
        <v>466</v>
      </c>
    </row>
    <row r="42" spans="1:56" s="9" customFormat="1" ht="11.25" customHeight="1" x14ac:dyDescent="0.15">
      <c r="A42" s="20">
        <v>41</v>
      </c>
      <c r="B42" s="20"/>
      <c r="C42" s="9" t="s">
        <v>72</v>
      </c>
      <c r="E42" s="10" t="s">
        <v>73</v>
      </c>
      <c r="F42" s="123">
        <v>96</v>
      </c>
      <c r="G42" s="7">
        <f ca="1">INT((F42*Valores!$C$2*100)+0.5)/100</f>
        <v>492.93</v>
      </c>
      <c r="H42" s="113">
        <v>2475</v>
      </c>
      <c r="I42" s="77">
        <f ca="1">INT((H42*Valores!$C$2*100)+0.5)/100</f>
        <v>12708.38</v>
      </c>
      <c r="J42" s="145">
        <v>213</v>
      </c>
      <c r="K42" s="77">
        <f ca="1">INT((J42*Valores!$C$2*100)+0.5)/100</f>
        <v>1093.69</v>
      </c>
      <c r="L42" s="123">
        <v>0</v>
      </c>
      <c r="M42" s="77">
        <f ca="1">INT((L42*Valores!$C$2*100)+0.5)/100</f>
        <v>0</v>
      </c>
      <c r="N42" s="77">
        <f t="shared" ca="1" si="0"/>
        <v>0</v>
      </c>
      <c r="O42" s="77">
        <f t="shared" ca="1" si="1"/>
        <v>15054.13</v>
      </c>
      <c r="P42" s="78">
        <f>Valores!$C$16</f>
        <v>3165.05</v>
      </c>
      <c r="Q42" s="78">
        <f ca="1">Valores!$D$4</f>
        <v>2296.75</v>
      </c>
      <c r="R42" s="77">
        <v>0</v>
      </c>
      <c r="S42" s="79">
        <f>Valores!$C$42</f>
        <v>759.13</v>
      </c>
      <c r="T42" s="77">
        <f>Valores!$C$23</f>
        <v>2221.56</v>
      </c>
      <c r="U42" s="77">
        <f t="shared" ca="1" si="2"/>
        <v>4443.12</v>
      </c>
      <c r="V42" s="77">
        <v>0</v>
      </c>
      <c r="W42" s="77">
        <v>0</v>
      </c>
      <c r="X42" s="116">
        <v>0</v>
      </c>
      <c r="Y42" s="77">
        <f ca="1">X42*Valores!$C$2</f>
        <v>0</v>
      </c>
      <c r="Z42" s="77">
        <v>0</v>
      </c>
      <c r="AA42" s="89">
        <f>Valores!$C$29</f>
        <v>131.68</v>
      </c>
      <c r="AB42" s="77">
        <f t="shared" ca="1" si="3"/>
        <v>0</v>
      </c>
      <c r="AC42" s="77">
        <f>Valores!$C$30</f>
        <v>131.68</v>
      </c>
      <c r="AD42" s="116">
        <v>0</v>
      </c>
      <c r="AE42" s="77">
        <f ca="1">INT(((AD42*Valores!$C$2)*100)+0.5)/100</f>
        <v>0</v>
      </c>
      <c r="AF42" s="77">
        <f>Valores!$C$51</f>
        <v>267.87</v>
      </c>
      <c r="AG42" s="77">
        <f>Valores!$C$52</f>
        <v>76.540000000000006</v>
      </c>
      <c r="AH42" s="77">
        <f ca="1">SUM(G42,I42,K42,M42,N42,O42,P42,Q42,R42,S42,U42,V42,W42,Y42,Z42,AA42,AB42,AC42,AE42,AF42,AG42)*Valores!$C$54</f>
        <v>0</v>
      </c>
      <c r="AI42" s="15">
        <f t="shared" ca="1" si="6"/>
        <v>40620.949999999997</v>
      </c>
      <c r="AJ42" s="78">
        <f>Valores!$C$35</f>
        <v>182.07</v>
      </c>
      <c r="AK42" s="79">
        <f>Valores!$C$8</f>
        <v>204.1</v>
      </c>
      <c r="AL42" s="89">
        <v>112.25</v>
      </c>
      <c r="AM42" s="79">
        <f ca="1">IF($G$4="SI",SUM(AK42+AL42),AK42)*Valores!$C$54</f>
        <v>0</v>
      </c>
      <c r="AN42" s="12">
        <f t="shared" ca="1" si="7"/>
        <v>498.41999999999996</v>
      </c>
      <c r="AO42" s="153">
        <f ca="1">AI42*-Valores!$C$56</f>
        <v>-5280.7235000000001</v>
      </c>
      <c r="AP42" s="153">
        <f ca="1">AI42*-Valores!$C$57</f>
        <v>-203.10475</v>
      </c>
      <c r="AQ42" s="78">
        <f ca="1">AI42*-Valores!$C$58</f>
        <v>-1827.9427499999997</v>
      </c>
      <c r="AR42" s="78">
        <f ca="1">AI42*-Valores!$C$59</f>
        <v>-1096.7656500000001</v>
      </c>
      <c r="AS42" s="78">
        <f ca="1">AI42*-Valores!$C$60</f>
        <v>-121.86284999999999</v>
      </c>
      <c r="AT42" s="15">
        <f t="shared" ca="1" si="4"/>
        <v>33807.598999999995</v>
      </c>
      <c r="AU42" s="15">
        <f t="shared" ca="1" si="5"/>
        <v>34416.913249999998</v>
      </c>
      <c r="AV42" s="78">
        <f ca="1">AI42*Valores!$C$61</f>
        <v>6499.3519999999999</v>
      </c>
      <c r="AW42" s="78">
        <f ca="1">AI42*Valores!$C$62</f>
        <v>1827.9427499999997</v>
      </c>
      <c r="AX42" s="78">
        <f ca="1">AI42*Valores!$C$64</f>
        <v>406.20949999999999</v>
      </c>
      <c r="AY42" s="78">
        <f ca="1">AI42*Valores!$C$65</f>
        <v>1421.73325</v>
      </c>
      <c r="AZ42" s="78">
        <f ca="1">AI42*Valores!$C$66</f>
        <v>243.72569999999999</v>
      </c>
      <c r="BA42" s="78">
        <f t="shared" ca="1" si="8"/>
        <v>2193.5313000000001</v>
      </c>
      <c r="BB42" s="20"/>
      <c r="BC42" s="20">
        <v>45</v>
      </c>
      <c r="BD42" s="9" t="s">
        <v>467</v>
      </c>
    </row>
    <row r="43" spans="1:56" s="9" customFormat="1" ht="11.25" customHeight="1" x14ac:dyDescent="0.15">
      <c r="A43" s="20">
        <v>42</v>
      </c>
      <c r="B43" s="20"/>
      <c r="C43" s="9" t="s">
        <v>74</v>
      </c>
      <c r="E43" s="10" t="s">
        <v>75</v>
      </c>
      <c r="F43" s="123">
        <v>72</v>
      </c>
      <c r="G43" s="7">
        <f ca="1">INT((F43*Valores!$C$2*100)+0.5)/100</f>
        <v>369.7</v>
      </c>
      <c r="H43" s="113">
        <v>2471</v>
      </c>
      <c r="I43" s="77">
        <f ca="1">INT((H43*Valores!$C$2*100)+0.5)/100</f>
        <v>12687.84</v>
      </c>
      <c r="J43" s="145">
        <v>199</v>
      </c>
      <c r="K43" s="77">
        <f ca="1">INT((J43*Valores!$C$2*100)+0.5)/100</f>
        <v>1021.81</v>
      </c>
      <c r="L43" s="123">
        <v>0</v>
      </c>
      <c r="M43" s="77">
        <f ca="1">INT((L43*Valores!$C$2*100)+0.5)/100</f>
        <v>0</v>
      </c>
      <c r="N43" s="77">
        <f t="shared" ca="1" si="0"/>
        <v>0</v>
      </c>
      <c r="O43" s="77">
        <f t="shared" ca="1" si="1"/>
        <v>14838.48</v>
      </c>
      <c r="P43" s="78">
        <f>Valores!$C$16</f>
        <v>3165.05</v>
      </c>
      <c r="Q43" s="78">
        <f ca="1">Valores!$D$4</f>
        <v>2296.75</v>
      </c>
      <c r="R43" s="77">
        <v>0</v>
      </c>
      <c r="S43" s="79">
        <f>Valores!$C$42</f>
        <v>759.13</v>
      </c>
      <c r="T43" s="77">
        <f>Valores!$C$23</f>
        <v>2221.56</v>
      </c>
      <c r="U43" s="77">
        <f t="shared" ca="1" si="2"/>
        <v>4443.12</v>
      </c>
      <c r="V43" s="77">
        <v>0</v>
      </c>
      <c r="W43" s="77">
        <v>0</v>
      </c>
      <c r="X43" s="116">
        <v>0</v>
      </c>
      <c r="Y43" s="77">
        <f ca="1">X43*Valores!$C$2</f>
        <v>0</v>
      </c>
      <c r="Z43" s="77">
        <v>0</v>
      </c>
      <c r="AA43" s="89">
        <f>Valores!$C$29</f>
        <v>131.68</v>
      </c>
      <c r="AB43" s="77">
        <f t="shared" ca="1" si="3"/>
        <v>0</v>
      </c>
      <c r="AC43" s="77">
        <f>Valores!$C$30</f>
        <v>131.68</v>
      </c>
      <c r="AD43" s="116">
        <v>0</v>
      </c>
      <c r="AE43" s="77">
        <f ca="1">INT(((AD43*Valores!$C$2)*100)+0.5)/100</f>
        <v>0</v>
      </c>
      <c r="AF43" s="77">
        <f>Valores!$C$51</f>
        <v>267.87</v>
      </c>
      <c r="AG43" s="77">
        <f>Valores!$C$52</f>
        <v>76.540000000000006</v>
      </c>
      <c r="AH43" s="77">
        <f ca="1">SUM(G43,I43,K43,M43,N43,O43,P43,Q43,R43,S43,U43,V43,W43,Y43,Z43,AA43,AB43,AC43,AE43,AF43,AG43)*Valores!$C$54</f>
        <v>0</v>
      </c>
      <c r="AI43" s="15">
        <f t="shared" ca="1" si="6"/>
        <v>40189.650000000009</v>
      </c>
      <c r="AJ43" s="78">
        <f>Valores!$C$35</f>
        <v>182.07</v>
      </c>
      <c r="AK43" s="79">
        <f>Valores!$C$8</f>
        <v>204.1</v>
      </c>
      <c r="AL43" s="89">
        <v>0</v>
      </c>
      <c r="AM43" s="79">
        <f ca="1">IF($G$4="SI",SUM(AK43+AL43),AK43)*Valores!$C$54</f>
        <v>0</v>
      </c>
      <c r="AN43" s="12">
        <f t="shared" ca="1" si="7"/>
        <v>386.16999999999996</v>
      </c>
      <c r="AO43" s="153">
        <f ca="1">AI43*-Valores!$C$56</f>
        <v>-5224.6545000000015</v>
      </c>
      <c r="AP43" s="153">
        <f ca="1">AI43*-Valores!$C$57</f>
        <v>-200.94825000000006</v>
      </c>
      <c r="AQ43" s="78">
        <f ca="1">AI43*-Valores!$C$58</f>
        <v>-1808.5342500000004</v>
      </c>
      <c r="AR43" s="78">
        <f ca="1">AI43*-Valores!$C$59</f>
        <v>-1085.1205500000003</v>
      </c>
      <c r="AS43" s="78">
        <f ca="1">AI43*-Valores!$C$60</f>
        <v>-120.56895000000003</v>
      </c>
      <c r="AT43" s="15">
        <f t="shared" ca="1" si="4"/>
        <v>33341.683000000005</v>
      </c>
      <c r="AU43" s="15">
        <f t="shared" ca="1" si="5"/>
        <v>33944.527750000001</v>
      </c>
      <c r="AV43" s="78">
        <f ca="1">AI43*Valores!$C$61</f>
        <v>6430.3440000000019</v>
      </c>
      <c r="AW43" s="78">
        <f ca="1">AI43*Valores!$C$62</f>
        <v>1808.5342500000004</v>
      </c>
      <c r="AX43" s="78">
        <f ca="1">AI43*Valores!$C$64</f>
        <v>401.89650000000012</v>
      </c>
      <c r="AY43" s="78">
        <f ca="1">AI43*Valores!$C$65</f>
        <v>1406.6377500000006</v>
      </c>
      <c r="AZ43" s="78">
        <f ca="1">AI43*Valores!$C$66</f>
        <v>241.13790000000006</v>
      </c>
      <c r="BA43" s="78">
        <f t="shared" ca="1" si="8"/>
        <v>2170.2411000000006</v>
      </c>
      <c r="BB43" s="20"/>
      <c r="BC43" s="20">
        <v>45</v>
      </c>
      <c r="BD43" s="9" t="s">
        <v>467</v>
      </c>
    </row>
    <row r="44" spans="1:56" s="9" customFormat="1" ht="11.25" customHeight="1" x14ac:dyDescent="0.15">
      <c r="A44" s="20">
        <v>43</v>
      </c>
      <c r="B44" s="20"/>
      <c r="C44" s="9" t="s">
        <v>502</v>
      </c>
      <c r="E44" s="10" t="s">
        <v>358</v>
      </c>
      <c r="F44" s="123">
        <f ca="1">F38</f>
        <v>85</v>
      </c>
      <c r="G44" s="7">
        <f ca="1">INT((F44*Valores!$C$2*100)+0.5)/100</f>
        <v>436.45</v>
      </c>
      <c r="H44" s="113">
        <f ca="1">H38</f>
        <v>3498</v>
      </c>
      <c r="I44" s="77">
        <f ca="1">INT((H44*Valores!$C$2*100)+0.5)/100</f>
        <v>17961.18</v>
      </c>
      <c r="J44" s="145">
        <f ca="1">J38</f>
        <v>1209</v>
      </c>
      <c r="K44" s="77">
        <f ca="1">INT((J44*Valores!$C$2*100)+0.5)/100</f>
        <v>6207.85</v>
      </c>
      <c r="L44" s="120">
        <v>0</v>
      </c>
      <c r="M44" s="77">
        <f ca="1">INT((L44*Valores!$C$2*100)+0.5)/100</f>
        <v>0</v>
      </c>
      <c r="N44" s="77">
        <f t="shared" ca="1" si="0"/>
        <v>0</v>
      </c>
      <c r="O44" s="77">
        <f t="shared" ca="1" si="1"/>
        <v>25744.170000000002</v>
      </c>
      <c r="P44" s="78">
        <f ca="1">P38</f>
        <v>5991.43</v>
      </c>
      <c r="Q44" s="78">
        <f ca="1">Q38</f>
        <v>2296.75</v>
      </c>
      <c r="R44" s="61">
        <v>0</v>
      </c>
      <c r="S44" s="61">
        <f ca="1">S38</f>
        <v>1138.69</v>
      </c>
      <c r="T44" s="61">
        <f ca="1">T38</f>
        <v>2221.56</v>
      </c>
      <c r="U44" s="77">
        <f t="shared" ca="1" si="2"/>
        <v>4443.12</v>
      </c>
      <c r="V44" s="77">
        <v>0</v>
      </c>
      <c r="W44" s="77">
        <v>0</v>
      </c>
      <c r="X44" s="116">
        <v>0</v>
      </c>
      <c r="Y44" s="77">
        <f ca="1">X44*Valores!$C$2</f>
        <v>0</v>
      </c>
      <c r="Z44" s="77">
        <v>0</v>
      </c>
      <c r="AA44" s="61">
        <f>Valores!$C$29</f>
        <v>131.68</v>
      </c>
      <c r="AB44" s="77">
        <f t="shared" ca="1" si="3"/>
        <v>0</v>
      </c>
      <c r="AC44" s="61">
        <f>Valores!$C$30</f>
        <v>131.68</v>
      </c>
      <c r="AD44" s="116">
        <v>0</v>
      </c>
      <c r="AE44" s="78">
        <f ca="1">INT(((AD44*Valores!$C$2)*100)+0.5)/100</f>
        <v>0</v>
      </c>
      <c r="AF44" s="78">
        <f>Valores!$C$51</f>
        <v>267.87</v>
      </c>
      <c r="AG44" s="78">
        <f>Valores!$C$52</f>
        <v>76.540000000000006</v>
      </c>
      <c r="AH44" s="78">
        <f ca="1">SUM(G44,I44,K44,M44,N44,O44,P44,Q44,R44,S44,U44,V44,W44,Y44,Z44,AA44,AB44,AC44,AE44,AF44,AG44)*Valores!$C$54</f>
        <v>0</v>
      </c>
      <c r="AI44" s="15">
        <f t="shared" ca="1" si="6"/>
        <v>64827.410000000018</v>
      </c>
      <c r="AJ44" s="78">
        <f>Valores!$C$35</f>
        <v>182.07</v>
      </c>
      <c r="AK44" s="79">
        <f ca="1">AK38</f>
        <v>306.14</v>
      </c>
      <c r="AL44" s="89">
        <v>224.5</v>
      </c>
      <c r="AM44" s="79">
        <f ca="1">IF($G$4="SI",SUM(AK44+AL44),AK44)*Valores!$C$54</f>
        <v>0</v>
      </c>
      <c r="AN44" s="12">
        <f t="shared" ca="1" si="7"/>
        <v>712.71</v>
      </c>
      <c r="AO44" s="153">
        <f ca="1">AI44*-Valores!$C$56</f>
        <v>-8427.5633000000034</v>
      </c>
      <c r="AP44" s="153">
        <f ca="1">AI44*-Valores!$C$57</f>
        <v>-324.1370500000001</v>
      </c>
      <c r="AQ44" s="78">
        <f ca="1">AI44*-Valores!$C$58</f>
        <v>-2917.2334500000006</v>
      </c>
      <c r="AR44" s="78">
        <f ca="1">AI44*-Valores!$C$59</f>
        <v>-1750.3400700000007</v>
      </c>
      <c r="AS44" s="78">
        <f ca="1">AI44*-Valores!$C$60</f>
        <v>-194.48223000000007</v>
      </c>
      <c r="AT44" s="15">
        <f t="shared" ca="1" si="4"/>
        <v>53871.186200000026</v>
      </c>
      <c r="AU44" s="15">
        <f t="shared" ca="1" si="5"/>
        <v>54843.597350000025</v>
      </c>
      <c r="AV44" s="78">
        <f ca="1">AI44*Valores!$C$61</f>
        <v>10372.385600000003</v>
      </c>
      <c r="AW44" s="78">
        <f ca="1">AI44*Valores!$C$62</f>
        <v>2917.2334500000006</v>
      </c>
      <c r="AX44" s="78">
        <f ca="1">AI44*Valores!$C$64</f>
        <v>648.2741000000002</v>
      </c>
      <c r="AY44" s="78">
        <f ca="1">AI44*Valores!$C$65</f>
        <v>2268.959350000001</v>
      </c>
      <c r="AZ44" s="78">
        <f ca="1">AI44*Valores!$C$66</f>
        <v>388.96446000000014</v>
      </c>
      <c r="BA44" s="78">
        <f t="shared" ca="1" si="8"/>
        <v>3500.6801400000013</v>
      </c>
      <c r="BB44" s="20"/>
      <c r="BC44" s="20">
        <v>45</v>
      </c>
      <c r="BD44" s="9" t="s">
        <v>466</v>
      </c>
    </row>
    <row r="45" spans="1:56" s="9" customFormat="1" ht="11.25" customHeight="1" x14ac:dyDescent="0.15">
      <c r="A45" s="20">
        <v>44</v>
      </c>
      <c r="B45" s="20"/>
      <c r="C45" s="9" t="s">
        <v>503</v>
      </c>
      <c r="E45" s="10" t="s">
        <v>359</v>
      </c>
      <c r="F45" s="123">
        <f ca="1">F87+F305</f>
        <v>518</v>
      </c>
      <c r="G45" s="7">
        <f ca="1">INT((F45*Valores!$C$2*100)+0.5)/100</f>
        <v>2659.77</v>
      </c>
      <c r="H45" s="113">
        <f ca="1">H87+H305</f>
        <v>1997</v>
      </c>
      <c r="I45" s="77">
        <f ca="1">INT((H45*Valores!$C$2*100)+0.5)/100</f>
        <v>10254</v>
      </c>
      <c r="J45" s="147">
        <v>0</v>
      </c>
      <c r="K45" s="77">
        <f ca="1">INT((J45*Valores!$C$2*100)+0.5)/100</f>
        <v>0</v>
      </c>
      <c r="L45" s="120">
        <v>0</v>
      </c>
      <c r="M45" s="77">
        <f ca="1">INT((L45*Valores!$C$2*100)+0.5)/100</f>
        <v>0</v>
      </c>
      <c r="N45" s="77">
        <f t="shared" ca="1" si="0"/>
        <v>0</v>
      </c>
      <c r="O45" s="77">
        <f t="shared" ca="1" si="1"/>
        <v>13831.1</v>
      </c>
      <c r="P45" s="78">
        <f t="shared" ref="P45:U45" ca="1" si="11">P87+P305</f>
        <v>3165.05</v>
      </c>
      <c r="Q45" s="78">
        <f t="shared" ca="1" si="11"/>
        <v>2296.75</v>
      </c>
      <c r="R45" s="61">
        <f t="shared" ca="1" si="11"/>
        <v>2298.92</v>
      </c>
      <c r="S45" s="61">
        <f ca="1">S87+S305</f>
        <v>917.32999999999993</v>
      </c>
      <c r="T45" s="61">
        <f t="shared" ca="1" si="11"/>
        <v>2221.56</v>
      </c>
      <c r="U45" s="78">
        <f t="shared" ca="1" si="11"/>
        <v>4443.12</v>
      </c>
      <c r="V45" s="77">
        <v>0</v>
      </c>
      <c r="W45" s="77">
        <v>0</v>
      </c>
      <c r="X45" s="116">
        <v>0</v>
      </c>
      <c r="Y45" s="77">
        <f ca="1">X45*Valores!$C$2</f>
        <v>0</v>
      </c>
      <c r="Z45" s="77">
        <v>0</v>
      </c>
      <c r="AA45" s="78">
        <f>Valores!$C$29</f>
        <v>131.68</v>
      </c>
      <c r="AB45" s="77">
        <f t="shared" ca="1" si="3"/>
        <v>0</v>
      </c>
      <c r="AC45" s="78">
        <f>Valores!$C$30</f>
        <v>131.68</v>
      </c>
      <c r="AD45" s="116">
        <v>0</v>
      </c>
      <c r="AE45" s="77">
        <f ca="1">INT(((AD45*Valores!$C$2)*100)+0.5)/100</f>
        <v>0</v>
      </c>
      <c r="AF45" s="77">
        <f>Valores!$C$51</f>
        <v>267.87</v>
      </c>
      <c r="AG45" s="77">
        <f>Valores!$C$52</f>
        <v>76.540000000000006</v>
      </c>
      <c r="AH45" s="77">
        <f ca="1">SUM(G45,I45,K45,M45,N45,O45,P45,Q45,R45,S45,U45,V45,W45,Y45,Z45,AA45,AB45,AC45,AE45,AF45,AG45)*Valores!$C$54</f>
        <v>0</v>
      </c>
      <c r="AI45" s="15">
        <f t="shared" ca="1" si="6"/>
        <v>40473.810000000012</v>
      </c>
      <c r="AJ45" s="78">
        <f>Valores!$C$35</f>
        <v>182.07</v>
      </c>
      <c r="AK45" s="78">
        <f ca="1">AK87+AK305</f>
        <v>246.64999999999998</v>
      </c>
      <c r="AL45" s="78">
        <f ca="1">AL87+AL305</f>
        <v>112.25</v>
      </c>
      <c r="AM45" s="79">
        <f ca="1">IF($G$4="SI",SUM(AK45+AL45),AK45)*Valores!$C$54</f>
        <v>0</v>
      </c>
      <c r="AN45" s="12">
        <f t="shared" ca="1" si="7"/>
        <v>540.97</v>
      </c>
      <c r="AO45" s="153">
        <f ca="1">AI45*-Valores!$C$56</f>
        <v>-5261.5953000000018</v>
      </c>
      <c r="AP45" s="153">
        <f ca="1">AI45*-Valores!$C$57</f>
        <v>-202.36905000000007</v>
      </c>
      <c r="AQ45" s="78">
        <f ca="1">AI45*-Valores!$C$58</f>
        <v>-1821.3214500000006</v>
      </c>
      <c r="AR45" s="78">
        <f ca="1">AI45*-Valores!$C$59</f>
        <v>-1092.7928700000004</v>
      </c>
      <c r="AS45" s="78">
        <f ca="1">AI45*-Valores!$C$60</f>
        <v>-121.42143000000004</v>
      </c>
      <c r="AT45" s="15">
        <f t="shared" ca="1" si="4"/>
        <v>33729.494200000008</v>
      </c>
      <c r="AU45" s="15">
        <f t="shared" ca="1" si="5"/>
        <v>34336.601350000012</v>
      </c>
      <c r="AV45" s="78">
        <f ca="1">AI45*Valores!$C$61</f>
        <v>6475.8096000000023</v>
      </c>
      <c r="AW45" s="78">
        <f ca="1">AI45*Valores!$C$62</f>
        <v>1821.3214500000006</v>
      </c>
      <c r="AX45" s="78">
        <f ca="1">AI45*Valores!$C$64</f>
        <v>404.73810000000014</v>
      </c>
      <c r="AY45" s="78">
        <f ca="1">AI45*Valores!$C$65</f>
        <v>1416.5833500000006</v>
      </c>
      <c r="AZ45" s="78">
        <f ca="1">AI45*Valores!$C$66</f>
        <v>242.84286000000009</v>
      </c>
      <c r="BA45" s="78">
        <f t="shared" ca="1" si="8"/>
        <v>2185.5857400000009</v>
      </c>
      <c r="BB45" s="20"/>
      <c r="BC45" s="20"/>
      <c r="BD45" s="9" t="s">
        <v>466</v>
      </c>
    </row>
    <row r="46" spans="1:56" s="9" customFormat="1" ht="11.25" customHeight="1" x14ac:dyDescent="0.15">
      <c r="A46" s="55">
        <v>45</v>
      </c>
      <c r="B46" s="55" t="s">
        <v>462</v>
      </c>
      <c r="C46" s="52" t="s">
        <v>504</v>
      </c>
      <c r="D46" s="52"/>
      <c r="E46" s="53" t="s">
        <v>360</v>
      </c>
      <c r="F46" s="124">
        <f ca="1">F54+F239</f>
        <v>572</v>
      </c>
      <c r="G46" s="129">
        <f ca="1">INT((F46*Valores!$C$2*100)+0.5)/100</f>
        <v>2937.05</v>
      </c>
      <c r="H46" s="133">
        <f ca="1">H54+H239</f>
        <v>2686</v>
      </c>
      <c r="I46" s="80">
        <f ca="1">INT((H46*Valores!$C$2*100)+0.5)/100</f>
        <v>13791.8</v>
      </c>
      <c r="J46" s="148">
        <v>0</v>
      </c>
      <c r="K46" s="80">
        <f ca="1">INT((J46*Valores!$C$2*100)+0.5)/100</f>
        <v>0</v>
      </c>
      <c r="L46" s="121">
        <v>0</v>
      </c>
      <c r="M46" s="80">
        <f ca="1">INT((L46*Valores!$C$2*100)+0.5)/100</f>
        <v>0</v>
      </c>
      <c r="N46" s="80">
        <f t="shared" ca="1" si="0"/>
        <v>0</v>
      </c>
      <c r="O46" s="80">
        <f t="shared" ca="1" si="1"/>
        <v>17677.82</v>
      </c>
      <c r="P46" s="80">
        <f ca="1">P54+P239</f>
        <v>3853.9700000000003</v>
      </c>
      <c r="Q46" s="81">
        <f ca="1">Valores!$D$4</f>
        <v>2296.75</v>
      </c>
      <c r="R46" s="80">
        <f ca="1">R54+R239</f>
        <v>2298.92</v>
      </c>
      <c r="S46" s="82">
        <f ca="1">S54+S239</f>
        <v>948.97</v>
      </c>
      <c r="T46" s="80">
        <f ca="1">T54+T239</f>
        <v>2500.14</v>
      </c>
      <c r="U46" s="80">
        <f t="shared" ref="U46:U112" ca="1" si="12">T46*(1+$I$2)</f>
        <v>5000.28</v>
      </c>
      <c r="V46" s="80">
        <v>0</v>
      </c>
      <c r="W46" s="80">
        <v>0</v>
      </c>
      <c r="X46" s="115">
        <v>0</v>
      </c>
      <c r="Y46" s="80">
        <f ca="1">X46*Valores!$C$2</f>
        <v>0</v>
      </c>
      <c r="Z46" s="80">
        <v>0</v>
      </c>
      <c r="AA46" s="80">
        <f ca="1">AA54+AA239</f>
        <v>163.36000000000001</v>
      </c>
      <c r="AB46" s="80">
        <f t="shared" ca="1" si="3"/>
        <v>0</v>
      </c>
      <c r="AC46" s="80">
        <f>Valores!$C$30</f>
        <v>131.68</v>
      </c>
      <c r="AD46" s="115">
        <v>0</v>
      </c>
      <c r="AE46" s="80">
        <f ca="1">INT(((AD46*Valores!$C$2)*100)+0.5)/100</f>
        <v>0</v>
      </c>
      <c r="AF46" s="90">
        <f ca="1">AF54+AF239</f>
        <v>375.01800000000003</v>
      </c>
      <c r="AG46" s="90">
        <f ca="1">AG54+AG239</f>
        <v>107.15600000000001</v>
      </c>
      <c r="AH46" s="90">
        <f ca="1">SUM(G46,I46,K46,M46,N46,O46,P46,Q46,R46,S46,U46,V46,W46,Y46,Z46,AA46,AB46,AC46,AE46,AF46,AG46)*Valores!$C$54</f>
        <v>0</v>
      </c>
      <c r="AI46" s="54">
        <f t="shared" ca="1" si="6"/>
        <v>49582.774000000005</v>
      </c>
      <c r="AJ46" s="90">
        <f ca="1">AJ54+AJ239</f>
        <v>254.85</v>
      </c>
      <c r="AK46" s="82">
        <f ca="1">AK54+AK239</f>
        <v>255.16</v>
      </c>
      <c r="AL46" s="90">
        <v>0</v>
      </c>
      <c r="AM46" s="82">
        <f ca="1">IF($G$4="SI",SUM(AK46+AL46),AK46)*Valores!$C$54</f>
        <v>0</v>
      </c>
      <c r="AN46" s="186">
        <f t="shared" ca="1" si="7"/>
        <v>510.01</v>
      </c>
      <c r="AO46" s="154">
        <f ca="1">AI46*-Valores!$C$56</f>
        <v>-6445.7606200000009</v>
      </c>
      <c r="AP46" s="154">
        <f ca="1">AI46*-Valores!$C$57</f>
        <v>-247.91387000000003</v>
      </c>
      <c r="AQ46" s="81">
        <f ca="1">AI46*-Valores!$C$58</f>
        <v>-2231.2248300000001</v>
      </c>
      <c r="AR46" s="81">
        <f ca="1">AI46*-Valores!$C$59</f>
        <v>-1338.7348980000004</v>
      </c>
      <c r="AS46" s="81">
        <f ca="1">AI46*-Valores!$C$60</f>
        <v>-148.74832200000003</v>
      </c>
      <c r="AT46" s="54">
        <f t="shared" ca="1" si="4"/>
        <v>41167.88468000001</v>
      </c>
      <c r="AU46" s="54">
        <f t="shared" ca="1" si="5"/>
        <v>41911.626290000007</v>
      </c>
      <c r="AV46" s="81">
        <f ca="1">AI46*Valores!$C$61</f>
        <v>7933.243840000001</v>
      </c>
      <c r="AW46" s="81">
        <f ca="1">AI46*Valores!$C$62</f>
        <v>2231.2248300000001</v>
      </c>
      <c r="AX46" s="81">
        <f ca="1">AI46*Valores!$C$64</f>
        <v>495.82774000000006</v>
      </c>
      <c r="AY46" s="81">
        <f ca="1">AI46*Valores!$C$65</f>
        <v>1735.3970900000004</v>
      </c>
      <c r="AZ46" s="81">
        <f ca="1">AI46*Valores!$C$66</f>
        <v>297.49664400000006</v>
      </c>
      <c r="BA46" s="81">
        <f t="shared" ca="1" si="8"/>
        <v>2677.4697960000003</v>
      </c>
      <c r="BB46" s="55"/>
      <c r="BC46" s="55"/>
      <c r="BD46" s="52" t="s">
        <v>466</v>
      </c>
    </row>
    <row r="47" spans="1:56" s="9" customFormat="1" ht="11.25" customHeight="1" x14ac:dyDescent="0.15">
      <c r="A47" s="20">
        <v>46</v>
      </c>
      <c r="B47" s="20"/>
      <c r="C47" s="9" t="s">
        <v>76</v>
      </c>
      <c r="E47" s="10" t="s">
        <v>77</v>
      </c>
      <c r="F47" s="123">
        <v>108</v>
      </c>
      <c r="G47" s="7">
        <f ca="1">INT((F47*Valores!$C$2*100)+0.5)/100</f>
        <v>554.54999999999995</v>
      </c>
      <c r="H47" s="113">
        <v>2907</v>
      </c>
      <c r="I47" s="77">
        <f ca="1">INT((H47*Valores!$C$2*100)+0.5)/100</f>
        <v>14926.57</v>
      </c>
      <c r="J47" s="147">
        <v>0</v>
      </c>
      <c r="K47" s="77">
        <f ca="1">INT((J47*Valores!$C$2*100)+0.5)/100</f>
        <v>0</v>
      </c>
      <c r="L47" s="123">
        <v>0</v>
      </c>
      <c r="M47" s="77">
        <f ca="1">INT((L47*Valores!$C$2*100)+0.5)/100</f>
        <v>0</v>
      </c>
      <c r="N47" s="77">
        <f t="shared" ca="1" si="0"/>
        <v>0</v>
      </c>
      <c r="O47" s="77">
        <f t="shared" ca="1" si="1"/>
        <v>16240.249999999998</v>
      </c>
      <c r="P47" s="78">
        <f>Valores!$C$16</f>
        <v>3165.05</v>
      </c>
      <c r="Q47" s="78">
        <f ca="1">Valores!$D$4</f>
        <v>2296.75</v>
      </c>
      <c r="R47" s="61">
        <f>Valores!$C$26</f>
        <v>2298.92</v>
      </c>
      <c r="S47" s="87">
        <f>Valores!$C$42</f>
        <v>759.13</v>
      </c>
      <c r="T47" s="77">
        <f>Valores!$C$23</f>
        <v>2221.56</v>
      </c>
      <c r="U47" s="77">
        <f t="shared" ca="1" si="12"/>
        <v>4443.12</v>
      </c>
      <c r="V47" s="77">
        <v>0</v>
      </c>
      <c r="W47" s="77">
        <v>0</v>
      </c>
      <c r="X47" s="116">
        <v>0</v>
      </c>
      <c r="Y47" s="77">
        <f ca="1">X47*Valores!$C$2</f>
        <v>0</v>
      </c>
      <c r="Z47" s="77">
        <v>0</v>
      </c>
      <c r="AA47" s="89">
        <f>Valores!$C$29</f>
        <v>131.68</v>
      </c>
      <c r="AB47" s="77">
        <f t="shared" ca="1" si="3"/>
        <v>0</v>
      </c>
      <c r="AC47" s="77">
        <f>Valores!$C$30</f>
        <v>131.68</v>
      </c>
      <c r="AD47" s="116">
        <v>0</v>
      </c>
      <c r="AE47" s="77">
        <f ca="1">INT(((AD47*Valores!$C$2)*100)+0.5)/100</f>
        <v>0</v>
      </c>
      <c r="AF47" s="77">
        <f>Valores!$C$51</f>
        <v>267.87</v>
      </c>
      <c r="AG47" s="77">
        <f>Valores!$C$52</f>
        <v>76.540000000000006</v>
      </c>
      <c r="AH47" s="77">
        <f ca="1">SUM(G47,I47,K47,M47,N47,O47,P47,Q47,R47,S47,U47,V47,W47,Y47,Z47,AA47,AB47,AC47,AE47,AF47,AG47)*Valores!$C$54</f>
        <v>0</v>
      </c>
      <c r="AI47" s="15">
        <f t="shared" ca="1" si="6"/>
        <v>45292.11</v>
      </c>
      <c r="AJ47" s="78">
        <f>Valores!$C$35</f>
        <v>182.07</v>
      </c>
      <c r="AK47" s="79">
        <f>Valores!$C$8</f>
        <v>204.1</v>
      </c>
      <c r="AL47" s="89">
        <v>112.25</v>
      </c>
      <c r="AM47" s="79">
        <f ca="1">IF($G$4="SI",SUM(AK47+AL47),AK47)*Valores!$C$54</f>
        <v>0</v>
      </c>
      <c r="AN47" s="12">
        <f t="shared" ca="1" si="7"/>
        <v>498.41999999999996</v>
      </c>
      <c r="AO47" s="153">
        <f ca="1">AI47*-Valores!$C$56</f>
        <v>-5887.9742999999999</v>
      </c>
      <c r="AP47" s="153">
        <f ca="1">AI47*-Valores!$C$57</f>
        <v>-226.46055000000001</v>
      </c>
      <c r="AQ47" s="78">
        <f ca="1">AI47*-Valores!$C$58</f>
        <v>-2038.1449499999999</v>
      </c>
      <c r="AR47" s="78">
        <f ca="1">AI47*-Valores!$C$59</f>
        <v>-1222.8869700000002</v>
      </c>
      <c r="AS47" s="78">
        <f ca="1">AI47*-Valores!$C$60</f>
        <v>-135.87633</v>
      </c>
      <c r="AT47" s="15">
        <f t="shared" ca="1" si="4"/>
        <v>37637.950199999992</v>
      </c>
      <c r="AU47" s="15">
        <f t="shared" ca="1" si="5"/>
        <v>38317.331849999995</v>
      </c>
      <c r="AV47" s="78">
        <f ca="1">AI47*Valores!$C$61</f>
        <v>7246.7376000000004</v>
      </c>
      <c r="AW47" s="78">
        <f ca="1">AI47*Valores!$C$62</f>
        <v>2038.1449499999999</v>
      </c>
      <c r="AX47" s="78">
        <f ca="1">AI47*Valores!$C$64</f>
        <v>452.92110000000002</v>
      </c>
      <c r="AY47" s="78">
        <f ca="1">AI47*Valores!$C$65</f>
        <v>1585.2238500000001</v>
      </c>
      <c r="AZ47" s="78">
        <f ca="1">AI47*Valores!$C$66</f>
        <v>271.75265999999999</v>
      </c>
      <c r="BA47" s="78">
        <f t="shared" ca="1" si="8"/>
        <v>2445.7739400000005</v>
      </c>
      <c r="BB47" s="20"/>
      <c r="BC47" s="20">
        <v>30</v>
      </c>
      <c r="BD47" s="9" t="s">
        <v>467</v>
      </c>
    </row>
    <row r="48" spans="1:56" s="9" customFormat="1" ht="11.25" customHeight="1" x14ac:dyDescent="0.15">
      <c r="A48" s="20">
        <v>47</v>
      </c>
      <c r="B48" s="20"/>
      <c r="C48" s="9" t="s">
        <v>78</v>
      </c>
      <c r="E48" s="10" t="s">
        <v>79</v>
      </c>
      <c r="F48" s="123">
        <v>88</v>
      </c>
      <c r="G48" s="7">
        <f ca="1">INT((F48*Valores!$C$2*100)+0.5)/100</f>
        <v>451.85</v>
      </c>
      <c r="H48" s="113">
        <v>2622</v>
      </c>
      <c r="I48" s="77">
        <f ca="1">INT((H48*Valores!$C$2*100)+0.5)/100</f>
        <v>13463.18</v>
      </c>
      <c r="J48" s="147">
        <v>0</v>
      </c>
      <c r="K48" s="77">
        <f ca="1">INT((J48*Valores!$C$2*100)+0.5)/100</f>
        <v>0</v>
      </c>
      <c r="L48" s="120">
        <v>0</v>
      </c>
      <c r="M48" s="77">
        <f ca="1">INT((L48*Valores!$C$2*100)+0.5)/100</f>
        <v>0</v>
      </c>
      <c r="N48" s="77">
        <f t="shared" ca="1" si="0"/>
        <v>0</v>
      </c>
      <c r="O48" s="77">
        <f t="shared" ca="1" si="1"/>
        <v>14674.16</v>
      </c>
      <c r="P48" s="78">
        <f>Valores!$C$16</f>
        <v>3165.05</v>
      </c>
      <c r="Q48" s="78">
        <f ca="1">Valores!$D$4</f>
        <v>2296.75</v>
      </c>
      <c r="R48" s="61">
        <f>Valores!$C$26</f>
        <v>2298.92</v>
      </c>
      <c r="S48" s="87">
        <f>Valores!$C$42</f>
        <v>759.13</v>
      </c>
      <c r="T48" s="77">
        <f>Valores!$C$23</f>
        <v>2221.56</v>
      </c>
      <c r="U48" s="77">
        <f t="shared" ca="1" si="12"/>
        <v>4443.12</v>
      </c>
      <c r="V48" s="77">
        <v>0</v>
      </c>
      <c r="W48" s="77">
        <v>0</v>
      </c>
      <c r="X48" s="116">
        <v>0</v>
      </c>
      <c r="Y48" s="77">
        <f ca="1">X48*Valores!$C$2</f>
        <v>0</v>
      </c>
      <c r="Z48" s="77">
        <v>0</v>
      </c>
      <c r="AA48" s="89">
        <f>Valores!$C$29</f>
        <v>131.68</v>
      </c>
      <c r="AB48" s="77">
        <f t="shared" ca="1" si="3"/>
        <v>0</v>
      </c>
      <c r="AC48" s="77">
        <f>Valores!$C$30</f>
        <v>131.68</v>
      </c>
      <c r="AD48" s="116">
        <v>0</v>
      </c>
      <c r="AE48" s="77">
        <f ca="1">INT(((AD48*Valores!$C$2)*100)+0.5)/100</f>
        <v>0</v>
      </c>
      <c r="AF48" s="77">
        <f>Valores!$C$51</f>
        <v>267.87</v>
      </c>
      <c r="AG48" s="77">
        <f>Valores!$C$52</f>
        <v>76.540000000000006</v>
      </c>
      <c r="AH48" s="77">
        <f ca="1">SUM(G48,I48,K48,M48,N48,O48,P48,Q48,R48,S48,U48,V48,W48,Y48,Z48,AA48,AB48,AC48,AE48,AF48,AG48)*Valores!$C$54</f>
        <v>0</v>
      </c>
      <c r="AI48" s="15">
        <f t="shared" ca="1" si="6"/>
        <v>42159.930000000008</v>
      </c>
      <c r="AJ48" s="78">
        <f>Valores!$C$35</f>
        <v>182.07</v>
      </c>
      <c r="AK48" s="79">
        <f>Valores!$C$8</f>
        <v>204.1</v>
      </c>
      <c r="AL48" s="89">
        <v>112.25</v>
      </c>
      <c r="AM48" s="79">
        <f ca="1">IF($G$4="SI",SUM(AK48+AL48),AK48)*Valores!$C$54</f>
        <v>0</v>
      </c>
      <c r="AN48" s="12">
        <f t="shared" ca="1" si="7"/>
        <v>498.41999999999996</v>
      </c>
      <c r="AO48" s="153">
        <f ca="1">AI48*-Valores!$C$56</f>
        <v>-5480.7909000000009</v>
      </c>
      <c r="AP48" s="153">
        <f ca="1">AI48*-Valores!$C$57</f>
        <v>-210.79965000000004</v>
      </c>
      <c r="AQ48" s="78">
        <f ca="1">AI48*-Valores!$C$58</f>
        <v>-1897.1968500000003</v>
      </c>
      <c r="AR48" s="78">
        <f ca="1">AI48*-Valores!$C$59</f>
        <v>-1138.3181100000004</v>
      </c>
      <c r="AS48" s="78">
        <f ca="1">AI48*-Valores!$C$60</f>
        <v>-126.47979000000002</v>
      </c>
      <c r="AT48" s="15">
        <f t="shared" ca="1" si="4"/>
        <v>35069.562600000005</v>
      </c>
      <c r="AU48" s="15">
        <f t="shared" ca="1" si="5"/>
        <v>35701.961550000007</v>
      </c>
      <c r="AV48" s="78">
        <f ca="1">AI48*Valores!$C$61</f>
        <v>6745.5888000000014</v>
      </c>
      <c r="AW48" s="78">
        <f ca="1">AI48*Valores!$C$62</f>
        <v>1897.1968500000003</v>
      </c>
      <c r="AX48" s="78">
        <f ca="1">AI48*Valores!$C$64</f>
        <v>421.59930000000008</v>
      </c>
      <c r="AY48" s="78">
        <f ca="1">AI48*Valores!$C$65</f>
        <v>1475.5975500000004</v>
      </c>
      <c r="AZ48" s="78">
        <f ca="1">AI48*Valores!$C$66</f>
        <v>252.95958000000005</v>
      </c>
      <c r="BA48" s="78">
        <f t="shared" ca="1" si="8"/>
        <v>2276.6362200000008</v>
      </c>
      <c r="BB48" s="20"/>
      <c r="BC48" s="20">
        <v>30</v>
      </c>
      <c r="BD48" s="9" t="s">
        <v>467</v>
      </c>
    </row>
    <row r="49" spans="1:56" s="9" customFormat="1" ht="11.25" customHeight="1" x14ac:dyDescent="0.15">
      <c r="A49" s="20">
        <v>48</v>
      </c>
      <c r="B49" s="20"/>
      <c r="C49" s="9" t="s">
        <v>80</v>
      </c>
      <c r="E49" s="10" t="s">
        <v>81</v>
      </c>
      <c r="F49" s="123">
        <v>88</v>
      </c>
      <c r="G49" s="7">
        <f ca="1">INT((F49*Valores!$C$2*100)+0.5)/100</f>
        <v>451.85</v>
      </c>
      <c r="H49" s="113">
        <v>2622</v>
      </c>
      <c r="I49" s="77">
        <f ca="1">INT((H49*Valores!$C$2*100)+0.5)/100</f>
        <v>13463.18</v>
      </c>
      <c r="J49" s="147">
        <v>0</v>
      </c>
      <c r="K49" s="77">
        <f ca="1">INT((J49*Valores!$C$2*100)+0.5)/100</f>
        <v>0</v>
      </c>
      <c r="L49" s="120">
        <v>0</v>
      </c>
      <c r="M49" s="77">
        <f ca="1">INT((L49*Valores!$C$2*100)+0.5)/100</f>
        <v>0</v>
      </c>
      <c r="N49" s="77">
        <f t="shared" ca="1" si="0"/>
        <v>0</v>
      </c>
      <c r="O49" s="77">
        <f t="shared" ca="1" si="1"/>
        <v>14674.16</v>
      </c>
      <c r="P49" s="78">
        <f>Valores!$C$16</f>
        <v>3165.05</v>
      </c>
      <c r="Q49" s="78">
        <f ca="1">Valores!$D$4</f>
        <v>2296.75</v>
      </c>
      <c r="R49" s="77">
        <f>Valores!$C$26</f>
        <v>2298.92</v>
      </c>
      <c r="S49" s="79">
        <f>Valores!$C$42</f>
        <v>759.13</v>
      </c>
      <c r="T49" s="77">
        <f>Valores!$C$23</f>
        <v>2221.56</v>
      </c>
      <c r="U49" s="77">
        <f t="shared" ca="1" si="12"/>
        <v>4443.12</v>
      </c>
      <c r="V49" s="77">
        <v>0</v>
      </c>
      <c r="W49" s="77">
        <v>0</v>
      </c>
      <c r="X49" s="116">
        <v>0</v>
      </c>
      <c r="Y49" s="77">
        <f ca="1">X49*Valores!$C$2</f>
        <v>0</v>
      </c>
      <c r="Z49" s="77">
        <v>0</v>
      </c>
      <c r="AA49" s="89">
        <f>Valores!$C$29</f>
        <v>131.68</v>
      </c>
      <c r="AB49" s="77">
        <f t="shared" ca="1" si="3"/>
        <v>0</v>
      </c>
      <c r="AC49" s="77">
        <f>Valores!$C$30</f>
        <v>131.68</v>
      </c>
      <c r="AD49" s="116">
        <v>0</v>
      </c>
      <c r="AE49" s="77">
        <f ca="1">INT(((AD49*Valores!$C$2)*100)+0.5)/100</f>
        <v>0</v>
      </c>
      <c r="AF49" s="77">
        <f>Valores!$C$51</f>
        <v>267.87</v>
      </c>
      <c r="AG49" s="77">
        <f>Valores!$C$52</f>
        <v>76.540000000000006</v>
      </c>
      <c r="AH49" s="77">
        <f ca="1">SUM(G49,I49,K49,M49,N49,O49,P49,Q49,R49,S49,U49,V49,W49,Y49,Z49,AA49,AB49,AC49,AE49,AF49,AG49)*Valores!$C$54</f>
        <v>0</v>
      </c>
      <c r="AI49" s="15">
        <f t="shared" ca="1" si="6"/>
        <v>42159.930000000008</v>
      </c>
      <c r="AJ49" s="78">
        <f>Valores!$C$35</f>
        <v>182.07</v>
      </c>
      <c r="AK49" s="79">
        <f>Valores!$C$8</f>
        <v>204.1</v>
      </c>
      <c r="AL49" s="89">
        <v>112.25</v>
      </c>
      <c r="AM49" s="79">
        <f ca="1">IF($G$4="SI",SUM(AK49+AL49),AK49)*Valores!$C$54</f>
        <v>0</v>
      </c>
      <c r="AN49" s="12">
        <f t="shared" ca="1" si="7"/>
        <v>498.41999999999996</v>
      </c>
      <c r="AO49" s="153">
        <f ca="1">AI49*-Valores!$C$56</f>
        <v>-5480.7909000000009</v>
      </c>
      <c r="AP49" s="153">
        <f ca="1">AI49*-Valores!$C$57</f>
        <v>-210.79965000000004</v>
      </c>
      <c r="AQ49" s="78">
        <f ca="1">AI49*-Valores!$C$58</f>
        <v>-1897.1968500000003</v>
      </c>
      <c r="AR49" s="78">
        <f ca="1">AI49*-Valores!$C$59</f>
        <v>-1138.3181100000004</v>
      </c>
      <c r="AS49" s="78">
        <f ca="1">AI49*-Valores!$C$60</f>
        <v>-126.47979000000002</v>
      </c>
      <c r="AT49" s="15">
        <f t="shared" ca="1" si="4"/>
        <v>35069.562600000005</v>
      </c>
      <c r="AU49" s="15">
        <f t="shared" ca="1" si="5"/>
        <v>35701.961550000007</v>
      </c>
      <c r="AV49" s="78">
        <f ca="1">AI49*Valores!$C$61</f>
        <v>6745.5888000000014</v>
      </c>
      <c r="AW49" s="78">
        <f ca="1">AI49*Valores!$C$62</f>
        <v>1897.1968500000003</v>
      </c>
      <c r="AX49" s="78">
        <f ca="1">AI49*Valores!$C$64</f>
        <v>421.59930000000008</v>
      </c>
      <c r="AY49" s="78">
        <f ca="1">AI49*Valores!$C$65</f>
        <v>1475.5975500000004</v>
      </c>
      <c r="AZ49" s="78">
        <f ca="1">AI49*Valores!$C$66</f>
        <v>252.95958000000005</v>
      </c>
      <c r="BA49" s="78">
        <f t="shared" ca="1" si="8"/>
        <v>2276.6362200000008</v>
      </c>
      <c r="BB49" s="20"/>
      <c r="BC49" s="20">
        <v>30</v>
      </c>
      <c r="BD49" s="9" t="s">
        <v>467</v>
      </c>
    </row>
    <row r="50" spans="1:56" s="9" customFormat="1" ht="11.25" customHeight="1" x14ac:dyDescent="0.15">
      <c r="A50" s="20">
        <v>49</v>
      </c>
      <c r="B50" s="20"/>
      <c r="C50" s="9" t="s">
        <v>82</v>
      </c>
      <c r="E50" s="10" t="s">
        <v>83</v>
      </c>
      <c r="F50" s="123">
        <v>80</v>
      </c>
      <c r="G50" s="7">
        <f ca="1">INT((F50*Valores!$C$2*100)+0.5)/100</f>
        <v>410.78</v>
      </c>
      <c r="H50" s="113">
        <v>2278</v>
      </c>
      <c r="I50" s="77">
        <f ca="1">INT((H50*Valores!$C$2*100)+0.5)/100</f>
        <v>11696.85</v>
      </c>
      <c r="J50" s="147">
        <v>0</v>
      </c>
      <c r="K50" s="77">
        <f ca="1">INT((J50*Valores!$C$2*100)+0.5)/100</f>
        <v>0</v>
      </c>
      <c r="L50" s="120">
        <v>0</v>
      </c>
      <c r="M50" s="77">
        <f ca="1">INT((L50*Valores!$C$2*100)+0.5)/100</f>
        <v>0</v>
      </c>
      <c r="N50" s="77">
        <f t="shared" ca="1" si="0"/>
        <v>0</v>
      </c>
      <c r="O50" s="77">
        <f t="shared" ca="1" si="1"/>
        <v>12866.76</v>
      </c>
      <c r="P50" s="78">
        <f>Valores!$C$16</f>
        <v>3165.05</v>
      </c>
      <c r="Q50" s="78">
        <f ca="1">Valores!$D$4</f>
        <v>2296.75</v>
      </c>
      <c r="R50" s="61">
        <f>Valores!$C$26</f>
        <v>2298.92</v>
      </c>
      <c r="S50" s="87">
        <f>Valores!$C$42</f>
        <v>759.13</v>
      </c>
      <c r="T50" s="77">
        <f>Valores!$C$23</f>
        <v>2221.56</v>
      </c>
      <c r="U50" s="77">
        <f t="shared" ca="1" si="12"/>
        <v>4443.12</v>
      </c>
      <c r="V50" s="77">
        <v>0</v>
      </c>
      <c r="W50" s="77">
        <v>0</v>
      </c>
      <c r="X50" s="116">
        <v>0</v>
      </c>
      <c r="Y50" s="77">
        <f ca="1">X50*Valores!$C$2</f>
        <v>0</v>
      </c>
      <c r="Z50" s="77">
        <v>0</v>
      </c>
      <c r="AA50" s="89">
        <f>Valores!$C$29</f>
        <v>131.68</v>
      </c>
      <c r="AB50" s="77">
        <f t="shared" ca="1" si="3"/>
        <v>0</v>
      </c>
      <c r="AC50" s="77">
        <f>Valores!$C$30</f>
        <v>131.68</v>
      </c>
      <c r="AD50" s="116">
        <v>0</v>
      </c>
      <c r="AE50" s="77">
        <f ca="1">INT(((AD50*Valores!$C$2)*100)+0.5)/100</f>
        <v>0</v>
      </c>
      <c r="AF50" s="77">
        <f>Valores!$C$51</f>
        <v>267.87</v>
      </c>
      <c r="AG50" s="77">
        <f>Valores!$C$52</f>
        <v>76.540000000000006</v>
      </c>
      <c r="AH50" s="77">
        <f ca="1">SUM(G50,I50,K50,M50,N50,O50,P50,Q50,R50,S50,U50,V50,W50,Y50,Z50,AA50,AB50,AC50,AE50,AF50,AG50)*Valores!$C$54</f>
        <v>0</v>
      </c>
      <c r="AI50" s="15">
        <f t="shared" ca="1" si="6"/>
        <v>38545.130000000005</v>
      </c>
      <c r="AJ50" s="78">
        <f>Valores!$C$35</f>
        <v>182.07</v>
      </c>
      <c r="AK50" s="79">
        <f>Valores!$C$8</f>
        <v>204.1</v>
      </c>
      <c r="AL50" s="89">
        <v>112.25</v>
      </c>
      <c r="AM50" s="79">
        <f ca="1">IF($G$4="SI",SUM(AK50+AL50),AK50)*Valores!$C$54</f>
        <v>0</v>
      </c>
      <c r="AN50" s="12">
        <f t="shared" ca="1" si="7"/>
        <v>498.41999999999996</v>
      </c>
      <c r="AO50" s="153">
        <f ca="1">AI50*-Valores!$C$56</f>
        <v>-5010.8669000000009</v>
      </c>
      <c r="AP50" s="153">
        <f ca="1">AI50*-Valores!$C$57</f>
        <v>-192.72565000000003</v>
      </c>
      <c r="AQ50" s="78">
        <f ca="1">AI50*-Valores!$C$58</f>
        <v>-1734.5308500000001</v>
      </c>
      <c r="AR50" s="78">
        <f ca="1">AI50*-Valores!$C$59</f>
        <v>-1040.7185100000002</v>
      </c>
      <c r="AS50" s="78">
        <f ca="1">AI50*-Valores!$C$60</f>
        <v>-115.63539000000002</v>
      </c>
      <c r="AT50" s="15">
        <f t="shared" ca="1" si="4"/>
        <v>32105.426599999999</v>
      </c>
      <c r="AU50" s="15">
        <f t="shared" ca="1" si="5"/>
        <v>32683.603550000003</v>
      </c>
      <c r="AV50" s="78">
        <f ca="1">AI50*Valores!$C$61</f>
        <v>6167.220800000001</v>
      </c>
      <c r="AW50" s="78">
        <f ca="1">AI50*Valores!$C$62</f>
        <v>1734.5308500000001</v>
      </c>
      <c r="AX50" s="78">
        <f ca="1">AI50*Valores!$C$64</f>
        <v>385.45130000000006</v>
      </c>
      <c r="AY50" s="78">
        <f ca="1">AI50*Valores!$C$65</f>
        <v>1349.0795500000004</v>
      </c>
      <c r="AZ50" s="78">
        <f ca="1">AI50*Valores!$C$66</f>
        <v>231.27078000000003</v>
      </c>
      <c r="BA50" s="78">
        <f t="shared" ca="1" si="8"/>
        <v>2081.4370200000003</v>
      </c>
      <c r="BB50" s="20"/>
      <c r="BC50" s="20">
        <v>30</v>
      </c>
      <c r="BD50" s="9" t="s">
        <v>467</v>
      </c>
    </row>
    <row r="51" spans="1:56" s="9" customFormat="1" ht="11.25" customHeight="1" x14ac:dyDescent="0.15">
      <c r="A51" s="55">
        <v>50</v>
      </c>
      <c r="B51" s="55" t="s">
        <v>462</v>
      </c>
      <c r="C51" s="52" t="s">
        <v>84</v>
      </c>
      <c r="D51" s="52"/>
      <c r="E51" s="53" t="s">
        <v>85</v>
      </c>
      <c r="F51" s="124">
        <v>100</v>
      </c>
      <c r="G51" s="129">
        <f ca="1">INT((F51*Valores!$C$2*100)+0.5)/100</f>
        <v>513.47</v>
      </c>
      <c r="H51" s="114">
        <v>3620</v>
      </c>
      <c r="I51" s="80">
        <f ca="1">INT((H51*Valores!$C$2*100)+0.5)/100</f>
        <v>18587.61</v>
      </c>
      <c r="J51" s="148">
        <v>0</v>
      </c>
      <c r="K51" s="80">
        <f ca="1">INT((J51*Valores!$C$2*100)+0.5)/100</f>
        <v>0</v>
      </c>
      <c r="L51" s="121">
        <v>0</v>
      </c>
      <c r="M51" s="80">
        <f ca="1">INT((L51*Valores!$C$2*100)+0.5)/100</f>
        <v>0</v>
      </c>
      <c r="N51" s="80">
        <f t="shared" ca="1" si="0"/>
        <v>0</v>
      </c>
      <c r="O51" s="80">
        <f t="shared" ca="1" si="1"/>
        <v>20239.77</v>
      </c>
      <c r="P51" s="81">
        <f>Valores!$C$16</f>
        <v>3165.05</v>
      </c>
      <c r="Q51" s="81">
        <f ca="1">Valores!$D$4</f>
        <v>2296.75</v>
      </c>
      <c r="R51" s="85">
        <f>Valores!$C$26</f>
        <v>2298.92</v>
      </c>
      <c r="S51" s="88">
        <f>Valores!$C$43</f>
        <v>1138.69</v>
      </c>
      <c r="T51" s="80">
        <f>Valores!$C$23</f>
        <v>2221.56</v>
      </c>
      <c r="U51" s="80">
        <f t="shared" ca="1" si="12"/>
        <v>4443.12</v>
      </c>
      <c r="V51" s="80">
        <v>0</v>
      </c>
      <c r="W51" s="80">
        <v>0</v>
      </c>
      <c r="X51" s="115">
        <v>0</v>
      </c>
      <c r="Y51" s="80">
        <f ca="1">X51*Valores!$C$2</f>
        <v>0</v>
      </c>
      <c r="Z51" s="80">
        <v>0</v>
      </c>
      <c r="AA51" s="90">
        <f>Valores!$C$29</f>
        <v>131.68</v>
      </c>
      <c r="AB51" s="80">
        <f t="shared" ca="1" si="3"/>
        <v>0</v>
      </c>
      <c r="AC51" s="80">
        <f>Valores!$C$30</f>
        <v>131.68</v>
      </c>
      <c r="AD51" s="115">
        <v>0</v>
      </c>
      <c r="AE51" s="80">
        <f ca="1">INT(((AD51*Valores!$C$2)*100)+0.5)/100</f>
        <v>0</v>
      </c>
      <c r="AF51" s="80">
        <f>Valores!$C$51</f>
        <v>267.87</v>
      </c>
      <c r="AG51" s="80">
        <f>Valores!$C$52</f>
        <v>76.540000000000006</v>
      </c>
      <c r="AH51" s="80">
        <f ca="1">SUM(G51,I51,K51,M51,N51,O51,P51,Q51,R51,S51,U51,V51,W51,Y51,Z51,AA51,AB51,AC51,AE51,AF51,AG51)*Valores!$C$54</f>
        <v>0</v>
      </c>
      <c r="AI51" s="54">
        <f t="shared" ca="1" si="6"/>
        <v>53291.150000000016</v>
      </c>
      <c r="AJ51" s="81">
        <f>Valores!$C$35</f>
        <v>182.07</v>
      </c>
      <c r="AK51" s="82">
        <f>Valores!$C$9</f>
        <v>306.14</v>
      </c>
      <c r="AL51" s="90">
        <v>127.22</v>
      </c>
      <c r="AM51" s="82">
        <f ca="1">IF($G$4="SI",SUM(AK51+AL51),AK51)*Valores!$C$54</f>
        <v>0</v>
      </c>
      <c r="AN51" s="186">
        <f t="shared" ca="1" si="7"/>
        <v>615.42999999999995</v>
      </c>
      <c r="AO51" s="154">
        <f ca="1">AI51*-Valores!$C$56</f>
        <v>-6927.8495000000021</v>
      </c>
      <c r="AP51" s="154">
        <f ca="1">AI51*-Valores!$C$57</f>
        <v>-266.45575000000008</v>
      </c>
      <c r="AQ51" s="81">
        <f ca="1">AI51*-Valores!$C$58</f>
        <v>-2398.1017500000007</v>
      </c>
      <c r="AR51" s="81">
        <f ca="1">AI51*-Valores!$C$59</f>
        <v>-1438.8610500000007</v>
      </c>
      <c r="AS51" s="81">
        <f ca="1">AI51*-Valores!$C$60</f>
        <v>-159.87345000000005</v>
      </c>
      <c r="AT51" s="54">
        <f t="shared" ca="1" si="4"/>
        <v>44314.17300000001</v>
      </c>
      <c r="AU51" s="54">
        <f t="shared" ca="1" si="5"/>
        <v>45113.540250000013</v>
      </c>
      <c r="AV51" s="81">
        <f ca="1">AI51*Valores!$C$61</f>
        <v>8526.5840000000026</v>
      </c>
      <c r="AW51" s="81">
        <f ca="1">AI51*Valores!$C$62</f>
        <v>2398.1017500000007</v>
      </c>
      <c r="AX51" s="81">
        <f ca="1">AI51*Valores!$C$64</f>
        <v>532.91150000000016</v>
      </c>
      <c r="AY51" s="81">
        <f ca="1">AI51*Valores!$C$65</f>
        <v>1865.1902500000008</v>
      </c>
      <c r="AZ51" s="81">
        <f ca="1">AI51*Valores!$C$66</f>
        <v>319.7469000000001</v>
      </c>
      <c r="BA51" s="81">
        <f t="shared" ca="1" si="8"/>
        <v>2877.7221000000009</v>
      </c>
      <c r="BB51" s="55"/>
      <c r="BC51" s="55"/>
      <c r="BD51" s="52" t="s">
        <v>467</v>
      </c>
    </row>
    <row r="52" spans="1:56" s="9" customFormat="1" ht="11.25" customHeight="1" x14ac:dyDescent="0.15">
      <c r="A52" s="20">
        <v>51</v>
      </c>
      <c r="B52" s="20"/>
      <c r="C52" s="9" t="s">
        <v>86</v>
      </c>
      <c r="E52" s="10" t="s">
        <v>87</v>
      </c>
      <c r="F52" s="123">
        <v>100</v>
      </c>
      <c r="G52" s="7">
        <f ca="1">INT((F52*Valores!$C$2*100)+0.5)/100</f>
        <v>513.47</v>
      </c>
      <c r="H52" s="113">
        <v>3560</v>
      </c>
      <c r="I52" s="77">
        <f ca="1">INT((H52*Valores!$C$2*100)+0.5)/100</f>
        <v>18279.53</v>
      </c>
      <c r="J52" s="147">
        <v>0</v>
      </c>
      <c r="K52" s="77">
        <f ca="1">INT((J52*Valores!$C$2*100)+0.5)/100</f>
        <v>0</v>
      </c>
      <c r="L52" s="120">
        <v>0</v>
      </c>
      <c r="M52" s="77">
        <f ca="1">INT((L52*Valores!$C$2*100)+0.5)/100</f>
        <v>0</v>
      </c>
      <c r="N52" s="77">
        <f t="shared" ca="1" si="0"/>
        <v>0</v>
      </c>
      <c r="O52" s="77">
        <f t="shared" ca="1" si="1"/>
        <v>19931.689999999999</v>
      </c>
      <c r="P52" s="78">
        <f>Valores!$C$16</f>
        <v>3165.05</v>
      </c>
      <c r="Q52" s="78">
        <f ca="1">Valores!$D$4</f>
        <v>2296.75</v>
      </c>
      <c r="R52" s="77">
        <v>0</v>
      </c>
      <c r="S52" s="79">
        <f>Valores!$C$43</f>
        <v>1138.69</v>
      </c>
      <c r="T52" s="77">
        <f>Valores!$C$23</f>
        <v>2221.56</v>
      </c>
      <c r="U52" s="77">
        <f t="shared" ca="1" si="12"/>
        <v>4443.12</v>
      </c>
      <c r="V52" s="77">
        <v>0</v>
      </c>
      <c r="W52" s="77">
        <v>0</v>
      </c>
      <c r="X52" s="116">
        <v>0</v>
      </c>
      <c r="Y52" s="77">
        <f ca="1">X52*Valores!$C$2</f>
        <v>0</v>
      </c>
      <c r="Z52" s="77">
        <v>0</v>
      </c>
      <c r="AA52" s="89">
        <f>Valores!$C$29</f>
        <v>131.68</v>
      </c>
      <c r="AB52" s="77">
        <f t="shared" ca="1" si="3"/>
        <v>0</v>
      </c>
      <c r="AC52" s="77">
        <f>Valores!$C$30</f>
        <v>131.68</v>
      </c>
      <c r="AD52" s="116">
        <v>0</v>
      </c>
      <c r="AE52" s="77">
        <f ca="1">INT(((AD52*Valores!$C$2)*100)+0.5)/100</f>
        <v>0</v>
      </c>
      <c r="AF52" s="77">
        <f>Valores!$C$51</f>
        <v>267.87</v>
      </c>
      <c r="AG52" s="77">
        <f>Valores!$C$52</f>
        <v>76.540000000000006</v>
      </c>
      <c r="AH52" s="77">
        <f ca="1">SUM(G52,I52,K52,M52,N52,O52,P52,Q52,R52,S52,U52,V52,W52,Y52,Z52,AA52,AB52,AC52,AE52,AF52,AG52)*Valores!$C$54</f>
        <v>0</v>
      </c>
      <c r="AI52" s="15">
        <f t="shared" ca="1" si="6"/>
        <v>50376.070000000014</v>
      </c>
      <c r="AJ52" s="78">
        <f>Valores!$C$35</f>
        <v>182.07</v>
      </c>
      <c r="AK52" s="79">
        <f>Valores!$C$9</f>
        <v>306.14</v>
      </c>
      <c r="AL52" s="89">
        <v>0</v>
      </c>
      <c r="AM52" s="79">
        <f ca="1">IF($G$4="SI",SUM(AK52+AL52),AK52)*Valores!$C$54</f>
        <v>0</v>
      </c>
      <c r="AN52" s="12">
        <f t="shared" ca="1" si="7"/>
        <v>488.21</v>
      </c>
      <c r="AO52" s="153">
        <f ca="1">AI52*-Valores!$C$56</f>
        <v>-6548.8891000000021</v>
      </c>
      <c r="AP52" s="153">
        <f ca="1">AI52*-Valores!$C$57</f>
        <v>-251.88035000000008</v>
      </c>
      <c r="AQ52" s="78">
        <f ca="1">AI52*-Valores!$C$58</f>
        <v>-2266.9231500000005</v>
      </c>
      <c r="AR52" s="78">
        <f ca="1">AI52*-Valores!$C$59</f>
        <v>-1360.1538900000005</v>
      </c>
      <c r="AS52" s="78">
        <f ca="1">AI52*-Valores!$C$60</f>
        <v>-151.12821000000005</v>
      </c>
      <c r="AT52" s="15">
        <f t="shared" ca="1" si="4"/>
        <v>41796.587400000011</v>
      </c>
      <c r="AU52" s="15">
        <f t="shared" ca="1" si="5"/>
        <v>42552.22845000001</v>
      </c>
      <c r="AV52" s="78">
        <f ca="1">AI52*Valores!$C$61</f>
        <v>8060.1712000000025</v>
      </c>
      <c r="AW52" s="78">
        <f ca="1">AI52*Valores!$C$62</f>
        <v>2266.9231500000005</v>
      </c>
      <c r="AX52" s="78">
        <f ca="1">AI52*Valores!$C$64</f>
        <v>503.76070000000016</v>
      </c>
      <c r="AY52" s="78">
        <f ca="1">AI52*Valores!$C$65</f>
        <v>1763.1624500000007</v>
      </c>
      <c r="AZ52" s="78">
        <f ca="1">AI52*Valores!$C$66</f>
        <v>302.25642000000011</v>
      </c>
      <c r="BA52" s="78">
        <f t="shared" ca="1" si="8"/>
        <v>2720.307780000001</v>
      </c>
      <c r="BB52" s="20"/>
      <c r="BC52" s="20"/>
      <c r="BD52" s="9" t="s">
        <v>466</v>
      </c>
    </row>
    <row r="53" spans="1:56" s="9" customFormat="1" ht="11.25" customHeight="1" x14ac:dyDescent="0.15">
      <c r="A53" s="20">
        <v>52</v>
      </c>
      <c r="B53" s="20"/>
      <c r="C53" s="9" t="s">
        <v>88</v>
      </c>
      <c r="E53" s="10" t="s">
        <v>89</v>
      </c>
      <c r="F53" s="123">
        <v>100</v>
      </c>
      <c r="G53" s="7">
        <f ca="1">INT((F53*Valores!$C$2*100)+0.5)/100</f>
        <v>513.47</v>
      </c>
      <c r="H53" s="113">
        <v>3360</v>
      </c>
      <c r="I53" s="77">
        <f ca="1">INT((H53*Valores!$C$2*100)+0.5)/100</f>
        <v>17252.59</v>
      </c>
      <c r="J53" s="147">
        <v>0</v>
      </c>
      <c r="K53" s="77">
        <f ca="1">INT((J53*Valores!$C$2*100)+0.5)/100</f>
        <v>0</v>
      </c>
      <c r="L53" s="120">
        <v>0</v>
      </c>
      <c r="M53" s="77">
        <f ca="1">INT((L53*Valores!$C$2*100)+0.5)/100</f>
        <v>0</v>
      </c>
      <c r="N53" s="77">
        <f t="shared" ca="1" si="0"/>
        <v>0</v>
      </c>
      <c r="O53" s="77">
        <f t="shared" ca="1" si="1"/>
        <v>18904.75</v>
      </c>
      <c r="P53" s="78">
        <f>Valores!$C$16</f>
        <v>3165.05</v>
      </c>
      <c r="Q53" s="78">
        <f ca="1">Valores!$D$4</f>
        <v>2296.75</v>
      </c>
      <c r="R53" s="61">
        <f>Valores!$C$26</f>
        <v>2298.92</v>
      </c>
      <c r="S53" s="87">
        <f>Valores!$C$43</f>
        <v>1138.69</v>
      </c>
      <c r="T53" s="77">
        <f>Valores!$C$23</f>
        <v>2221.56</v>
      </c>
      <c r="U53" s="77">
        <f t="shared" ca="1" si="12"/>
        <v>4443.12</v>
      </c>
      <c r="V53" s="77">
        <v>0</v>
      </c>
      <c r="W53" s="77">
        <v>0</v>
      </c>
      <c r="X53" s="116">
        <v>0</v>
      </c>
      <c r="Y53" s="77">
        <f ca="1">X53*Valores!$C$2</f>
        <v>0</v>
      </c>
      <c r="Z53" s="77">
        <v>0</v>
      </c>
      <c r="AA53" s="89">
        <f>Valores!$C$29</f>
        <v>131.68</v>
      </c>
      <c r="AB53" s="77">
        <f t="shared" ca="1" si="3"/>
        <v>0</v>
      </c>
      <c r="AC53" s="77">
        <f>Valores!$C$30</f>
        <v>131.68</v>
      </c>
      <c r="AD53" s="116">
        <v>0</v>
      </c>
      <c r="AE53" s="77">
        <f ca="1">INT(((AD53*Valores!$C$2)*100)+0.5)/100</f>
        <v>0</v>
      </c>
      <c r="AF53" s="77">
        <f>Valores!$C$51</f>
        <v>267.87</v>
      </c>
      <c r="AG53" s="77">
        <f>Valores!$C$52</f>
        <v>76.540000000000006</v>
      </c>
      <c r="AH53" s="77">
        <f ca="1">SUM(G53,I53,K53,M53,N53,O53,P53,Q53,R53,S53,U53,V53,W53,Y53,Z53,AA53,AB53,AC53,AE53,AF53,AG53)*Valores!$C$54</f>
        <v>0</v>
      </c>
      <c r="AI53" s="15">
        <f t="shared" ca="1" si="6"/>
        <v>50621.110000000008</v>
      </c>
      <c r="AJ53" s="78">
        <f>Valores!$C$35</f>
        <v>182.07</v>
      </c>
      <c r="AK53" s="79">
        <f>Valores!$C$9</f>
        <v>306.14</v>
      </c>
      <c r="AL53" s="89">
        <v>0</v>
      </c>
      <c r="AM53" s="79">
        <f ca="1">IF($G$4="SI",SUM(AK53+AL53),AK53)*Valores!$C$54</f>
        <v>0</v>
      </c>
      <c r="AN53" s="12">
        <f t="shared" ca="1" si="7"/>
        <v>488.21</v>
      </c>
      <c r="AO53" s="153">
        <f ca="1">AI53*-Valores!$C$56</f>
        <v>-6580.7443000000012</v>
      </c>
      <c r="AP53" s="153">
        <f ca="1">AI53*-Valores!$C$57</f>
        <v>-253.10555000000005</v>
      </c>
      <c r="AQ53" s="78">
        <f ca="1">AI53*-Valores!$C$58</f>
        <v>-2277.9499500000002</v>
      </c>
      <c r="AR53" s="78">
        <f ca="1">AI53*-Valores!$C$59</f>
        <v>-1366.7699700000003</v>
      </c>
      <c r="AS53" s="78">
        <f ca="1">AI53*-Valores!$C$60</f>
        <v>-151.86333000000002</v>
      </c>
      <c r="AT53" s="15">
        <f t="shared" ca="1" si="4"/>
        <v>41997.520200000006</v>
      </c>
      <c r="AU53" s="15">
        <f t="shared" ca="1" si="5"/>
        <v>42756.836850000007</v>
      </c>
      <c r="AV53" s="78">
        <f ca="1">AI53*Valores!$C$61</f>
        <v>8099.3776000000016</v>
      </c>
      <c r="AW53" s="78">
        <f ca="1">AI53*Valores!$C$62</f>
        <v>2277.9499500000002</v>
      </c>
      <c r="AX53" s="78">
        <f ca="1">AI53*Valores!$C$64</f>
        <v>506.2111000000001</v>
      </c>
      <c r="AY53" s="78">
        <f ca="1">AI53*Valores!$C$65</f>
        <v>1771.7388500000004</v>
      </c>
      <c r="AZ53" s="78">
        <f ca="1">AI53*Valores!$C$66</f>
        <v>303.72666000000004</v>
      </c>
      <c r="BA53" s="78">
        <f t="shared" ca="1" si="8"/>
        <v>2733.5399400000006</v>
      </c>
      <c r="BB53" s="20"/>
      <c r="BC53" s="20"/>
      <c r="BD53" s="9" t="s">
        <v>467</v>
      </c>
    </row>
    <row r="54" spans="1:56" s="9" customFormat="1" ht="11.25" customHeight="1" x14ac:dyDescent="0.15">
      <c r="A54" s="20">
        <v>53</v>
      </c>
      <c r="B54" s="20"/>
      <c r="C54" s="9" t="s">
        <v>90</v>
      </c>
      <c r="E54" s="10" t="s">
        <v>91</v>
      </c>
      <c r="F54" s="123">
        <v>98</v>
      </c>
      <c r="G54" s="7">
        <f ca="1">INT((F54*Valores!$C$2*100)+0.5)/100</f>
        <v>503.2</v>
      </c>
      <c r="H54" s="113">
        <v>2686</v>
      </c>
      <c r="I54" s="77">
        <f ca="1">INT((H54*Valores!$C$2*100)+0.5)/100</f>
        <v>13791.8</v>
      </c>
      <c r="J54" s="147">
        <v>0</v>
      </c>
      <c r="K54" s="77">
        <f ca="1">INT((J54*Valores!$C$2*100)+0.5)/100</f>
        <v>0</v>
      </c>
      <c r="L54" s="120">
        <v>0</v>
      </c>
      <c r="M54" s="77">
        <f ca="1">INT((L54*Valores!$C$2*100)+0.5)/100</f>
        <v>0</v>
      </c>
      <c r="N54" s="77">
        <f t="shared" ca="1" si="0"/>
        <v>0</v>
      </c>
      <c r="O54" s="77">
        <f t="shared" ca="1" si="1"/>
        <v>15054.13</v>
      </c>
      <c r="P54" s="78">
        <f>Valores!$C$16</f>
        <v>3165.05</v>
      </c>
      <c r="Q54" s="78">
        <f ca="1">Valores!$D$4</f>
        <v>2296.75</v>
      </c>
      <c r="R54" s="77">
        <f>Valores!$C$26</f>
        <v>2298.92</v>
      </c>
      <c r="S54" s="79">
        <f>Valores!$C$42</f>
        <v>759.13</v>
      </c>
      <c r="T54" s="77">
        <f>Valores!$C$23</f>
        <v>2221.56</v>
      </c>
      <c r="U54" s="77">
        <f t="shared" ca="1" si="12"/>
        <v>4443.12</v>
      </c>
      <c r="V54" s="77">
        <v>0</v>
      </c>
      <c r="W54" s="77">
        <v>0</v>
      </c>
      <c r="X54" s="116">
        <v>0</v>
      </c>
      <c r="Y54" s="77">
        <f ca="1">X54*Valores!$C$2</f>
        <v>0</v>
      </c>
      <c r="Z54" s="77">
        <v>0</v>
      </c>
      <c r="AA54" s="89">
        <f>Valores!$C$29</f>
        <v>131.68</v>
      </c>
      <c r="AB54" s="77">
        <f t="shared" ca="1" si="3"/>
        <v>0</v>
      </c>
      <c r="AC54" s="77">
        <f>Valores!$C$30</f>
        <v>131.68</v>
      </c>
      <c r="AD54" s="116">
        <v>0</v>
      </c>
      <c r="AE54" s="77">
        <f ca="1">INT(((AD54*Valores!$C$2)*100)+0.5)/100</f>
        <v>0</v>
      </c>
      <c r="AF54" s="77">
        <f>Valores!$C$51</f>
        <v>267.87</v>
      </c>
      <c r="AG54" s="77">
        <f>Valores!$C$52</f>
        <v>76.540000000000006</v>
      </c>
      <c r="AH54" s="77">
        <f ca="1">SUM(G54,I54,K54,M54,N54,O54,P54,Q54,R54,S54,U54,V54,W54,Y54,Z54,AA54,AB54,AC54,AE54,AF54,AG54)*Valores!$C$54</f>
        <v>0</v>
      </c>
      <c r="AI54" s="15">
        <f t="shared" ca="1" si="6"/>
        <v>42919.869999999995</v>
      </c>
      <c r="AJ54" s="78">
        <f>Valores!$C$35</f>
        <v>182.07</v>
      </c>
      <c r="AK54" s="79">
        <f>Valores!$C$8</f>
        <v>204.1</v>
      </c>
      <c r="AL54" s="89">
        <v>112.25</v>
      </c>
      <c r="AM54" s="79">
        <f ca="1">IF($G$4="SI",SUM(AK54+AL54),AK54)*Valores!$C$54</f>
        <v>0</v>
      </c>
      <c r="AN54" s="12">
        <f t="shared" ca="1" si="7"/>
        <v>498.41999999999996</v>
      </c>
      <c r="AO54" s="153">
        <f ca="1">AI54*-Valores!$C$56</f>
        <v>-5579.5830999999998</v>
      </c>
      <c r="AP54" s="153">
        <f ca="1">AI54*-Valores!$C$57</f>
        <v>-214.59934999999999</v>
      </c>
      <c r="AQ54" s="78">
        <f ca="1">AI54*-Valores!$C$58</f>
        <v>-1931.3941499999996</v>
      </c>
      <c r="AR54" s="78">
        <f ca="1">AI54*-Valores!$C$59</f>
        <v>-1158.8364899999999</v>
      </c>
      <c r="AS54" s="78">
        <f ca="1">AI54*-Valores!$C$60</f>
        <v>-128.75960999999998</v>
      </c>
      <c r="AT54" s="15">
        <f t="shared" ca="1" si="4"/>
        <v>35692.713399999993</v>
      </c>
      <c r="AU54" s="15">
        <f t="shared" ca="1" si="5"/>
        <v>36336.511449999998</v>
      </c>
      <c r="AV54" s="78">
        <f ca="1">AI54*Valores!$C$61</f>
        <v>6867.1791999999996</v>
      </c>
      <c r="AW54" s="78">
        <f ca="1">AI54*Valores!$C$62</f>
        <v>1931.3941499999996</v>
      </c>
      <c r="AX54" s="78">
        <f ca="1">AI54*Valores!$C$64</f>
        <v>429.19869999999997</v>
      </c>
      <c r="AY54" s="78">
        <f ca="1">AI54*Valores!$C$65</f>
        <v>1502.1954499999999</v>
      </c>
      <c r="AZ54" s="78">
        <f ca="1">AI54*Valores!$C$66</f>
        <v>257.51921999999996</v>
      </c>
      <c r="BA54" s="78">
        <f t="shared" ca="1" si="8"/>
        <v>2317.6729799999998</v>
      </c>
      <c r="BB54" s="20"/>
      <c r="BC54" s="20">
        <v>30</v>
      </c>
      <c r="BD54" s="9" t="s">
        <v>467</v>
      </c>
    </row>
    <row r="55" spans="1:56" s="9" customFormat="1" ht="11.25" customHeight="1" x14ac:dyDescent="0.15">
      <c r="A55" s="20">
        <v>54</v>
      </c>
      <c r="B55" s="20"/>
      <c r="C55" s="9" t="s">
        <v>92</v>
      </c>
      <c r="E55" s="10" t="s">
        <v>93</v>
      </c>
      <c r="F55" s="123">
        <v>94</v>
      </c>
      <c r="G55" s="7">
        <f ca="1">INT((F55*Valores!$C$2*100)+0.5)/100</f>
        <v>482.66</v>
      </c>
      <c r="H55" s="113">
        <v>2690</v>
      </c>
      <c r="I55" s="77">
        <f ca="1">INT((H55*Valores!$C$2*100)+0.5)/100</f>
        <v>13812.34</v>
      </c>
      <c r="J55" s="147">
        <v>0</v>
      </c>
      <c r="K55" s="77">
        <f ca="1">INT((J55*Valores!$C$2*100)+0.5)/100</f>
        <v>0</v>
      </c>
      <c r="L55" s="120">
        <v>0</v>
      </c>
      <c r="M55" s="77">
        <f ca="1">INT((L55*Valores!$C$2*100)+0.5)/100</f>
        <v>0</v>
      </c>
      <c r="N55" s="77">
        <f t="shared" ca="1" si="0"/>
        <v>0</v>
      </c>
      <c r="O55" s="77">
        <f t="shared" ca="1" si="1"/>
        <v>15054.13</v>
      </c>
      <c r="P55" s="78">
        <f>Valores!$C$16</f>
        <v>3165.05</v>
      </c>
      <c r="Q55" s="78">
        <f ca="1">Valores!$D$4</f>
        <v>2296.75</v>
      </c>
      <c r="R55" s="61">
        <f>Valores!$C$26</f>
        <v>2298.92</v>
      </c>
      <c r="S55" s="87">
        <f>Valores!$C$42</f>
        <v>759.13</v>
      </c>
      <c r="T55" s="77">
        <f>Valores!$C$23</f>
        <v>2221.56</v>
      </c>
      <c r="U55" s="77">
        <f t="shared" ca="1" si="12"/>
        <v>4443.12</v>
      </c>
      <c r="V55" s="77">
        <v>0</v>
      </c>
      <c r="W55" s="77">
        <v>0</v>
      </c>
      <c r="X55" s="116">
        <v>0</v>
      </c>
      <c r="Y55" s="77">
        <f ca="1">X55*Valores!$C$2</f>
        <v>0</v>
      </c>
      <c r="Z55" s="77">
        <v>0</v>
      </c>
      <c r="AA55" s="89">
        <f>Valores!$C$29</f>
        <v>131.68</v>
      </c>
      <c r="AB55" s="77">
        <f t="shared" ca="1" si="3"/>
        <v>0</v>
      </c>
      <c r="AC55" s="77">
        <f>Valores!$C$30</f>
        <v>131.68</v>
      </c>
      <c r="AD55" s="116">
        <v>94</v>
      </c>
      <c r="AE55" s="77">
        <f ca="1">INT(((AD55*Valores!$C$2)*100)+0.5)/100</f>
        <v>482.66</v>
      </c>
      <c r="AF55" s="77">
        <f>Valores!$C$51</f>
        <v>267.87</v>
      </c>
      <c r="AG55" s="77">
        <f>Valores!$C$52</f>
        <v>76.540000000000006</v>
      </c>
      <c r="AH55" s="77">
        <f ca="1">SUM(G55,I55,K55,M55,N55,O55,P55,Q55,R55,S55,U55,V55,W55,Y55,Z55,AA55,AB55,AC55,AE55,AF55,AG55)*Valores!$C$54</f>
        <v>0</v>
      </c>
      <c r="AI55" s="15">
        <f t="shared" ca="1" si="6"/>
        <v>43402.53</v>
      </c>
      <c r="AJ55" s="78">
        <f>Valores!$C$35</f>
        <v>182.07</v>
      </c>
      <c r="AK55" s="79">
        <f>Valores!$C$8</f>
        <v>204.1</v>
      </c>
      <c r="AL55" s="89">
        <v>112.5</v>
      </c>
      <c r="AM55" s="79">
        <f ca="1">IF($G$4="SI",SUM(AK55+AL55),AK55)*Valores!$C$54</f>
        <v>0</v>
      </c>
      <c r="AN55" s="12">
        <f t="shared" ca="1" si="7"/>
        <v>498.66999999999996</v>
      </c>
      <c r="AO55" s="153">
        <f ca="1">AI55*-Valores!$C$56</f>
        <v>-5642.3289000000004</v>
      </c>
      <c r="AP55" s="153">
        <f ca="1">AI55*-Valores!$C$57</f>
        <v>-217.01265000000001</v>
      </c>
      <c r="AQ55" s="78">
        <f ca="1">AI55*-Valores!$C$58</f>
        <v>-1953.11385</v>
      </c>
      <c r="AR55" s="78">
        <f ca="1">AI55*-Valores!$C$59</f>
        <v>-1171.8683100000001</v>
      </c>
      <c r="AS55" s="78">
        <f ca="1">AI55*-Valores!$C$60</f>
        <v>-130.20759000000001</v>
      </c>
      <c r="AT55" s="15">
        <f t="shared" ca="1" si="4"/>
        <v>36088.744599999998</v>
      </c>
      <c r="AU55" s="15">
        <f t="shared" ca="1" si="5"/>
        <v>36739.782550000004</v>
      </c>
      <c r="AV55" s="78">
        <f ca="1">AI55*Valores!$C$61</f>
        <v>6944.4048000000003</v>
      </c>
      <c r="AW55" s="78">
        <f ca="1">AI55*Valores!$C$62</f>
        <v>1953.11385</v>
      </c>
      <c r="AX55" s="78">
        <f ca="1">AI55*Valores!$C$64</f>
        <v>434.02530000000002</v>
      </c>
      <c r="AY55" s="78">
        <f ca="1">AI55*Valores!$C$65</f>
        <v>1519.0885500000002</v>
      </c>
      <c r="AZ55" s="78">
        <f ca="1">AI55*Valores!$C$66</f>
        <v>260.41518000000002</v>
      </c>
      <c r="BA55" s="78">
        <f t="shared" ca="1" si="8"/>
        <v>2343.7366200000001</v>
      </c>
      <c r="BB55" s="20"/>
      <c r="BC55" s="20">
        <v>25</v>
      </c>
      <c r="BD55" s="9" t="s">
        <v>467</v>
      </c>
    </row>
    <row r="56" spans="1:56" s="9" customFormat="1" ht="11.25" customHeight="1" x14ac:dyDescent="0.15">
      <c r="A56" s="55">
        <v>55</v>
      </c>
      <c r="B56" s="55" t="s">
        <v>462</v>
      </c>
      <c r="C56" s="52" t="s">
        <v>94</v>
      </c>
      <c r="D56" s="52"/>
      <c r="E56" s="53" t="s">
        <v>95</v>
      </c>
      <c r="F56" s="124">
        <v>93</v>
      </c>
      <c r="G56" s="129">
        <f ca="1">INT((F56*Valores!$C$2*100)+0.5)/100</f>
        <v>477.53</v>
      </c>
      <c r="H56" s="114">
        <v>2547</v>
      </c>
      <c r="I56" s="80">
        <f ca="1">INT((H56*Valores!$C$2*100)+0.5)/100</f>
        <v>13078.08</v>
      </c>
      <c r="J56" s="148">
        <v>0</v>
      </c>
      <c r="K56" s="80">
        <f ca="1">INT((J56*Valores!$C$2*100)+0.5)/100</f>
        <v>0</v>
      </c>
      <c r="L56" s="121">
        <v>0</v>
      </c>
      <c r="M56" s="80">
        <f ca="1">INT((L56*Valores!$C$2*100)+0.5)/100</f>
        <v>0</v>
      </c>
      <c r="N56" s="80">
        <f t="shared" ca="1" si="0"/>
        <v>0</v>
      </c>
      <c r="O56" s="80">
        <f t="shared" ca="1" si="1"/>
        <v>14314.74</v>
      </c>
      <c r="P56" s="81">
        <f>Valores!$C$16</f>
        <v>3165.05</v>
      </c>
      <c r="Q56" s="81">
        <f ca="1">Valores!$D$4</f>
        <v>2296.75</v>
      </c>
      <c r="R56" s="85">
        <f>Valores!$C$26</f>
        <v>2298.92</v>
      </c>
      <c r="S56" s="88">
        <f>Valores!$C$42</f>
        <v>759.13</v>
      </c>
      <c r="T56" s="80">
        <f>Valores!$C$23</f>
        <v>2221.56</v>
      </c>
      <c r="U56" s="80">
        <f t="shared" ca="1" si="12"/>
        <v>4443.12</v>
      </c>
      <c r="V56" s="80">
        <v>0</v>
      </c>
      <c r="W56" s="80">
        <v>0</v>
      </c>
      <c r="X56" s="115">
        <v>0</v>
      </c>
      <c r="Y56" s="80">
        <f ca="1">X56*Valores!$C$2</f>
        <v>0</v>
      </c>
      <c r="Z56" s="80">
        <v>0</v>
      </c>
      <c r="AA56" s="90">
        <f>Valores!$C$29</f>
        <v>131.68</v>
      </c>
      <c r="AB56" s="80">
        <f t="shared" ca="1" si="3"/>
        <v>0</v>
      </c>
      <c r="AC56" s="80">
        <f>Valores!$C$30</f>
        <v>131.68</v>
      </c>
      <c r="AD56" s="115">
        <v>0</v>
      </c>
      <c r="AE56" s="80">
        <f ca="1">INT(((AD56*Valores!$C$2)*100)+0.5)/100</f>
        <v>0</v>
      </c>
      <c r="AF56" s="80">
        <f>Valores!$C$51</f>
        <v>267.87</v>
      </c>
      <c r="AG56" s="80">
        <f>Valores!$C$52</f>
        <v>76.540000000000006</v>
      </c>
      <c r="AH56" s="80">
        <f ca="1">SUM(G56,I56,K56,M56,N56,O56,P56,Q56,R56,S56,U56,V56,W56,Y56,Z56,AA56,AB56,AC56,AE56,AF56,AG56)*Valores!$C$54</f>
        <v>0</v>
      </c>
      <c r="AI56" s="54">
        <f t="shared" ca="1" si="6"/>
        <v>41441.089999999997</v>
      </c>
      <c r="AJ56" s="81">
        <f>Valores!$C$35</f>
        <v>182.07</v>
      </c>
      <c r="AK56" s="82">
        <f>Valores!$C$8</f>
        <v>204.1</v>
      </c>
      <c r="AL56" s="90">
        <v>112.5</v>
      </c>
      <c r="AM56" s="82">
        <f ca="1">IF($G$4="SI",SUM(AK56+AL56),AK56)*Valores!$C$54</f>
        <v>0</v>
      </c>
      <c r="AN56" s="186">
        <f t="shared" ca="1" si="7"/>
        <v>498.66999999999996</v>
      </c>
      <c r="AO56" s="154">
        <f ca="1">AI56*-Valores!$C$56</f>
        <v>-5387.3416999999999</v>
      </c>
      <c r="AP56" s="154">
        <f ca="1">AI56*-Valores!$C$57</f>
        <v>-207.20544999999998</v>
      </c>
      <c r="AQ56" s="81">
        <f ca="1">AI56*-Valores!$C$58</f>
        <v>-1864.8490499999998</v>
      </c>
      <c r="AR56" s="81">
        <f ca="1">AI56*-Valores!$C$59</f>
        <v>-1118.9094299999999</v>
      </c>
      <c r="AS56" s="81">
        <f ca="1">AI56*-Valores!$C$60</f>
        <v>-124.32326999999999</v>
      </c>
      <c r="AT56" s="54">
        <f t="shared" ca="1" si="4"/>
        <v>34480.363799999999</v>
      </c>
      <c r="AU56" s="54">
        <f t="shared" ca="1" si="5"/>
        <v>35101.980149999996</v>
      </c>
      <c r="AV56" s="81">
        <f ca="1">AI56*Valores!$C$61</f>
        <v>6630.5743999999995</v>
      </c>
      <c r="AW56" s="81">
        <f ca="1">AI56*Valores!$C$62</f>
        <v>1864.8490499999998</v>
      </c>
      <c r="AX56" s="81">
        <f ca="1">AI56*Valores!$C$64</f>
        <v>414.41089999999997</v>
      </c>
      <c r="AY56" s="81">
        <f ca="1">AI56*Valores!$C$65</f>
        <v>1450.43815</v>
      </c>
      <c r="AZ56" s="81">
        <f ca="1">AI56*Valores!$C$66</f>
        <v>248.64653999999999</v>
      </c>
      <c r="BA56" s="81">
        <f t="shared" ca="1" si="8"/>
        <v>2237.8188599999999</v>
      </c>
      <c r="BB56" s="55"/>
      <c r="BC56" s="55">
        <v>30</v>
      </c>
      <c r="BD56" s="52" t="s">
        <v>467</v>
      </c>
    </row>
    <row r="57" spans="1:56" s="9" customFormat="1" ht="11.25" customHeight="1" x14ac:dyDescent="0.15">
      <c r="A57" s="20">
        <v>56</v>
      </c>
      <c r="B57" s="20"/>
      <c r="C57" s="9" t="s">
        <v>96</v>
      </c>
      <c r="E57" s="10" t="s">
        <v>97</v>
      </c>
      <c r="F57" s="123">
        <v>89</v>
      </c>
      <c r="G57" s="7">
        <f ca="1">INT((F57*Valores!$C$2*100)+0.5)/100</f>
        <v>456.99</v>
      </c>
      <c r="H57" s="113">
        <v>2551</v>
      </c>
      <c r="I57" s="77">
        <f ca="1">INT((H57*Valores!$C$2*100)+0.5)/100</f>
        <v>13098.62</v>
      </c>
      <c r="J57" s="147">
        <v>0</v>
      </c>
      <c r="K57" s="77">
        <f ca="1">INT((J57*Valores!$C$2*100)+0.5)/100</f>
        <v>0</v>
      </c>
      <c r="L57" s="120">
        <v>0</v>
      </c>
      <c r="M57" s="77">
        <f ca="1">INT((L57*Valores!$C$2*100)+0.5)/100</f>
        <v>0</v>
      </c>
      <c r="N57" s="77">
        <f t="shared" ca="1" si="0"/>
        <v>0</v>
      </c>
      <c r="O57" s="77">
        <f t="shared" ca="1" si="1"/>
        <v>14314.74</v>
      </c>
      <c r="P57" s="78">
        <f>Valores!$C$16</f>
        <v>3165.05</v>
      </c>
      <c r="Q57" s="78">
        <f ca="1">Valores!$D$4</f>
        <v>2296.75</v>
      </c>
      <c r="R57" s="61">
        <f>Valores!$C$26</f>
        <v>2298.92</v>
      </c>
      <c r="S57" s="87">
        <f>Valores!$C$42</f>
        <v>759.13</v>
      </c>
      <c r="T57" s="77">
        <f>Valores!$C$23</f>
        <v>2221.56</v>
      </c>
      <c r="U57" s="77">
        <f t="shared" ca="1" si="12"/>
        <v>4443.12</v>
      </c>
      <c r="V57" s="77">
        <v>0</v>
      </c>
      <c r="W57" s="77">
        <v>0</v>
      </c>
      <c r="X57" s="116">
        <v>0</v>
      </c>
      <c r="Y57" s="77">
        <f ca="1">X57*Valores!$C$2</f>
        <v>0</v>
      </c>
      <c r="Z57" s="77">
        <v>0</v>
      </c>
      <c r="AA57" s="89">
        <f>Valores!$C$29</f>
        <v>131.68</v>
      </c>
      <c r="AB57" s="77">
        <f t="shared" ca="1" si="3"/>
        <v>0</v>
      </c>
      <c r="AC57" s="77">
        <f>Valores!$C$30</f>
        <v>131.68</v>
      </c>
      <c r="AD57" s="116">
        <v>94</v>
      </c>
      <c r="AE57" s="77">
        <f ca="1">INT(((AD57*Valores!$C$2)*100)+0.5)/100</f>
        <v>482.66</v>
      </c>
      <c r="AF57" s="77">
        <f>Valores!$C$51</f>
        <v>267.87</v>
      </c>
      <c r="AG57" s="77">
        <f>Valores!$C$52</f>
        <v>76.540000000000006</v>
      </c>
      <c r="AH57" s="77">
        <f ca="1">SUM(G57,I57,K57,M57,N57,O57,P57,Q57,R57,S57,U57,V57,W57,Y57,Z57,AA57,AB57,AC57,AE57,AF57,AG57)*Valores!$C$54</f>
        <v>0</v>
      </c>
      <c r="AI57" s="15">
        <f t="shared" ca="1" si="6"/>
        <v>41923.75</v>
      </c>
      <c r="AJ57" s="78">
        <f>Valores!$C$35</f>
        <v>182.07</v>
      </c>
      <c r="AK57" s="79">
        <f>Valores!$C$8</f>
        <v>204.1</v>
      </c>
      <c r="AL57" s="89">
        <v>112.25</v>
      </c>
      <c r="AM57" s="79">
        <f ca="1">IF($G$4="SI",SUM(AK57+AL57),AK57)*Valores!$C$54</f>
        <v>0</v>
      </c>
      <c r="AN57" s="12">
        <f t="shared" ca="1" si="7"/>
        <v>498.41999999999996</v>
      </c>
      <c r="AO57" s="153">
        <f ca="1">AI57*-Valores!$C$56</f>
        <v>-5450.0875000000005</v>
      </c>
      <c r="AP57" s="153">
        <f ca="1">AI57*-Valores!$C$57</f>
        <v>-209.61875000000001</v>
      </c>
      <c r="AQ57" s="78">
        <f ca="1">AI57*-Valores!$C$58</f>
        <v>-1886.5687499999999</v>
      </c>
      <c r="AR57" s="78">
        <f ca="1">AI57*-Valores!$C$59</f>
        <v>-1131.9412500000001</v>
      </c>
      <c r="AS57" s="78">
        <f ca="1">AI57*-Valores!$C$60</f>
        <v>-125.77125000000001</v>
      </c>
      <c r="AT57" s="15">
        <f t="shared" ca="1" si="4"/>
        <v>34875.894999999997</v>
      </c>
      <c r="AU57" s="15">
        <f t="shared" ca="1" si="5"/>
        <v>35504.751249999994</v>
      </c>
      <c r="AV57" s="78">
        <f ca="1">AI57*Valores!$C$61</f>
        <v>6707.8</v>
      </c>
      <c r="AW57" s="78">
        <f ca="1">AI57*Valores!$C$62</f>
        <v>1886.5687499999999</v>
      </c>
      <c r="AX57" s="78">
        <f ca="1">AI57*Valores!$C$64</f>
        <v>419.23750000000001</v>
      </c>
      <c r="AY57" s="78">
        <f ca="1">AI57*Valores!$C$65</f>
        <v>1467.3312500000002</v>
      </c>
      <c r="AZ57" s="78">
        <f ca="1">AI57*Valores!$C$66</f>
        <v>251.54250000000002</v>
      </c>
      <c r="BA57" s="78">
        <f t="shared" ca="1" si="8"/>
        <v>2263.8825000000002</v>
      </c>
      <c r="BB57" s="20"/>
      <c r="BC57" s="20">
        <v>25</v>
      </c>
      <c r="BD57" s="9" t="s">
        <v>467</v>
      </c>
    </row>
    <row r="58" spans="1:56" s="9" customFormat="1" ht="11.25" customHeight="1" x14ac:dyDescent="0.15">
      <c r="A58" s="20">
        <v>57</v>
      </c>
      <c r="B58" s="20"/>
      <c r="C58" s="9" t="s">
        <v>98</v>
      </c>
      <c r="E58" s="10" t="s">
        <v>99</v>
      </c>
      <c r="F58" s="123">
        <v>89</v>
      </c>
      <c r="G58" s="7">
        <f ca="1">INT((F58*Valores!$C$2*100)+0.5)/100</f>
        <v>456.99</v>
      </c>
      <c r="H58" s="113">
        <v>2251</v>
      </c>
      <c r="I58" s="77">
        <f ca="1">INT((H58*Valores!$C$2*100)+0.5)/100</f>
        <v>11558.21</v>
      </c>
      <c r="J58" s="147">
        <v>0</v>
      </c>
      <c r="K58" s="77">
        <f ca="1">INT((J58*Valores!$C$2*100)+0.5)/100</f>
        <v>0</v>
      </c>
      <c r="L58" s="120">
        <v>0</v>
      </c>
      <c r="M58" s="77">
        <f ca="1">INT((L58*Valores!$C$2*100)+0.5)/100</f>
        <v>0</v>
      </c>
      <c r="N58" s="77">
        <f t="shared" ca="1" si="0"/>
        <v>0</v>
      </c>
      <c r="O58" s="77">
        <f t="shared" ca="1" si="1"/>
        <v>12774.329999999998</v>
      </c>
      <c r="P58" s="78">
        <f>Valores!$C$16</f>
        <v>3165.05</v>
      </c>
      <c r="Q58" s="78">
        <f ca="1">Valores!$D$4</f>
        <v>2296.75</v>
      </c>
      <c r="R58" s="61">
        <f>Valores!$C$26</f>
        <v>2298.92</v>
      </c>
      <c r="S58" s="87">
        <f>Valores!$C$42</f>
        <v>759.13</v>
      </c>
      <c r="T58" s="77">
        <f>Valores!$C$23</f>
        <v>2221.56</v>
      </c>
      <c r="U58" s="77">
        <f t="shared" ca="1" si="12"/>
        <v>4443.12</v>
      </c>
      <c r="V58" s="77">
        <v>0</v>
      </c>
      <c r="W58" s="77">
        <v>0</v>
      </c>
      <c r="X58" s="116">
        <v>0</v>
      </c>
      <c r="Y58" s="77">
        <f ca="1">X58*Valores!$C$2</f>
        <v>0</v>
      </c>
      <c r="Z58" s="77">
        <v>0</v>
      </c>
      <c r="AA58" s="89">
        <f>Valores!$C$29</f>
        <v>131.68</v>
      </c>
      <c r="AB58" s="77">
        <f t="shared" ca="1" si="3"/>
        <v>0</v>
      </c>
      <c r="AC58" s="77">
        <f>Valores!$C$30</f>
        <v>131.68</v>
      </c>
      <c r="AD58" s="116">
        <v>0</v>
      </c>
      <c r="AE58" s="77">
        <f ca="1">INT(((AD58*Valores!$C$2)*100)+0.5)/100</f>
        <v>0</v>
      </c>
      <c r="AF58" s="77">
        <f>Valores!$C$51</f>
        <v>267.87</v>
      </c>
      <c r="AG58" s="77">
        <f>Valores!$C$52</f>
        <v>76.540000000000006</v>
      </c>
      <c r="AH58" s="77">
        <f ca="1">SUM(G58,I58,K58,M58,N58,O58,P58,Q58,R58,S58,U58,V58,W58,Y58,Z58,AA58,AB58,AC58,AE58,AF58,AG58)*Valores!$C$54</f>
        <v>0</v>
      </c>
      <c r="AI58" s="15">
        <f t="shared" ca="1" si="6"/>
        <v>38360.270000000004</v>
      </c>
      <c r="AJ58" s="78">
        <f>Valores!$C$35</f>
        <v>182.07</v>
      </c>
      <c r="AK58" s="79">
        <f>Valores!$C$8</f>
        <v>204.1</v>
      </c>
      <c r="AL58" s="89">
        <v>112.25</v>
      </c>
      <c r="AM58" s="79">
        <f ca="1">IF($G$4="SI",SUM(AK58+AL58),AK58)*Valores!$C$54</f>
        <v>0</v>
      </c>
      <c r="AN58" s="12">
        <f t="shared" ca="1" si="7"/>
        <v>498.41999999999996</v>
      </c>
      <c r="AO58" s="153">
        <f ca="1">AI58*-Valores!$C$56</f>
        <v>-4986.8351000000011</v>
      </c>
      <c r="AP58" s="153">
        <f ca="1">AI58*-Valores!$C$57</f>
        <v>-191.80135000000001</v>
      </c>
      <c r="AQ58" s="78">
        <f ca="1">AI58*-Valores!$C$58</f>
        <v>-1726.2121500000001</v>
      </c>
      <c r="AR58" s="78">
        <f ca="1">AI58*-Valores!$C$59</f>
        <v>-1035.7272900000003</v>
      </c>
      <c r="AS58" s="78">
        <f ca="1">AI58*-Valores!$C$60</f>
        <v>-115.08081000000001</v>
      </c>
      <c r="AT58" s="15">
        <f t="shared" ca="1" si="4"/>
        <v>31953.841400000001</v>
      </c>
      <c r="AU58" s="15">
        <f t="shared" ca="1" si="5"/>
        <v>32529.245449999999</v>
      </c>
      <c r="AV58" s="78">
        <f ca="1">AI58*Valores!$C$61</f>
        <v>6137.6432000000004</v>
      </c>
      <c r="AW58" s="78">
        <f ca="1">AI58*Valores!$C$62</f>
        <v>1726.2121500000001</v>
      </c>
      <c r="AX58" s="78">
        <f ca="1">AI58*Valores!$C$64</f>
        <v>383.60270000000003</v>
      </c>
      <c r="AY58" s="78">
        <f ca="1">AI58*Valores!$C$65</f>
        <v>1342.6094500000004</v>
      </c>
      <c r="AZ58" s="78">
        <f ca="1">AI58*Valores!$C$66</f>
        <v>230.16162000000003</v>
      </c>
      <c r="BA58" s="78">
        <f t="shared" ca="1" si="8"/>
        <v>2071.4545800000005</v>
      </c>
      <c r="BB58" s="20"/>
      <c r="BC58" s="20">
        <v>30</v>
      </c>
      <c r="BD58" s="9" t="s">
        <v>467</v>
      </c>
    </row>
    <row r="59" spans="1:56" s="9" customFormat="1" ht="11.25" customHeight="1" x14ac:dyDescent="0.15">
      <c r="A59" s="20">
        <v>58</v>
      </c>
      <c r="B59" s="20"/>
      <c r="C59" s="9" t="s">
        <v>100</v>
      </c>
      <c r="E59" s="10" t="s">
        <v>101</v>
      </c>
      <c r="F59" s="123">
        <v>85</v>
      </c>
      <c r="G59" s="7">
        <f ca="1">INT((F59*Valores!$C$2*100)+0.5)/100</f>
        <v>436.45</v>
      </c>
      <c r="H59" s="113">
        <v>2255</v>
      </c>
      <c r="I59" s="77">
        <f ca="1">INT((H59*Valores!$C$2*100)+0.5)/100</f>
        <v>11578.75</v>
      </c>
      <c r="J59" s="147">
        <v>0</v>
      </c>
      <c r="K59" s="77">
        <f ca="1">INT((J59*Valores!$C$2*100)+0.5)/100</f>
        <v>0</v>
      </c>
      <c r="L59" s="120">
        <v>0</v>
      </c>
      <c r="M59" s="77">
        <f ca="1">INT((L59*Valores!$C$2*100)+0.5)/100</f>
        <v>0</v>
      </c>
      <c r="N59" s="77">
        <f t="shared" ca="1" si="0"/>
        <v>0</v>
      </c>
      <c r="O59" s="77">
        <f t="shared" ca="1" si="1"/>
        <v>12774.33</v>
      </c>
      <c r="P59" s="78">
        <f>Valores!$C$16</f>
        <v>3165.05</v>
      </c>
      <c r="Q59" s="78">
        <f ca="1">Valores!$D$4</f>
        <v>2296.75</v>
      </c>
      <c r="R59" s="77">
        <f>Valores!$C$26</f>
        <v>2298.92</v>
      </c>
      <c r="S59" s="79">
        <f>Valores!$C$42</f>
        <v>759.13</v>
      </c>
      <c r="T59" s="77">
        <f>Valores!$C$23</f>
        <v>2221.56</v>
      </c>
      <c r="U59" s="77">
        <f t="shared" ca="1" si="12"/>
        <v>4443.12</v>
      </c>
      <c r="V59" s="77">
        <v>0</v>
      </c>
      <c r="W59" s="77">
        <v>0</v>
      </c>
      <c r="X59" s="116">
        <v>0</v>
      </c>
      <c r="Y59" s="77">
        <f ca="1">X59*Valores!$C$2</f>
        <v>0</v>
      </c>
      <c r="Z59" s="77">
        <v>0</v>
      </c>
      <c r="AA59" s="89">
        <f>Valores!$C$29</f>
        <v>131.68</v>
      </c>
      <c r="AB59" s="77">
        <f t="shared" ca="1" si="3"/>
        <v>0</v>
      </c>
      <c r="AC59" s="77">
        <f>Valores!$C$30</f>
        <v>131.68</v>
      </c>
      <c r="AD59" s="116">
        <v>94</v>
      </c>
      <c r="AE59" s="77">
        <f ca="1">INT(((AD59*Valores!$C$2)*100)+0.5)/100</f>
        <v>482.66</v>
      </c>
      <c r="AF59" s="77">
        <f>Valores!$C$51</f>
        <v>267.87</v>
      </c>
      <c r="AG59" s="77">
        <f>Valores!$C$52</f>
        <v>76.540000000000006</v>
      </c>
      <c r="AH59" s="77">
        <f ca="1">SUM(G59,I59,K59,M59,N59,O59,P59,Q59,R59,S59,U59,V59,W59,Y59,Z59,AA59,AB59,AC59,AE59,AF59,AG59)*Valores!$C$54</f>
        <v>0</v>
      </c>
      <c r="AI59" s="15">
        <f t="shared" ca="1" si="6"/>
        <v>38842.930000000008</v>
      </c>
      <c r="AJ59" s="78">
        <f>Valores!$C$35</f>
        <v>182.07</v>
      </c>
      <c r="AK59" s="79">
        <f>Valores!$C$8</f>
        <v>204.1</v>
      </c>
      <c r="AL59" s="89">
        <v>112.25</v>
      </c>
      <c r="AM59" s="79">
        <f ca="1">IF($G$4="SI",SUM(AK59+AL59),AK59)*Valores!$C$54</f>
        <v>0</v>
      </c>
      <c r="AN59" s="12">
        <f t="shared" ca="1" si="7"/>
        <v>498.41999999999996</v>
      </c>
      <c r="AO59" s="153">
        <f ca="1">AI59*-Valores!$C$56</f>
        <v>-5049.5809000000008</v>
      </c>
      <c r="AP59" s="153">
        <f ca="1">AI59*-Valores!$C$57</f>
        <v>-194.21465000000003</v>
      </c>
      <c r="AQ59" s="78">
        <f ca="1">AI59*-Valores!$C$58</f>
        <v>-1747.9318500000002</v>
      </c>
      <c r="AR59" s="78">
        <f ca="1">AI59*-Valores!$C$59</f>
        <v>-1048.7591100000004</v>
      </c>
      <c r="AS59" s="78">
        <f ca="1">AI59*-Valores!$C$60</f>
        <v>-116.52879000000003</v>
      </c>
      <c r="AT59" s="15">
        <f t="shared" ca="1" si="4"/>
        <v>32349.622600000002</v>
      </c>
      <c r="AU59" s="15">
        <f t="shared" ca="1" si="5"/>
        <v>32932.266550000008</v>
      </c>
      <c r="AV59" s="78">
        <f ca="1">AI59*Valores!$C$61</f>
        <v>6214.8688000000011</v>
      </c>
      <c r="AW59" s="78">
        <f ca="1">AI59*Valores!$C$62</f>
        <v>1747.9318500000002</v>
      </c>
      <c r="AX59" s="78">
        <f ca="1">AI59*Valores!$C$64</f>
        <v>388.42930000000007</v>
      </c>
      <c r="AY59" s="78">
        <f ca="1">AI59*Valores!$C$65</f>
        <v>1359.5025500000004</v>
      </c>
      <c r="AZ59" s="78">
        <f ca="1">AI59*Valores!$C$66</f>
        <v>233.05758000000006</v>
      </c>
      <c r="BA59" s="78">
        <f t="shared" ca="1" si="8"/>
        <v>2097.5182200000004</v>
      </c>
      <c r="BB59" s="20"/>
      <c r="BC59" s="20">
        <v>25</v>
      </c>
      <c r="BD59" s="9" t="s">
        <v>467</v>
      </c>
    </row>
    <row r="60" spans="1:56" s="9" customFormat="1" ht="11.25" customHeight="1" x14ac:dyDescent="0.15">
      <c r="A60" s="20">
        <v>59</v>
      </c>
      <c r="B60" s="20"/>
      <c r="C60" s="9" t="s">
        <v>102</v>
      </c>
      <c r="E60" s="10" t="s">
        <v>103</v>
      </c>
      <c r="F60" s="123">
        <v>100</v>
      </c>
      <c r="G60" s="7">
        <f ca="1">INT((F60*Valores!$C$2*100)+0.5)/100</f>
        <v>513.47</v>
      </c>
      <c r="H60" s="113">
        <v>3180</v>
      </c>
      <c r="I60" s="77">
        <f ca="1">INT((H60*Valores!$C$2*100)+0.5)/100</f>
        <v>16328.35</v>
      </c>
      <c r="J60" s="147">
        <v>0</v>
      </c>
      <c r="K60" s="77">
        <f ca="1">INT((J60*Valores!$C$2*100)+0.5)/100</f>
        <v>0</v>
      </c>
      <c r="L60" s="120">
        <v>0</v>
      </c>
      <c r="M60" s="77">
        <f ca="1">INT((L60*Valores!$C$2*100)+0.5)/100</f>
        <v>0</v>
      </c>
      <c r="N60" s="77">
        <f t="shared" ca="1" si="0"/>
        <v>0</v>
      </c>
      <c r="O60" s="77">
        <f t="shared" ca="1" si="1"/>
        <v>17980.509999999998</v>
      </c>
      <c r="P60" s="78">
        <f>Valores!$C$16</f>
        <v>3165.05</v>
      </c>
      <c r="Q60" s="78">
        <f ca="1">Valores!$D$4</f>
        <v>2296.75</v>
      </c>
      <c r="R60" s="61">
        <f>Valores!$C$26</f>
        <v>2298.92</v>
      </c>
      <c r="S60" s="87">
        <f>Valores!$C$43</f>
        <v>1138.69</v>
      </c>
      <c r="T60" s="77">
        <f>Valores!$C$23</f>
        <v>2221.56</v>
      </c>
      <c r="U60" s="77">
        <f t="shared" ca="1" si="12"/>
        <v>4443.12</v>
      </c>
      <c r="V60" s="77">
        <v>0</v>
      </c>
      <c r="W60" s="77">
        <v>0</v>
      </c>
      <c r="X60" s="116">
        <v>0</v>
      </c>
      <c r="Y60" s="77">
        <f ca="1">X60*Valores!$C$2</f>
        <v>0</v>
      </c>
      <c r="Z60" s="77">
        <v>0</v>
      </c>
      <c r="AA60" s="89">
        <f>Valores!$C$29</f>
        <v>131.68</v>
      </c>
      <c r="AB60" s="77">
        <f t="shared" ca="1" si="3"/>
        <v>0</v>
      </c>
      <c r="AC60" s="77">
        <f>Valores!$C$30</f>
        <v>131.68</v>
      </c>
      <c r="AD60" s="116">
        <v>0</v>
      </c>
      <c r="AE60" s="77">
        <f ca="1">INT(((AD60*Valores!$C$2)*100)+0.5)/100</f>
        <v>0</v>
      </c>
      <c r="AF60" s="77">
        <f>Valores!$C$51</f>
        <v>267.87</v>
      </c>
      <c r="AG60" s="77">
        <f>Valores!$C$52</f>
        <v>76.540000000000006</v>
      </c>
      <c r="AH60" s="77">
        <f ca="1">SUM(G60,I60,K60,M60,N60,O60,P60,Q60,R60,S60,U60,V60,W60,Y60,Z60,AA60,AB60,AC60,AE60,AF60,AG60)*Valores!$C$54</f>
        <v>0</v>
      </c>
      <c r="AI60" s="15">
        <f t="shared" ca="1" si="6"/>
        <v>48772.630000000012</v>
      </c>
      <c r="AJ60" s="78">
        <f>Valores!$C$35</f>
        <v>182.07</v>
      </c>
      <c r="AK60" s="79">
        <f>Valores!$C$9</f>
        <v>306.14</v>
      </c>
      <c r="AL60" s="89">
        <v>0</v>
      </c>
      <c r="AM60" s="79">
        <f ca="1">IF($G$4="SI",SUM(AK60+AL60),AK60)*Valores!$C$54</f>
        <v>0</v>
      </c>
      <c r="AN60" s="12">
        <f t="shared" ca="1" si="7"/>
        <v>488.21</v>
      </c>
      <c r="AO60" s="153">
        <f ca="1">AI60*-Valores!$C$56</f>
        <v>-6340.4419000000016</v>
      </c>
      <c r="AP60" s="153">
        <f ca="1">AI60*-Valores!$C$57</f>
        <v>-243.86315000000008</v>
      </c>
      <c r="AQ60" s="78">
        <f ca="1">AI60*-Valores!$C$58</f>
        <v>-2194.7683500000003</v>
      </c>
      <c r="AR60" s="78">
        <f ca="1">AI60*-Valores!$C$59</f>
        <v>-1316.8610100000005</v>
      </c>
      <c r="AS60" s="78">
        <f ca="1">AI60*-Valores!$C$60</f>
        <v>-146.31789000000003</v>
      </c>
      <c r="AT60" s="15">
        <f t="shared" ca="1" si="4"/>
        <v>40481.766600000017</v>
      </c>
      <c r="AU60" s="15">
        <f t="shared" ca="1" si="5"/>
        <v>41213.356050000009</v>
      </c>
      <c r="AV60" s="78">
        <f ca="1">AI60*Valores!$C$61</f>
        <v>7803.6208000000024</v>
      </c>
      <c r="AW60" s="78">
        <f ca="1">AI60*Valores!$C$62</f>
        <v>2194.7683500000003</v>
      </c>
      <c r="AX60" s="78">
        <f ca="1">AI60*Valores!$C$64</f>
        <v>487.72630000000015</v>
      </c>
      <c r="AY60" s="78">
        <f ca="1">AI60*Valores!$C$65</f>
        <v>1707.0420500000005</v>
      </c>
      <c r="AZ60" s="78">
        <f ca="1">AI60*Valores!$C$66</f>
        <v>292.63578000000007</v>
      </c>
      <c r="BA60" s="78">
        <f t="shared" ca="1" si="8"/>
        <v>2633.7220200000011</v>
      </c>
      <c r="BB60" s="20"/>
      <c r="BC60" s="20"/>
      <c r="BD60" s="9" t="s">
        <v>467</v>
      </c>
    </row>
    <row r="61" spans="1:56" s="9" customFormat="1" ht="11.25" customHeight="1" x14ac:dyDescent="0.15">
      <c r="A61" s="55">
        <v>60</v>
      </c>
      <c r="B61" s="55" t="s">
        <v>462</v>
      </c>
      <c r="C61" s="52" t="s">
        <v>104</v>
      </c>
      <c r="D61" s="52"/>
      <c r="E61" s="53" t="s">
        <v>105</v>
      </c>
      <c r="F61" s="124">
        <v>83</v>
      </c>
      <c r="G61" s="129">
        <f ca="1">INT((F61*Valores!$C$2*100)+0.5)/100</f>
        <v>426.18</v>
      </c>
      <c r="H61" s="114">
        <v>2352</v>
      </c>
      <c r="I61" s="80">
        <f ca="1">INT((H61*Valores!$C$2*100)+0.5)/100</f>
        <v>12076.81</v>
      </c>
      <c r="J61" s="148">
        <v>0</v>
      </c>
      <c r="K61" s="80">
        <f ca="1">INT((J61*Valores!$C$2*100)+0.5)/100</f>
        <v>0</v>
      </c>
      <c r="L61" s="121">
        <v>0</v>
      </c>
      <c r="M61" s="80">
        <f ca="1">INT((L61*Valores!$C$2*100)+0.5)/100</f>
        <v>0</v>
      </c>
      <c r="N61" s="80">
        <f t="shared" ca="1" si="0"/>
        <v>0</v>
      </c>
      <c r="O61" s="80">
        <f t="shared" ca="1" si="1"/>
        <v>13262.119999999999</v>
      </c>
      <c r="P61" s="81">
        <f>Valores!$C$16</f>
        <v>3165.05</v>
      </c>
      <c r="Q61" s="81">
        <f ca="1">Valores!$D$4</f>
        <v>2296.75</v>
      </c>
      <c r="R61" s="85">
        <f>Valores!$C$26</f>
        <v>2298.92</v>
      </c>
      <c r="S61" s="88">
        <f>Valores!$C$42</f>
        <v>759.13</v>
      </c>
      <c r="T61" s="80">
        <f>Valores!$C$23</f>
        <v>2221.56</v>
      </c>
      <c r="U61" s="80">
        <f t="shared" ca="1" si="12"/>
        <v>4443.12</v>
      </c>
      <c r="V61" s="80">
        <v>0</v>
      </c>
      <c r="W61" s="80">
        <v>0</v>
      </c>
      <c r="X61" s="115">
        <v>0</v>
      </c>
      <c r="Y61" s="80">
        <f ca="1">X61*Valores!$C$2</f>
        <v>0</v>
      </c>
      <c r="Z61" s="80">
        <v>0</v>
      </c>
      <c r="AA61" s="90">
        <f>Valores!$C$29</f>
        <v>131.68</v>
      </c>
      <c r="AB61" s="80">
        <f t="shared" ca="1" si="3"/>
        <v>0</v>
      </c>
      <c r="AC61" s="80">
        <f>Valores!$C$30</f>
        <v>131.68</v>
      </c>
      <c r="AD61" s="115">
        <v>0</v>
      </c>
      <c r="AE61" s="80">
        <f ca="1">INT(((AD61*Valores!$C$2)*100)+0.5)/100</f>
        <v>0</v>
      </c>
      <c r="AF61" s="80">
        <f>Valores!$C$51</f>
        <v>267.87</v>
      </c>
      <c r="AG61" s="80">
        <f>Valores!$C$52</f>
        <v>76.540000000000006</v>
      </c>
      <c r="AH61" s="80">
        <f ca="1">SUM(G61,I61,K61,M61,N61,O61,P61,Q61,R61,S61,U61,V61,W61,Y61,Z61,AA61,AB61,AC61,AE61,AF61,AG61)*Valores!$C$54</f>
        <v>0</v>
      </c>
      <c r="AI61" s="54">
        <f t="shared" ca="1" si="6"/>
        <v>39335.850000000006</v>
      </c>
      <c r="AJ61" s="81">
        <f>Valores!$C$35</f>
        <v>182.07</v>
      </c>
      <c r="AK61" s="82">
        <f>Valores!$C$8</f>
        <v>204.1</v>
      </c>
      <c r="AL61" s="90">
        <v>112.25</v>
      </c>
      <c r="AM61" s="82">
        <f ca="1">IF($G$4="SI",SUM(AK61+AL61),AK61)*Valores!$C$54</f>
        <v>0</v>
      </c>
      <c r="AN61" s="186">
        <f t="shared" ca="1" si="7"/>
        <v>498.41999999999996</v>
      </c>
      <c r="AO61" s="154">
        <f ca="1">AI61*-Valores!$C$56</f>
        <v>-5113.6605000000009</v>
      </c>
      <c r="AP61" s="154">
        <f ca="1">AI61*-Valores!$C$57</f>
        <v>-196.67925000000002</v>
      </c>
      <c r="AQ61" s="81">
        <f ca="1">AI61*-Valores!$C$58</f>
        <v>-1770.1132500000001</v>
      </c>
      <c r="AR61" s="81">
        <f ca="1">AI61*-Valores!$C$59</f>
        <v>-1062.0679500000003</v>
      </c>
      <c r="AS61" s="81">
        <f ca="1">AI61*-Valores!$C$60</f>
        <v>-118.00755000000002</v>
      </c>
      <c r="AT61" s="54">
        <f t="shared" ca="1" si="4"/>
        <v>32753.816999999999</v>
      </c>
      <c r="AU61" s="54">
        <f t="shared" ca="1" si="5"/>
        <v>33343.854750000006</v>
      </c>
      <c r="AV61" s="81">
        <f ca="1">AI61*Valores!$C$61</f>
        <v>6293.7360000000008</v>
      </c>
      <c r="AW61" s="81">
        <f ca="1">AI61*Valores!$C$62</f>
        <v>1770.1132500000001</v>
      </c>
      <c r="AX61" s="81">
        <f ca="1">AI61*Valores!$C$64</f>
        <v>393.35850000000005</v>
      </c>
      <c r="AY61" s="81">
        <f ca="1">AI61*Valores!$C$65</f>
        <v>1376.7547500000003</v>
      </c>
      <c r="AZ61" s="81">
        <f ca="1">AI61*Valores!$C$66</f>
        <v>236.01510000000005</v>
      </c>
      <c r="BA61" s="81">
        <f t="shared" ca="1" si="8"/>
        <v>2124.1359000000007</v>
      </c>
      <c r="BB61" s="55"/>
      <c r="BC61" s="55">
        <v>30</v>
      </c>
      <c r="BD61" s="52" t="s">
        <v>467</v>
      </c>
    </row>
    <row r="62" spans="1:56" s="9" customFormat="1" ht="11.25" customHeight="1" x14ac:dyDescent="0.15">
      <c r="A62" s="20">
        <v>61</v>
      </c>
      <c r="B62" s="20"/>
      <c r="C62" s="9" t="s">
        <v>106</v>
      </c>
      <c r="E62" s="10" t="s">
        <v>107</v>
      </c>
      <c r="F62" s="123">
        <v>81</v>
      </c>
      <c r="G62" s="7">
        <f ca="1">INT((F62*Valores!$C$2*100)+0.5)/100</f>
        <v>415.91</v>
      </c>
      <c r="H62" s="113">
        <v>2354</v>
      </c>
      <c r="I62" s="77">
        <f ca="1">INT((H62*Valores!$C$2*100)+0.5)/100</f>
        <v>12087.08</v>
      </c>
      <c r="J62" s="147">
        <v>0</v>
      </c>
      <c r="K62" s="77">
        <f ca="1">INT((J62*Valores!$C$2*100)+0.5)/100</f>
        <v>0</v>
      </c>
      <c r="L62" s="120">
        <v>0</v>
      </c>
      <c r="M62" s="77">
        <f ca="1">INT((L62*Valores!$C$2*100)+0.5)/100</f>
        <v>0</v>
      </c>
      <c r="N62" s="77">
        <f t="shared" ca="1" si="0"/>
        <v>0</v>
      </c>
      <c r="O62" s="77">
        <f t="shared" ca="1" si="1"/>
        <v>13262.119999999999</v>
      </c>
      <c r="P62" s="78">
        <f>Valores!$C$16</f>
        <v>3165.05</v>
      </c>
      <c r="Q62" s="78">
        <f ca="1">Valores!$D$4</f>
        <v>2296.75</v>
      </c>
      <c r="R62" s="61">
        <f>Valores!$C$26</f>
        <v>2298.92</v>
      </c>
      <c r="S62" s="87">
        <f>Valores!$C$42</f>
        <v>759.13</v>
      </c>
      <c r="T62" s="77">
        <f>Valores!$C$23</f>
        <v>2221.56</v>
      </c>
      <c r="U62" s="77">
        <f t="shared" ca="1" si="12"/>
        <v>4443.12</v>
      </c>
      <c r="V62" s="77">
        <v>0</v>
      </c>
      <c r="W62" s="77">
        <v>0</v>
      </c>
      <c r="X62" s="116">
        <v>0</v>
      </c>
      <c r="Y62" s="77">
        <f ca="1">X62*Valores!$C$2</f>
        <v>0</v>
      </c>
      <c r="Z62" s="77">
        <v>0</v>
      </c>
      <c r="AA62" s="89">
        <f>Valores!$C$29</f>
        <v>131.68</v>
      </c>
      <c r="AB62" s="77">
        <f t="shared" ca="1" si="3"/>
        <v>0</v>
      </c>
      <c r="AC62" s="77">
        <f>Valores!$C$30</f>
        <v>131.68</v>
      </c>
      <c r="AD62" s="116">
        <v>94</v>
      </c>
      <c r="AE62" s="77">
        <f ca="1">INT(((AD62*Valores!$C$2)*100)+0.5)/100</f>
        <v>482.66</v>
      </c>
      <c r="AF62" s="77">
        <f>Valores!$C$51</f>
        <v>267.87</v>
      </c>
      <c r="AG62" s="77">
        <f>Valores!$C$52</f>
        <v>76.540000000000006</v>
      </c>
      <c r="AH62" s="77">
        <f ca="1">SUM(G62,I62,K62,M62,N62,O62,P62,Q62,R62,S62,U62,V62,W62,Y62,Z62,AA62,AB62,AC62,AE62,AF62,AG62)*Valores!$C$54</f>
        <v>0</v>
      </c>
      <c r="AI62" s="15">
        <f t="shared" ca="1" si="6"/>
        <v>39818.510000000009</v>
      </c>
      <c r="AJ62" s="78">
        <f>Valores!$C$35</f>
        <v>182.07</v>
      </c>
      <c r="AK62" s="79">
        <f>Valores!$C$8</f>
        <v>204.1</v>
      </c>
      <c r="AL62" s="89">
        <v>112.25</v>
      </c>
      <c r="AM62" s="79">
        <f ca="1">IF($G$4="SI",SUM(AK62+AL62),AK62)*Valores!$C$54</f>
        <v>0</v>
      </c>
      <c r="AN62" s="12">
        <f t="shared" ca="1" si="7"/>
        <v>498.41999999999996</v>
      </c>
      <c r="AO62" s="153">
        <f ca="1">AI62*-Valores!$C$56</f>
        <v>-5176.4063000000015</v>
      </c>
      <c r="AP62" s="153">
        <f ca="1">AI62*-Valores!$C$57</f>
        <v>-199.09255000000005</v>
      </c>
      <c r="AQ62" s="78">
        <f ca="1">AI62*-Valores!$C$58</f>
        <v>-1791.8329500000004</v>
      </c>
      <c r="AR62" s="78">
        <f ca="1">AI62*-Valores!$C$59</f>
        <v>-1075.0997700000005</v>
      </c>
      <c r="AS62" s="78">
        <f ca="1">AI62*-Valores!$C$60</f>
        <v>-119.45553000000002</v>
      </c>
      <c r="AT62" s="15">
        <f t="shared" ca="1" si="4"/>
        <v>33149.5982</v>
      </c>
      <c r="AU62" s="15">
        <f t="shared" ca="1" si="5"/>
        <v>33746.875850000004</v>
      </c>
      <c r="AV62" s="78">
        <f ca="1">AI62*Valores!$C$61</f>
        <v>6370.9616000000015</v>
      </c>
      <c r="AW62" s="78">
        <f ca="1">AI62*Valores!$C$62</f>
        <v>1791.8329500000004</v>
      </c>
      <c r="AX62" s="78">
        <f ca="1">AI62*Valores!$C$64</f>
        <v>398.18510000000009</v>
      </c>
      <c r="AY62" s="78">
        <f ca="1">AI62*Valores!$C$65</f>
        <v>1393.6478500000005</v>
      </c>
      <c r="AZ62" s="78">
        <f ca="1">AI62*Valores!$C$66</f>
        <v>238.91106000000005</v>
      </c>
      <c r="BA62" s="78">
        <f t="shared" ca="1" si="8"/>
        <v>2150.1995400000005</v>
      </c>
      <c r="BB62" s="20"/>
      <c r="BC62" s="20">
        <v>25</v>
      </c>
      <c r="BD62" s="9" t="s">
        <v>467</v>
      </c>
    </row>
    <row r="63" spans="1:56" s="9" customFormat="1" ht="11.25" customHeight="1" x14ac:dyDescent="0.15">
      <c r="A63" s="20">
        <v>62</v>
      </c>
      <c r="B63" s="20"/>
      <c r="C63" s="9" t="s">
        <v>108</v>
      </c>
      <c r="E63" s="10" t="s">
        <v>109</v>
      </c>
      <c r="F63" s="123">
        <v>81</v>
      </c>
      <c r="G63" s="7">
        <f ca="1">INT((F63*Valores!$C$2*100)+0.5)/100</f>
        <v>415.91</v>
      </c>
      <c r="H63" s="113">
        <v>2094</v>
      </c>
      <c r="I63" s="77">
        <f ca="1">INT((H63*Valores!$C$2*100)+0.5)/100</f>
        <v>10752.06</v>
      </c>
      <c r="J63" s="147">
        <v>0</v>
      </c>
      <c r="K63" s="77">
        <f ca="1">INT((J63*Valores!$C$2*100)+0.5)/100</f>
        <v>0</v>
      </c>
      <c r="L63" s="120">
        <v>0</v>
      </c>
      <c r="M63" s="77">
        <f ca="1">INT((L63*Valores!$C$2*100)+0.5)/100</f>
        <v>0</v>
      </c>
      <c r="N63" s="77">
        <f t="shared" ca="1" si="0"/>
        <v>0</v>
      </c>
      <c r="O63" s="77">
        <f t="shared" ca="1" si="1"/>
        <v>11927.099999999999</v>
      </c>
      <c r="P63" s="78">
        <f>Valores!$C$16</f>
        <v>3165.05</v>
      </c>
      <c r="Q63" s="78">
        <f ca="1">Valores!$D$4</f>
        <v>2296.75</v>
      </c>
      <c r="R63" s="61">
        <f>Valores!$C$26</f>
        <v>2298.92</v>
      </c>
      <c r="S63" s="87">
        <f>Valores!$C$42</f>
        <v>759.13</v>
      </c>
      <c r="T63" s="77">
        <f>Valores!$C$23</f>
        <v>2221.56</v>
      </c>
      <c r="U63" s="77">
        <f t="shared" ca="1" si="12"/>
        <v>4443.12</v>
      </c>
      <c r="V63" s="77">
        <v>0</v>
      </c>
      <c r="W63" s="77">
        <v>0</v>
      </c>
      <c r="X63" s="116">
        <v>0</v>
      </c>
      <c r="Y63" s="77">
        <f ca="1">X63*Valores!$C$2</f>
        <v>0</v>
      </c>
      <c r="Z63" s="77">
        <v>0</v>
      </c>
      <c r="AA63" s="89">
        <f>Valores!$C$29</f>
        <v>131.68</v>
      </c>
      <c r="AB63" s="77">
        <f t="shared" ca="1" si="3"/>
        <v>0</v>
      </c>
      <c r="AC63" s="77">
        <f>Valores!$C$30</f>
        <v>131.68</v>
      </c>
      <c r="AD63" s="116">
        <v>0</v>
      </c>
      <c r="AE63" s="77">
        <f ca="1">INT(((AD63*Valores!$C$2)*100)+0.5)/100</f>
        <v>0</v>
      </c>
      <c r="AF63" s="77">
        <f>Valores!$C$51</f>
        <v>267.87</v>
      </c>
      <c r="AG63" s="77">
        <f>Valores!$C$52</f>
        <v>76.540000000000006</v>
      </c>
      <c r="AH63" s="77">
        <f ca="1">SUM(G63,I63,K63,M63,N63,O63,P63,Q63,R63,S63,U63,V63,W63,Y63,Z63,AA63,AB63,AC63,AE63,AF63,AG63)*Valores!$C$54</f>
        <v>0</v>
      </c>
      <c r="AI63" s="15">
        <f t="shared" ca="1" si="6"/>
        <v>36665.810000000005</v>
      </c>
      <c r="AJ63" s="78">
        <f>Valores!$C$35</f>
        <v>182.07</v>
      </c>
      <c r="AK63" s="79">
        <f>Valores!$C$8</f>
        <v>204.1</v>
      </c>
      <c r="AL63" s="89">
        <v>112.25</v>
      </c>
      <c r="AM63" s="79">
        <f ca="1">IF($G$4="SI",SUM(AK63+AL63),AK63)*Valores!$C$54</f>
        <v>0</v>
      </c>
      <c r="AN63" s="12">
        <f t="shared" ca="1" si="7"/>
        <v>498.41999999999996</v>
      </c>
      <c r="AO63" s="153">
        <f ca="1">AI63*-Valores!$C$56</f>
        <v>-4766.5553000000009</v>
      </c>
      <c r="AP63" s="153">
        <f ca="1">AI63*-Valores!$C$57</f>
        <v>-183.32905000000002</v>
      </c>
      <c r="AQ63" s="78">
        <f ca="1">AI63*-Valores!$C$58</f>
        <v>-1649.9614500000002</v>
      </c>
      <c r="AR63" s="78">
        <f ca="1">AI63*-Valores!$C$59</f>
        <v>-989.9768700000003</v>
      </c>
      <c r="AS63" s="78">
        <f ca="1">AI63*-Valores!$C$60</f>
        <v>-109.99743000000002</v>
      </c>
      <c r="AT63" s="15">
        <f t="shared" ca="1" si="4"/>
        <v>30564.3842</v>
      </c>
      <c r="AU63" s="15">
        <f t="shared" ca="1" si="5"/>
        <v>31114.371350000005</v>
      </c>
      <c r="AV63" s="78">
        <f ca="1">AI63*Valores!$C$61</f>
        <v>5866.5296000000008</v>
      </c>
      <c r="AW63" s="78">
        <f ca="1">AI63*Valores!$C$62</f>
        <v>1649.9614500000002</v>
      </c>
      <c r="AX63" s="78">
        <f ca="1">AI63*Valores!$C$64</f>
        <v>366.65810000000005</v>
      </c>
      <c r="AY63" s="78">
        <f ca="1">AI63*Valores!$C$65</f>
        <v>1283.3033500000004</v>
      </c>
      <c r="AZ63" s="78">
        <f ca="1">AI63*Valores!$C$66</f>
        <v>219.99486000000005</v>
      </c>
      <c r="BA63" s="78">
        <f t="shared" ca="1" si="8"/>
        <v>1979.9537400000004</v>
      </c>
      <c r="BB63" s="20"/>
      <c r="BC63" s="20">
        <v>30</v>
      </c>
      <c r="BD63" s="9" t="s">
        <v>467</v>
      </c>
    </row>
    <row r="64" spans="1:56" s="9" customFormat="1" ht="11.25" customHeight="1" x14ac:dyDescent="0.15">
      <c r="A64" s="20">
        <v>63</v>
      </c>
      <c r="B64" s="20"/>
      <c r="C64" s="9" t="s">
        <v>110</v>
      </c>
      <c r="E64" s="10" t="s">
        <v>111</v>
      </c>
      <c r="F64" s="123">
        <v>80</v>
      </c>
      <c r="G64" s="7">
        <f ca="1">INT((F64*Valores!$C$2*100)+0.5)/100</f>
        <v>410.78</v>
      </c>
      <c r="H64" s="113">
        <v>2095</v>
      </c>
      <c r="I64" s="77">
        <f ca="1">INT((H64*Valores!$C$2*100)+0.5)/100</f>
        <v>10757.2</v>
      </c>
      <c r="J64" s="147">
        <v>0</v>
      </c>
      <c r="K64" s="77">
        <f ca="1">INT((J64*Valores!$C$2*100)+0.5)/100</f>
        <v>0</v>
      </c>
      <c r="L64" s="120">
        <v>0</v>
      </c>
      <c r="M64" s="77">
        <f ca="1">INT((L64*Valores!$C$2*100)+0.5)/100</f>
        <v>0</v>
      </c>
      <c r="N64" s="77">
        <f t="shared" ca="1" si="0"/>
        <v>0</v>
      </c>
      <c r="O64" s="77">
        <f t="shared" ca="1" si="1"/>
        <v>11927.11</v>
      </c>
      <c r="P64" s="78">
        <f>Valores!$C$16</f>
        <v>3165.05</v>
      </c>
      <c r="Q64" s="78">
        <f ca="1">Valores!$D$4</f>
        <v>2296.75</v>
      </c>
      <c r="R64" s="77">
        <f>Valores!$C$26</f>
        <v>2298.92</v>
      </c>
      <c r="S64" s="79">
        <f>Valores!$C$42</f>
        <v>759.13</v>
      </c>
      <c r="T64" s="77">
        <f>Valores!$C$23</f>
        <v>2221.56</v>
      </c>
      <c r="U64" s="77">
        <f t="shared" ca="1" si="12"/>
        <v>4443.12</v>
      </c>
      <c r="V64" s="77">
        <v>0</v>
      </c>
      <c r="W64" s="77">
        <v>0</v>
      </c>
      <c r="X64" s="116">
        <v>0</v>
      </c>
      <c r="Y64" s="77">
        <f ca="1">X64*Valores!$C$2</f>
        <v>0</v>
      </c>
      <c r="Z64" s="77">
        <v>0</v>
      </c>
      <c r="AA64" s="89">
        <f>Valores!$C$29</f>
        <v>131.68</v>
      </c>
      <c r="AB64" s="77">
        <f t="shared" ca="1" si="3"/>
        <v>0</v>
      </c>
      <c r="AC64" s="77">
        <f>Valores!$C$30</f>
        <v>131.68</v>
      </c>
      <c r="AD64" s="116">
        <v>94</v>
      </c>
      <c r="AE64" s="77">
        <f ca="1">INT(((AD64*Valores!$C$2)*100)+0.5)/100</f>
        <v>482.66</v>
      </c>
      <c r="AF64" s="77">
        <f>Valores!$C$51</f>
        <v>267.87</v>
      </c>
      <c r="AG64" s="77">
        <f>Valores!$C$52</f>
        <v>76.540000000000006</v>
      </c>
      <c r="AH64" s="77">
        <f ca="1">SUM(G64,I64,K64,M64,N64,O64,P64,Q64,R64,S64,U64,V64,W64,Y64,Z64,AA64,AB64,AC64,AE64,AF64,AG64)*Valores!$C$54</f>
        <v>0</v>
      </c>
      <c r="AI64" s="15">
        <f t="shared" ca="1" si="6"/>
        <v>37148.490000000013</v>
      </c>
      <c r="AJ64" s="78">
        <f>Valores!$C$35</f>
        <v>182.07</v>
      </c>
      <c r="AK64" s="79">
        <f>Valores!$C$8</f>
        <v>204.1</v>
      </c>
      <c r="AL64" s="89">
        <v>112.25</v>
      </c>
      <c r="AM64" s="79">
        <f ca="1">IF($G$4="SI",SUM(AK64+AL64),AK64)*Valores!$C$54</f>
        <v>0</v>
      </c>
      <c r="AN64" s="12">
        <f t="shared" ca="1" si="7"/>
        <v>498.41999999999996</v>
      </c>
      <c r="AO64" s="153">
        <f ca="1">AI64*-Valores!$C$56</f>
        <v>-4829.3037000000022</v>
      </c>
      <c r="AP64" s="153">
        <f ca="1">AI64*-Valores!$C$57</f>
        <v>-185.74245000000008</v>
      </c>
      <c r="AQ64" s="78">
        <f ca="1">AI64*-Valores!$C$58</f>
        <v>-1671.6820500000006</v>
      </c>
      <c r="AR64" s="78">
        <f ca="1">AI64*-Valores!$C$59</f>
        <v>-1003.0092300000005</v>
      </c>
      <c r="AS64" s="78">
        <f ca="1">AI64*-Valores!$C$60</f>
        <v>-111.44547000000004</v>
      </c>
      <c r="AT64" s="15">
        <f t="shared" ca="1" si="4"/>
        <v>30960.181800000006</v>
      </c>
      <c r="AU64" s="15">
        <f t="shared" ca="1" si="5"/>
        <v>31517.409150000007</v>
      </c>
      <c r="AV64" s="78">
        <f ca="1">AI64*Valores!$C$61</f>
        <v>5943.7584000000024</v>
      </c>
      <c r="AW64" s="78">
        <f ca="1">AI64*Valores!$C$62</f>
        <v>1671.6820500000006</v>
      </c>
      <c r="AX64" s="78">
        <f ca="1">AI64*Valores!$C$64</f>
        <v>371.48490000000015</v>
      </c>
      <c r="AY64" s="78">
        <f ca="1">AI64*Valores!$C$65</f>
        <v>1300.1971500000006</v>
      </c>
      <c r="AZ64" s="78">
        <f ca="1">AI64*Valores!$C$66</f>
        <v>222.89094000000009</v>
      </c>
      <c r="BA64" s="78">
        <f t="shared" ca="1" si="8"/>
        <v>2006.0184600000007</v>
      </c>
      <c r="BB64" s="20"/>
      <c r="BC64" s="20">
        <v>25</v>
      </c>
      <c r="BD64" s="9" t="s">
        <v>467</v>
      </c>
    </row>
    <row r="65" spans="1:56" s="9" customFormat="1" ht="11.25" customHeight="1" x14ac:dyDescent="0.15">
      <c r="A65" s="20">
        <v>64</v>
      </c>
      <c r="B65" s="20"/>
      <c r="C65" s="9" t="s">
        <v>112</v>
      </c>
      <c r="E65" s="10" t="s">
        <v>113</v>
      </c>
      <c r="F65" s="123">
        <v>79</v>
      </c>
      <c r="G65" s="7">
        <f ca="1">INT((F65*Valores!$C$2*100)+0.5)/100</f>
        <v>405.64</v>
      </c>
      <c r="H65" s="113">
        <v>1944</v>
      </c>
      <c r="I65" s="77">
        <f ca="1">INT((H65*Valores!$C$2*100)+0.5)/100</f>
        <v>9981.86</v>
      </c>
      <c r="J65" s="147">
        <v>0</v>
      </c>
      <c r="K65" s="77">
        <f ca="1">INT((J65*Valores!$C$2*100)+0.5)/100</f>
        <v>0</v>
      </c>
      <c r="L65" s="120">
        <v>0</v>
      </c>
      <c r="M65" s="77">
        <f ca="1">INT((L65*Valores!$C$2*100)+0.5)/100</f>
        <v>0</v>
      </c>
      <c r="N65" s="77">
        <f t="shared" ca="1" si="0"/>
        <v>0</v>
      </c>
      <c r="O65" s="77">
        <f t="shared" ca="1" si="1"/>
        <v>11146.63</v>
      </c>
      <c r="P65" s="78">
        <f>Valores!$C$16</f>
        <v>3165.05</v>
      </c>
      <c r="Q65" s="78">
        <f ca="1">Valores!$D$4</f>
        <v>2296.75</v>
      </c>
      <c r="R65" s="61">
        <f>Valores!$C$26</f>
        <v>2298.92</v>
      </c>
      <c r="S65" s="87">
        <f>Valores!$C$42</f>
        <v>759.13</v>
      </c>
      <c r="T65" s="77">
        <f>Valores!$C$23</f>
        <v>2221.56</v>
      </c>
      <c r="U65" s="77">
        <f t="shared" ca="1" si="12"/>
        <v>4443.12</v>
      </c>
      <c r="V65" s="77">
        <v>0</v>
      </c>
      <c r="W65" s="77">
        <v>0</v>
      </c>
      <c r="X65" s="116">
        <v>0</v>
      </c>
      <c r="Y65" s="77">
        <f ca="1">X65*Valores!$C$2</f>
        <v>0</v>
      </c>
      <c r="Z65" s="77">
        <v>0</v>
      </c>
      <c r="AA65" s="89">
        <f>Valores!$C$29</f>
        <v>131.68</v>
      </c>
      <c r="AB65" s="77">
        <f t="shared" ca="1" si="3"/>
        <v>0</v>
      </c>
      <c r="AC65" s="77">
        <f>Valores!$C$30</f>
        <v>131.68</v>
      </c>
      <c r="AD65" s="116">
        <v>0</v>
      </c>
      <c r="AE65" s="77">
        <f ca="1">INT(((AD65*Valores!$C$2)*100)+0.5)/100</f>
        <v>0</v>
      </c>
      <c r="AF65" s="77">
        <f>Valores!$C$51</f>
        <v>267.87</v>
      </c>
      <c r="AG65" s="77">
        <f>Valores!$C$52</f>
        <v>76.540000000000006</v>
      </c>
      <c r="AH65" s="77">
        <f ca="1">SUM(G65,I65,K65,M65,N65,O65,P65,Q65,R65,S65,U65,V65,W65,Y65,Z65,AA65,AB65,AC65,AE65,AF65,AG65)*Valores!$C$54</f>
        <v>0</v>
      </c>
      <c r="AI65" s="15">
        <f t="shared" ca="1" si="6"/>
        <v>35104.870000000003</v>
      </c>
      <c r="AJ65" s="78">
        <f>Valores!$C$35</f>
        <v>182.07</v>
      </c>
      <c r="AK65" s="79">
        <f>Valores!$C$8</f>
        <v>204.1</v>
      </c>
      <c r="AL65" s="89">
        <v>0</v>
      </c>
      <c r="AM65" s="79">
        <f ca="1">IF($G$4="SI",SUM(AK65+AL65),AK65)*Valores!$C$54</f>
        <v>0</v>
      </c>
      <c r="AN65" s="12">
        <f t="shared" ca="1" si="7"/>
        <v>386.16999999999996</v>
      </c>
      <c r="AO65" s="153">
        <f ca="1">AI65*-Valores!$C$56</f>
        <v>-4563.6331000000009</v>
      </c>
      <c r="AP65" s="153">
        <f ca="1">AI65*-Valores!$C$57</f>
        <v>-175.52435000000003</v>
      </c>
      <c r="AQ65" s="78">
        <f ca="1">AI65*-Valores!$C$58</f>
        <v>-1579.7191500000001</v>
      </c>
      <c r="AR65" s="78">
        <f ca="1">AI65*-Valores!$C$59</f>
        <v>-947.83149000000014</v>
      </c>
      <c r="AS65" s="78">
        <f ca="1">AI65*-Valores!$C$60</f>
        <v>-105.31461000000002</v>
      </c>
      <c r="AT65" s="15">
        <f t="shared" ca="1" si="4"/>
        <v>29172.163400000005</v>
      </c>
      <c r="AU65" s="15">
        <f t="shared" ca="1" si="5"/>
        <v>29698.736450000004</v>
      </c>
      <c r="AV65" s="78">
        <f ca="1">AI65*Valores!$C$61</f>
        <v>5616.7792000000009</v>
      </c>
      <c r="AW65" s="78">
        <f ca="1">AI65*Valores!$C$62</f>
        <v>1579.7191500000001</v>
      </c>
      <c r="AX65" s="78">
        <f ca="1">AI65*Valores!$C$64</f>
        <v>351.04870000000005</v>
      </c>
      <c r="AY65" s="78">
        <f ca="1">AI65*Valores!$C$65</f>
        <v>1228.6704500000003</v>
      </c>
      <c r="AZ65" s="78">
        <f ca="1">AI65*Valores!$C$66</f>
        <v>210.62922000000003</v>
      </c>
      <c r="BA65" s="78">
        <f t="shared" ca="1" si="8"/>
        <v>1895.6629800000003</v>
      </c>
      <c r="BB65" s="20"/>
      <c r="BC65" s="20">
        <v>30</v>
      </c>
      <c r="BD65" s="9" t="s">
        <v>467</v>
      </c>
    </row>
    <row r="66" spans="1:56" s="9" customFormat="1" ht="11.25" customHeight="1" x14ac:dyDescent="0.15">
      <c r="A66" s="55">
        <v>65</v>
      </c>
      <c r="B66" s="55" t="s">
        <v>462</v>
      </c>
      <c r="C66" s="52" t="s">
        <v>114</v>
      </c>
      <c r="D66" s="52"/>
      <c r="E66" s="53" t="s">
        <v>115</v>
      </c>
      <c r="F66" s="124">
        <v>79</v>
      </c>
      <c r="G66" s="129">
        <f ca="1">INT((F66*Valores!$C$2*100)+0.5)/100</f>
        <v>405.64</v>
      </c>
      <c r="H66" s="114">
        <v>1944</v>
      </c>
      <c r="I66" s="80">
        <f ca="1">INT((H66*Valores!$C$2*100)+0.5)/100</f>
        <v>9981.86</v>
      </c>
      <c r="J66" s="148">
        <v>0</v>
      </c>
      <c r="K66" s="80">
        <f ca="1">INT((J66*Valores!$C$2*100)+0.5)/100</f>
        <v>0</v>
      </c>
      <c r="L66" s="121">
        <v>0</v>
      </c>
      <c r="M66" s="80">
        <f ca="1">INT((L66*Valores!$C$2*100)+0.5)/100</f>
        <v>0</v>
      </c>
      <c r="N66" s="80">
        <f t="shared" ca="1" si="0"/>
        <v>0</v>
      </c>
      <c r="O66" s="80">
        <f t="shared" ca="1" si="1"/>
        <v>11146.63</v>
      </c>
      <c r="P66" s="81">
        <f>Valores!$C$16</f>
        <v>3165.05</v>
      </c>
      <c r="Q66" s="81">
        <f ca="1">Valores!$D$4</f>
        <v>2296.75</v>
      </c>
      <c r="R66" s="85">
        <f>Valores!$C$26</f>
        <v>2298.92</v>
      </c>
      <c r="S66" s="88">
        <f>Valores!$C$42</f>
        <v>759.13</v>
      </c>
      <c r="T66" s="80">
        <f>Valores!$C$23</f>
        <v>2221.56</v>
      </c>
      <c r="U66" s="80">
        <f t="shared" ca="1" si="12"/>
        <v>4443.12</v>
      </c>
      <c r="V66" s="80">
        <v>0</v>
      </c>
      <c r="W66" s="80">
        <v>0</v>
      </c>
      <c r="X66" s="115">
        <v>0</v>
      </c>
      <c r="Y66" s="80">
        <f ca="1">X66*Valores!$C$2</f>
        <v>0</v>
      </c>
      <c r="Z66" s="80">
        <v>0</v>
      </c>
      <c r="AA66" s="90">
        <f>Valores!$C$29</f>
        <v>131.68</v>
      </c>
      <c r="AB66" s="80">
        <f t="shared" ca="1" si="3"/>
        <v>0</v>
      </c>
      <c r="AC66" s="80">
        <f>Valores!$C$30</f>
        <v>131.68</v>
      </c>
      <c r="AD66" s="115">
        <v>94</v>
      </c>
      <c r="AE66" s="80">
        <f ca="1">INT(((AD66*Valores!$C$2)*100)+0.5)/100</f>
        <v>482.66</v>
      </c>
      <c r="AF66" s="80">
        <f>Valores!$C$51</f>
        <v>267.87</v>
      </c>
      <c r="AG66" s="80">
        <f>Valores!$C$52</f>
        <v>76.540000000000006</v>
      </c>
      <c r="AH66" s="80">
        <f ca="1">SUM(G66,I66,K66,M66,N66,O66,P66,Q66,R66,S66,U66,V66,W66,Y66,Z66,AA66,AB66,AC66,AE66,AF66,AG66)*Valores!$C$54</f>
        <v>0</v>
      </c>
      <c r="AI66" s="54">
        <f t="shared" ca="1" si="6"/>
        <v>35587.530000000006</v>
      </c>
      <c r="AJ66" s="81">
        <f>Valores!$C$35</f>
        <v>182.07</v>
      </c>
      <c r="AK66" s="82">
        <f>Valores!$C$8</f>
        <v>204.1</v>
      </c>
      <c r="AL66" s="90">
        <v>0</v>
      </c>
      <c r="AM66" s="82">
        <f ca="1">IF($G$4="SI",SUM(AK66+AL66),AK66)*Valores!$C$54</f>
        <v>0</v>
      </c>
      <c r="AN66" s="186">
        <f t="shared" ca="1" si="7"/>
        <v>386.16999999999996</v>
      </c>
      <c r="AO66" s="154">
        <f ca="1">AI66*-Valores!$C$56</f>
        <v>-4626.3789000000006</v>
      </c>
      <c r="AP66" s="154">
        <f ca="1">AI66*-Valores!$C$57</f>
        <v>-177.93765000000005</v>
      </c>
      <c r="AQ66" s="81">
        <f ca="1">AI66*-Valores!$C$58</f>
        <v>-1601.4388500000002</v>
      </c>
      <c r="AR66" s="81">
        <f ca="1">AI66*-Valores!$C$59</f>
        <v>-960.8633100000003</v>
      </c>
      <c r="AS66" s="81">
        <f ca="1">AI66*-Valores!$C$60</f>
        <v>-106.76259000000002</v>
      </c>
      <c r="AT66" s="54">
        <f t="shared" ca="1" si="4"/>
        <v>29567.944600000006</v>
      </c>
      <c r="AU66" s="54">
        <f t="shared" ca="1" si="5"/>
        <v>30101.757550000006</v>
      </c>
      <c r="AV66" s="81">
        <f ca="1">AI66*Valores!$C$61</f>
        <v>5694.0048000000015</v>
      </c>
      <c r="AW66" s="81">
        <f ca="1">AI66*Valores!$C$62</f>
        <v>1601.4388500000002</v>
      </c>
      <c r="AX66" s="81">
        <f ca="1">AI66*Valores!$C$64</f>
        <v>355.8753000000001</v>
      </c>
      <c r="AY66" s="81">
        <f ca="1">AI66*Valores!$C$65</f>
        <v>1245.5635500000003</v>
      </c>
      <c r="AZ66" s="81">
        <f ca="1">AI66*Valores!$C$66</f>
        <v>213.52518000000003</v>
      </c>
      <c r="BA66" s="81">
        <f t="shared" ca="1" si="8"/>
        <v>1921.7266200000004</v>
      </c>
      <c r="BB66" s="55"/>
      <c r="BC66" s="55">
        <v>25</v>
      </c>
      <c r="BD66" s="52" t="s">
        <v>466</v>
      </c>
    </row>
    <row r="67" spans="1:56" s="9" customFormat="1" ht="11.25" customHeight="1" x14ac:dyDescent="0.15">
      <c r="A67" s="20">
        <v>66</v>
      </c>
      <c r="B67" s="20"/>
      <c r="C67" s="9" t="s">
        <v>116</v>
      </c>
      <c r="E67" s="10" t="s">
        <v>117</v>
      </c>
      <c r="F67" s="123">
        <v>100</v>
      </c>
      <c r="G67" s="7">
        <f ca="1">INT((F67*Valores!$C$2*100)+0.5)/100</f>
        <v>513.47</v>
      </c>
      <c r="H67" s="113">
        <v>2864</v>
      </c>
      <c r="I67" s="77">
        <f ca="1">INT((H67*Valores!$C$2*100)+0.5)/100</f>
        <v>14705.78</v>
      </c>
      <c r="J67" s="147">
        <v>0</v>
      </c>
      <c r="K67" s="77">
        <f ca="1">INT((J67*Valores!$C$2*100)+0.5)/100</f>
        <v>0</v>
      </c>
      <c r="L67" s="120">
        <v>0</v>
      </c>
      <c r="M67" s="77">
        <f ca="1">INT((L67*Valores!$C$2*100)+0.5)/100</f>
        <v>0</v>
      </c>
      <c r="N67" s="77">
        <f t="shared" ca="1" si="0"/>
        <v>0</v>
      </c>
      <c r="O67" s="77">
        <f t="shared" ca="1" si="1"/>
        <v>15978.38</v>
      </c>
      <c r="P67" s="78">
        <f>Valores!$C$16</f>
        <v>3165.05</v>
      </c>
      <c r="Q67" s="78">
        <f ca="1">Valores!$D$4</f>
        <v>2296.75</v>
      </c>
      <c r="R67" s="77">
        <v>0</v>
      </c>
      <c r="S67" s="79">
        <f>Valores!$C$42</f>
        <v>759.13</v>
      </c>
      <c r="T67" s="77">
        <f>Valores!$C$23</f>
        <v>2221.56</v>
      </c>
      <c r="U67" s="77">
        <f t="shared" ca="1" si="12"/>
        <v>4443.12</v>
      </c>
      <c r="V67" s="77">
        <v>0</v>
      </c>
      <c r="W67" s="77">
        <v>0</v>
      </c>
      <c r="X67" s="116">
        <v>0</v>
      </c>
      <c r="Y67" s="77">
        <f ca="1">X67*Valores!$C$2</f>
        <v>0</v>
      </c>
      <c r="Z67" s="77">
        <v>0</v>
      </c>
      <c r="AA67" s="89">
        <f>Valores!$C$29</f>
        <v>131.68</v>
      </c>
      <c r="AB67" s="77">
        <f t="shared" ca="1" si="3"/>
        <v>0</v>
      </c>
      <c r="AC67" s="77">
        <f>Valores!$C$30</f>
        <v>131.68</v>
      </c>
      <c r="AD67" s="116">
        <v>0</v>
      </c>
      <c r="AE67" s="77">
        <f ca="1">INT(((AD67*Valores!$C$2)*100)+0.5)/100</f>
        <v>0</v>
      </c>
      <c r="AF67" s="77">
        <f>Valores!$C$51</f>
        <v>267.87</v>
      </c>
      <c r="AG67" s="77">
        <f>Valores!$C$52</f>
        <v>76.540000000000006</v>
      </c>
      <c r="AH67" s="77">
        <f ca="1">SUM(G67,I67,K67,M67,N67,O67,P67,Q67,R67,S67,U67,V67,W67,Y67,Z67,AA67,AB67,AC67,AE67,AF67,AG67)*Valores!$C$54</f>
        <v>0</v>
      </c>
      <c r="AI67" s="15">
        <f t="shared" ca="1" si="6"/>
        <v>42469.450000000004</v>
      </c>
      <c r="AJ67" s="78">
        <f>Valores!$C$35</f>
        <v>182.07</v>
      </c>
      <c r="AK67" s="79">
        <f>Valores!$C$8</f>
        <v>204.1</v>
      </c>
      <c r="AL67" s="89">
        <v>224.5</v>
      </c>
      <c r="AM67" s="79">
        <f ca="1">IF($G$4="SI",SUM(AK67+AL67),AK67)*Valores!$C$54</f>
        <v>0</v>
      </c>
      <c r="AN67" s="12">
        <f t="shared" ca="1" si="7"/>
        <v>610.66999999999996</v>
      </c>
      <c r="AO67" s="153">
        <f ca="1">AI67*-Valores!$C$56</f>
        <v>-5521.0285000000003</v>
      </c>
      <c r="AP67" s="153">
        <f ca="1">AI67*-Valores!$C$57</f>
        <v>-212.34725000000003</v>
      </c>
      <c r="AQ67" s="78">
        <f ca="1">AI67*-Valores!$C$58</f>
        <v>-1911.1252500000001</v>
      </c>
      <c r="AR67" s="78">
        <f ca="1">AI67*-Valores!$C$59</f>
        <v>-1146.6751500000003</v>
      </c>
      <c r="AS67" s="78">
        <f ca="1">AI67*-Valores!$C$60</f>
        <v>-127.40835000000001</v>
      </c>
      <c r="AT67" s="15">
        <f t="shared" ca="1" si="4"/>
        <v>35435.619000000006</v>
      </c>
      <c r="AU67" s="15">
        <f t="shared" ca="1" si="5"/>
        <v>36072.660750000003</v>
      </c>
      <c r="AV67" s="78">
        <f ca="1">AI67*Valores!$C$61</f>
        <v>6795.112000000001</v>
      </c>
      <c r="AW67" s="78">
        <f ca="1">AI67*Valores!$C$62</f>
        <v>1911.1252500000001</v>
      </c>
      <c r="AX67" s="78">
        <f ca="1">AI67*Valores!$C$64</f>
        <v>424.69450000000006</v>
      </c>
      <c r="AY67" s="78">
        <f ca="1">AI67*Valores!$C$65</f>
        <v>1486.4307500000002</v>
      </c>
      <c r="AZ67" s="78">
        <f ca="1">AI67*Valores!$C$66</f>
        <v>254.81670000000003</v>
      </c>
      <c r="BA67" s="78">
        <f t="shared" ca="1" si="8"/>
        <v>2293.3503000000001</v>
      </c>
      <c r="BB67" s="20"/>
      <c r="BC67" s="20"/>
      <c r="BD67" s="9" t="s">
        <v>467</v>
      </c>
    </row>
    <row r="68" spans="1:56" s="9" customFormat="1" ht="11.25" customHeight="1" x14ac:dyDescent="0.15">
      <c r="A68" s="20">
        <v>67</v>
      </c>
      <c r="B68" s="20"/>
      <c r="C68" s="9" t="s">
        <v>118</v>
      </c>
      <c r="E68" s="10" t="s">
        <v>119</v>
      </c>
      <c r="F68" s="123">
        <v>79</v>
      </c>
      <c r="G68" s="7">
        <f ca="1">INT((F68*Valores!$C$2*100)+0.5)/100</f>
        <v>405.64</v>
      </c>
      <c r="H68" s="113">
        <v>2161</v>
      </c>
      <c r="I68" s="77">
        <f ca="1">INT((H68*Valores!$C$2*100)+0.5)/100</f>
        <v>11096.09</v>
      </c>
      <c r="J68" s="147">
        <v>0</v>
      </c>
      <c r="K68" s="77">
        <f ca="1">INT((J68*Valores!$C$2*100)+0.5)/100</f>
        <v>0</v>
      </c>
      <c r="L68" s="120">
        <v>0</v>
      </c>
      <c r="M68" s="77">
        <f ca="1">INT((L68*Valores!$C$2*100)+0.5)/100</f>
        <v>0</v>
      </c>
      <c r="N68" s="77">
        <f t="shared" ca="1" si="0"/>
        <v>0</v>
      </c>
      <c r="O68" s="77">
        <f t="shared" ca="1" si="1"/>
        <v>12260.859999999999</v>
      </c>
      <c r="P68" s="78">
        <f>Valores!$C$16</f>
        <v>3165.05</v>
      </c>
      <c r="Q68" s="78">
        <f ca="1">Valores!$D$4</f>
        <v>2296.75</v>
      </c>
      <c r="R68" s="61">
        <f>Valores!$C$26</f>
        <v>2298.92</v>
      </c>
      <c r="S68" s="87">
        <f>Valores!$C$42</f>
        <v>759.13</v>
      </c>
      <c r="T68" s="77">
        <f>Valores!$C$23</f>
        <v>2221.56</v>
      </c>
      <c r="U68" s="77">
        <f t="shared" ca="1" si="12"/>
        <v>4443.12</v>
      </c>
      <c r="V68" s="77">
        <v>0</v>
      </c>
      <c r="W68" s="77">
        <v>0</v>
      </c>
      <c r="X68" s="116">
        <v>0</v>
      </c>
      <c r="Y68" s="77">
        <f ca="1">X68*Valores!$C$2</f>
        <v>0</v>
      </c>
      <c r="Z68" s="77">
        <v>0</v>
      </c>
      <c r="AA68" s="89">
        <f>Valores!$C$29</f>
        <v>131.68</v>
      </c>
      <c r="AB68" s="77">
        <f t="shared" ca="1" si="3"/>
        <v>0</v>
      </c>
      <c r="AC68" s="77">
        <f>Valores!$C$30</f>
        <v>131.68</v>
      </c>
      <c r="AD68" s="116">
        <v>0</v>
      </c>
      <c r="AE68" s="77">
        <f ca="1">INT(((AD68*Valores!$C$2)*100)+0.5)/100</f>
        <v>0</v>
      </c>
      <c r="AF68" s="77">
        <f>Valores!$C$51</f>
        <v>267.87</v>
      </c>
      <c r="AG68" s="77">
        <f>Valores!$C$52</f>
        <v>76.540000000000006</v>
      </c>
      <c r="AH68" s="77">
        <f ca="1">SUM(G68,I68,K68,M68,N68,O68,P68,Q68,R68,S68,U68,V68,W68,Y68,Z68,AA68,AB68,AC68,AE68,AF68,AG68)*Valores!$C$54</f>
        <v>0</v>
      </c>
      <c r="AI68" s="15">
        <f t="shared" ca="1" si="6"/>
        <v>37333.33</v>
      </c>
      <c r="AJ68" s="78">
        <f>Valores!$C$35</f>
        <v>182.07</v>
      </c>
      <c r="AK68" s="79">
        <f>Valores!$C$8</f>
        <v>204.1</v>
      </c>
      <c r="AL68" s="89">
        <v>0</v>
      </c>
      <c r="AM68" s="79">
        <f ca="1">IF($G$4="SI",SUM(AK68+AL68),AK68)*Valores!$C$54</f>
        <v>0</v>
      </c>
      <c r="AN68" s="12">
        <f t="shared" ca="1" si="7"/>
        <v>386.16999999999996</v>
      </c>
      <c r="AO68" s="153">
        <f ca="1">AI68*-Valores!$C$56</f>
        <v>-4853.3329000000003</v>
      </c>
      <c r="AP68" s="153">
        <f ca="1">AI68*-Valores!$C$57</f>
        <v>-186.66665</v>
      </c>
      <c r="AQ68" s="78">
        <f ca="1">AI68*-Valores!$C$58</f>
        <v>-1679.9998499999999</v>
      </c>
      <c r="AR68" s="78">
        <f ca="1">AI68*-Valores!$C$59</f>
        <v>-1007.9999100000001</v>
      </c>
      <c r="AS68" s="78">
        <f ca="1">AI68*-Valores!$C$60</f>
        <v>-111.99999000000001</v>
      </c>
      <c r="AT68" s="15">
        <f t="shared" ca="1" si="4"/>
        <v>30999.500599999999</v>
      </c>
      <c r="AU68" s="15">
        <f t="shared" ca="1" si="5"/>
        <v>31559.500550000001</v>
      </c>
      <c r="AV68" s="78">
        <f ca="1">AI68*Valores!$C$61</f>
        <v>5973.3328000000001</v>
      </c>
      <c r="AW68" s="78">
        <f ca="1">AI68*Valores!$C$62</f>
        <v>1679.9998499999999</v>
      </c>
      <c r="AX68" s="78">
        <f ca="1">AI68*Valores!$C$64</f>
        <v>373.33330000000001</v>
      </c>
      <c r="AY68" s="78">
        <f ca="1">AI68*Valores!$C$65</f>
        <v>1306.6665500000001</v>
      </c>
      <c r="AZ68" s="78">
        <f ca="1">AI68*Valores!$C$66</f>
        <v>223.99998000000002</v>
      </c>
      <c r="BA68" s="78">
        <f t="shared" ca="1" si="8"/>
        <v>2015.9998200000002</v>
      </c>
      <c r="BB68" s="20"/>
      <c r="BC68" s="20">
        <v>30</v>
      </c>
      <c r="BD68" s="9" t="s">
        <v>467</v>
      </c>
    </row>
    <row r="69" spans="1:56" s="9" customFormat="1" ht="11.25" customHeight="1" x14ac:dyDescent="0.15">
      <c r="A69" s="20">
        <v>68</v>
      </c>
      <c r="B69" s="20"/>
      <c r="C69" s="9" t="s">
        <v>120</v>
      </c>
      <c r="E69" s="10" t="s">
        <v>121</v>
      </c>
      <c r="F69" s="123">
        <v>90</v>
      </c>
      <c r="G69" s="7">
        <f ca="1">INT((F69*Valores!$C$2*100)+0.5)/100</f>
        <v>462.12</v>
      </c>
      <c r="H69" s="113">
        <v>3010</v>
      </c>
      <c r="I69" s="77">
        <f ca="1">INT((H69*Valores!$C$2*100)+0.5)/100</f>
        <v>15455.45</v>
      </c>
      <c r="J69" s="147">
        <v>0</v>
      </c>
      <c r="K69" s="77">
        <f ca="1">INT((J69*Valores!$C$2*100)+0.5)/100</f>
        <v>0</v>
      </c>
      <c r="L69" s="120">
        <v>0</v>
      </c>
      <c r="M69" s="77">
        <f ca="1">INT((L69*Valores!$C$2*100)+0.5)/100</f>
        <v>0</v>
      </c>
      <c r="N69" s="77">
        <f t="shared" ca="1" si="0"/>
        <v>0</v>
      </c>
      <c r="O69" s="77">
        <f t="shared" ca="1" si="1"/>
        <v>17056.260000000002</v>
      </c>
      <c r="P69" s="78">
        <f>Valores!$C$16</f>
        <v>3165.05</v>
      </c>
      <c r="Q69" s="78">
        <f ca="1">Valores!$D$4</f>
        <v>2296.75</v>
      </c>
      <c r="R69" s="77">
        <f>Valores!$C$26</f>
        <v>2298.92</v>
      </c>
      <c r="S69" s="79">
        <f>Valores!$C$43</f>
        <v>1138.69</v>
      </c>
      <c r="T69" s="77">
        <f>Valores!$C$23</f>
        <v>2221.56</v>
      </c>
      <c r="U69" s="77">
        <f t="shared" ca="1" si="12"/>
        <v>4443.12</v>
      </c>
      <c r="V69" s="77">
        <v>0</v>
      </c>
      <c r="W69" s="77">
        <v>0</v>
      </c>
      <c r="X69" s="116">
        <v>0</v>
      </c>
      <c r="Y69" s="77">
        <f ca="1">X69*Valores!$C$2</f>
        <v>0</v>
      </c>
      <c r="Z69" s="77">
        <v>0</v>
      </c>
      <c r="AA69" s="89">
        <f>Valores!$C$29</f>
        <v>131.68</v>
      </c>
      <c r="AB69" s="77">
        <f t="shared" ca="1" si="3"/>
        <v>0</v>
      </c>
      <c r="AC69" s="77">
        <f>Valores!$C$30</f>
        <v>131.68</v>
      </c>
      <c r="AD69" s="116">
        <v>0</v>
      </c>
      <c r="AE69" s="77">
        <f ca="1">INT(((AD69*Valores!$C$2)*100)+0.5)/100</f>
        <v>0</v>
      </c>
      <c r="AF69" s="77">
        <f>Valores!$C$51</f>
        <v>267.87</v>
      </c>
      <c r="AG69" s="77">
        <f>Valores!$C$52</f>
        <v>76.540000000000006</v>
      </c>
      <c r="AH69" s="77">
        <f ca="1">SUM(G69,I69,K69,M69,N69,O69,P69,Q69,R69,S69,U69,V69,W69,Y69,Z69,AA69,AB69,AC69,AE69,AF69,AG69)*Valores!$C$54</f>
        <v>0</v>
      </c>
      <c r="AI69" s="15">
        <f t="shared" ca="1" si="6"/>
        <v>46924.130000000012</v>
      </c>
      <c r="AJ69" s="78">
        <f>Valores!$C$35</f>
        <v>182.07</v>
      </c>
      <c r="AK69" s="79">
        <f>Valores!$C$9</f>
        <v>306.14</v>
      </c>
      <c r="AL69" s="89">
        <v>224.5</v>
      </c>
      <c r="AM69" s="79">
        <f ca="1">IF($G$4="SI",SUM(AK69+AL69),AK69)*Valores!$C$54</f>
        <v>0</v>
      </c>
      <c r="AN69" s="12">
        <f t="shared" ca="1" si="7"/>
        <v>712.71</v>
      </c>
      <c r="AO69" s="153">
        <f ca="1">AI69*-Valores!$C$56</f>
        <v>-6100.1369000000013</v>
      </c>
      <c r="AP69" s="153">
        <f ca="1">AI69*-Valores!$C$57</f>
        <v>-234.62065000000007</v>
      </c>
      <c r="AQ69" s="78">
        <f ca="1">AI69*-Valores!$C$58</f>
        <v>-2111.5858500000004</v>
      </c>
      <c r="AR69" s="78">
        <f ca="1">AI69*-Valores!$C$59</f>
        <v>-1266.9515100000006</v>
      </c>
      <c r="AS69" s="78">
        <f ca="1">AI69*-Valores!$C$60</f>
        <v>-140.77239000000003</v>
      </c>
      <c r="AT69" s="15">
        <f t="shared" ca="1" si="4"/>
        <v>39190.496600000013</v>
      </c>
      <c r="AU69" s="15">
        <f t="shared" ca="1" si="5"/>
        <v>39894.358550000019</v>
      </c>
      <c r="AV69" s="78">
        <f ca="1">AI69*Valores!$C$61</f>
        <v>7507.8608000000022</v>
      </c>
      <c r="AW69" s="78">
        <f ca="1">AI69*Valores!$C$62</f>
        <v>2111.5858500000004</v>
      </c>
      <c r="AX69" s="78">
        <f ca="1">AI69*Valores!$C$64</f>
        <v>469.24130000000014</v>
      </c>
      <c r="AY69" s="78">
        <f ca="1">AI69*Valores!$C$65</f>
        <v>1642.3445500000005</v>
      </c>
      <c r="AZ69" s="78">
        <f ca="1">AI69*Valores!$C$66</f>
        <v>281.54478000000006</v>
      </c>
      <c r="BA69" s="78">
        <f t="shared" ca="1" si="8"/>
        <v>2533.9030200000007</v>
      </c>
      <c r="BB69" s="20"/>
      <c r="BC69" s="20"/>
      <c r="BD69" s="9" t="s">
        <v>467</v>
      </c>
    </row>
    <row r="70" spans="1:56" s="9" customFormat="1" ht="11.25" customHeight="1" x14ac:dyDescent="0.15">
      <c r="A70" s="20">
        <v>69</v>
      </c>
      <c r="B70" s="20"/>
      <c r="C70" s="9" t="s">
        <v>122</v>
      </c>
      <c r="E70" s="10" t="s">
        <v>123</v>
      </c>
      <c r="F70" s="123">
        <v>78</v>
      </c>
      <c r="G70" s="7">
        <f ca="1">INT((F70*Valores!$C$2*100)+0.5)/100</f>
        <v>400.51</v>
      </c>
      <c r="H70" s="113">
        <v>2162</v>
      </c>
      <c r="I70" s="77">
        <f ca="1">INT((H70*Valores!$C$2*100)+0.5)/100</f>
        <v>11101.22</v>
      </c>
      <c r="J70" s="147">
        <v>0</v>
      </c>
      <c r="K70" s="77">
        <f ca="1">INT((J70*Valores!$C$2*100)+0.5)/100</f>
        <v>0</v>
      </c>
      <c r="L70" s="120">
        <v>0</v>
      </c>
      <c r="M70" s="77">
        <f ca="1">INT((L70*Valores!$C$2*100)+0.5)/100</f>
        <v>0</v>
      </c>
      <c r="N70" s="77">
        <f t="shared" ca="1" si="0"/>
        <v>0</v>
      </c>
      <c r="O70" s="77">
        <f t="shared" ca="1" si="1"/>
        <v>12260.859999999999</v>
      </c>
      <c r="P70" s="78">
        <f>Valores!$C$16</f>
        <v>3165.05</v>
      </c>
      <c r="Q70" s="78">
        <f ca="1">Valores!$D$4</f>
        <v>2296.75</v>
      </c>
      <c r="R70" s="61">
        <f>Valores!$C$26</f>
        <v>2298.92</v>
      </c>
      <c r="S70" s="87">
        <f>Valores!$C$42</f>
        <v>759.13</v>
      </c>
      <c r="T70" s="77">
        <f>Valores!$C$23</f>
        <v>2221.56</v>
      </c>
      <c r="U70" s="77">
        <f t="shared" ca="1" si="12"/>
        <v>4443.12</v>
      </c>
      <c r="V70" s="77">
        <v>0</v>
      </c>
      <c r="W70" s="77">
        <v>0</v>
      </c>
      <c r="X70" s="116">
        <v>0</v>
      </c>
      <c r="Y70" s="77">
        <f ca="1">X70*Valores!$C$2</f>
        <v>0</v>
      </c>
      <c r="Z70" s="77">
        <v>0</v>
      </c>
      <c r="AA70" s="89">
        <f>Valores!$C$29</f>
        <v>131.68</v>
      </c>
      <c r="AB70" s="77">
        <f t="shared" ca="1" si="3"/>
        <v>0</v>
      </c>
      <c r="AC70" s="77">
        <f>Valores!$C$30</f>
        <v>131.68</v>
      </c>
      <c r="AD70" s="116">
        <v>0</v>
      </c>
      <c r="AE70" s="77">
        <f ca="1">INT(((AD70*Valores!$C$2)*100)+0.5)/100</f>
        <v>0</v>
      </c>
      <c r="AF70" s="77">
        <f>Valores!$C$51</f>
        <v>267.87</v>
      </c>
      <c r="AG70" s="77">
        <f>Valores!$C$52</f>
        <v>76.540000000000006</v>
      </c>
      <c r="AH70" s="77">
        <f ca="1">SUM(G70,I70,K70,M70,N70,O70,P70,Q70,R70,S70,U70,V70,W70,Y70,Z70,AA70,AB70,AC70,AE70,AF70,AG70)*Valores!$C$54</f>
        <v>0</v>
      </c>
      <c r="AI70" s="15">
        <f t="shared" ca="1" si="6"/>
        <v>37333.33</v>
      </c>
      <c r="AJ70" s="78">
        <f>Valores!$C$35</f>
        <v>182.07</v>
      </c>
      <c r="AK70" s="79">
        <f>Valores!$C$8</f>
        <v>204.1</v>
      </c>
      <c r="AL70" s="89">
        <v>0</v>
      </c>
      <c r="AM70" s="79">
        <f ca="1">IF($G$4="SI",SUM(AK70+AL70),AK70)*Valores!$C$54</f>
        <v>0</v>
      </c>
      <c r="AN70" s="12">
        <f t="shared" ca="1" si="7"/>
        <v>386.16999999999996</v>
      </c>
      <c r="AO70" s="153">
        <f ca="1">AI70*-Valores!$C$56</f>
        <v>-4853.3329000000003</v>
      </c>
      <c r="AP70" s="153">
        <f ca="1">AI70*-Valores!$C$57</f>
        <v>-186.66665</v>
      </c>
      <c r="AQ70" s="78">
        <f ca="1">AI70*-Valores!$C$58</f>
        <v>-1679.9998499999999</v>
      </c>
      <c r="AR70" s="78">
        <f ca="1">AI70*-Valores!$C$59</f>
        <v>-1007.9999100000001</v>
      </c>
      <c r="AS70" s="78">
        <f ca="1">AI70*-Valores!$C$60</f>
        <v>-111.99999000000001</v>
      </c>
      <c r="AT70" s="15">
        <f t="shared" ca="1" si="4"/>
        <v>30999.500599999999</v>
      </c>
      <c r="AU70" s="15">
        <f t="shared" ca="1" si="5"/>
        <v>31559.500550000001</v>
      </c>
      <c r="AV70" s="78">
        <f ca="1">AI70*Valores!$C$61</f>
        <v>5973.3328000000001</v>
      </c>
      <c r="AW70" s="78">
        <f ca="1">AI70*Valores!$C$62</f>
        <v>1679.9998499999999</v>
      </c>
      <c r="AX70" s="78">
        <f ca="1">AI70*Valores!$C$64</f>
        <v>373.33330000000001</v>
      </c>
      <c r="AY70" s="78">
        <f ca="1">AI70*Valores!$C$65</f>
        <v>1306.6665500000001</v>
      </c>
      <c r="AZ70" s="78">
        <f ca="1">AI70*Valores!$C$66</f>
        <v>223.99998000000002</v>
      </c>
      <c r="BA70" s="78">
        <f t="shared" ca="1" si="8"/>
        <v>2015.9998200000002</v>
      </c>
      <c r="BB70" s="20"/>
      <c r="BC70" s="20">
        <v>25</v>
      </c>
      <c r="BD70" s="9" t="s">
        <v>467</v>
      </c>
    </row>
    <row r="71" spans="1:56" s="9" customFormat="1" ht="11.25" customHeight="1" x14ac:dyDescent="0.15">
      <c r="A71" s="55">
        <v>70</v>
      </c>
      <c r="B71" s="55" t="s">
        <v>462</v>
      </c>
      <c r="C71" s="52" t="s">
        <v>124</v>
      </c>
      <c r="D71" s="52"/>
      <c r="E71" s="53" t="s">
        <v>125</v>
      </c>
      <c r="F71" s="124">
        <v>90</v>
      </c>
      <c r="G71" s="129">
        <f ca="1">INT((F71*Valores!$C$2*100)+0.5)/100</f>
        <v>462.12</v>
      </c>
      <c r="H71" s="114">
        <v>2800</v>
      </c>
      <c r="I71" s="80">
        <f ca="1">INT((H71*Valores!$C$2*100)+0.5)/100</f>
        <v>14377.16</v>
      </c>
      <c r="J71" s="148">
        <v>0</v>
      </c>
      <c r="K71" s="80">
        <f ca="1">INT((J71*Valores!$C$2*100)+0.5)/100</f>
        <v>0</v>
      </c>
      <c r="L71" s="121">
        <v>0</v>
      </c>
      <c r="M71" s="80">
        <f ca="1">INT((L71*Valores!$C$2*100)+0.5)/100</f>
        <v>0</v>
      </c>
      <c r="N71" s="80">
        <f t="shared" ref="N71:N137" ca="1" si="13">IF($I$2=0,IF(C71&lt;&gt;"13-930",(SUM(G71,I71,K71,M71,Y71,T71,S71)*$N$2),0),0)</f>
        <v>0</v>
      </c>
      <c r="O71" s="80">
        <f t="shared" ref="O71:O137" ca="1" si="14">SUM(G71,I71,K71,M71,Y71,S71)*$I$2</f>
        <v>15977.970000000001</v>
      </c>
      <c r="P71" s="81">
        <f>Valores!$C$16</f>
        <v>3165.05</v>
      </c>
      <c r="Q71" s="81">
        <f ca="1">Valores!$D$4</f>
        <v>2296.75</v>
      </c>
      <c r="R71" s="80">
        <v>0</v>
      </c>
      <c r="S71" s="82">
        <f>Valores!$C$43</f>
        <v>1138.69</v>
      </c>
      <c r="T71" s="80">
        <f>Valores!$C$23</f>
        <v>2221.56</v>
      </c>
      <c r="U71" s="80">
        <f t="shared" ca="1" si="12"/>
        <v>4443.12</v>
      </c>
      <c r="V71" s="80">
        <v>0</v>
      </c>
      <c r="W71" s="80">
        <v>0</v>
      </c>
      <c r="X71" s="115">
        <v>0</v>
      </c>
      <c r="Y71" s="80">
        <f ca="1">X71*Valores!$C$2</f>
        <v>0</v>
      </c>
      <c r="Z71" s="80">
        <v>0</v>
      </c>
      <c r="AA71" s="90">
        <f>Valores!$C$29</f>
        <v>131.68</v>
      </c>
      <c r="AB71" s="80">
        <f t="shared" ref="AB71:AB134" ca="1" si="15">SUM(G71,I71,K71,Y71,S71,M71)*$G$3/100</f>
        <v>0</v>
      </c>
      <c r="AC71" s="80">
        <f>Valores!$C$30</f>
        <v>131.68</v>
      </c>
      <c r="AD71" s="115">
        <v>0</v>
      </c>
      <c r="AE71" s="80">
        <f ca="1">INT(((AD71*Valores!$C$2)*100)+0.5)/100</f>
        <v>0</v>
      </c>
      <c r="AF71" s="80">
        <f>Valores!$C$51</f>
        <v>267.87</v>
      </c>
      <c r="AG71" s="80">
        <f>Valores!$C$52</f>
        <v>76.540000000000006</v>
      </c>
      <c r="AH71" s="80">
        <f ca="1">SUM(G71,I71,K71,M71,N71,O71,P71,Q71,R71,S71,U71,V71,W71,Y71,Z71,AA71,AB71,AC71,AE71,AF71,AG71)*Valores!$C$54</f>
        <v>0</v>
      </c>
      <c r="AI71" s="54">
        <f t="shared" ca="1" si="6"/>
        <v>42468.630000000012</v>
      </c>
      <c r="AJ71" s="81">
        <f>Valores!$C$35</f>
        <v>182.07</v>
      </c>
      <c r="AK71" s="82">
        <f>Valores!$C$9</f>
        <v>306.14</v>
      </c>
      <c r="AL71" s="90">
        <v>0</v>
      </c>
      <c r="AM71" s="82">
        <f ca="1">IF($G$4="SI",SUM(AK71+AL71),AK71)*Valores!$C$54</f>
        <v>0</v>
      </c>
      <c r="AN71" s="186">
        <f t="shared" ca="1" si="7"/>
        <v>488.21</v>
      </c>
      <c r="AO71" s="154">
        <f ca="1">AI71*-Valores!$C$56</f>
        <v>-5520.9219000000021</v>
      </c>
      <c r="AP71" s="154">
        <f ca="1">AI71*-Valores!$C$57</f>
        <v>-212.34315000000007</v>
      </c>
      <c r="AQ71" s="81">
        <f ca="1">AI71*-Valores!$C$58</f>
        <v>-1911.0883500000004</v>
      </c>
      <c r="AR71" s="81">
        <f ca="1">AI71*-Valores!$C$59</f>
        <v>-1146.6530100000004</v>
      </c>
      <c r="AS71" s="81">
        <f ca="1">AI71*-Valores!$C$60</f>
        <v>-127.40589000000004</v>
      </c>
      <c r="AT71" s="54">
        <f t="shared" ref="AT71:AT134" ca="1" si="16">AI71+AN71+AP71+AQ71+AO71</f>
        <v>35312.486600000011</v>
      </c>
      <c r="AU71" s="54">
        <f t="shared" ref="AU71:AU134" ca="1" si="17">AI71+AN71+AP71+AR71+AO71+AS71</f>
        <v>35949.516050000006</v>
      </c>
      <c r="AV71" s="81">
        <f ca="1">AI71*Valores!$C$61</f>
        <v>6794.9808000000021</v>
      </c>
      <c r="AW71" s="81">
        <f ca="1">AI71*Valores!$C$62</f>
        <v>1911.0883500000004</v>
      </c>
      <c r="AX71" s="81">
        <f ca="1">AI71*Valores!$C$64</f>
        <v>424.68630000000013</v>
      </c>
      <c r="AY71" s="81">
        <f ca="1">AI71*Valores!$C$65</f>
        <v>1486.4020500000006</v>
      </c>
      <c r="AZ71" s="81">
        <f ca="1">AI71*Valores!$C$66</f>
        <v>254.81178000000008</v>
      </c>
      <c r="BA71" s="81">
        <f t="shared" ca="1" si="8"/>
        <v>2293.3060200000009</v>
      </c>
      <c r="BB71" s="55"/>
      <c r="BC71" s="55"/>
      <c r="BD71" s="52" t="s">
        <v>466</v>
      </c>
    </row>
    <row r="72" spans="1:56" s="9" customFormat="1" ht="11.25" customHeight="1" x14ac:dyDescent="0.15">
      <c r="A72" s="20">
        <v>71</v>
      </c>
      <c r="B72" s="20"/>
      <c r="C72" s="9" t="s">
        <v>126</v>
      </c>
      <c r="E72" s="10" t="s">
        <v>127</v>
      </c>
      <c r="F72" s="123">
        <v>79</v>
      </c>
      <c r="G72" s="7">
        <f ca="1">INT((F72*Valores!$C$2*100)+0.5)/100</f>
        <v>405.64</v>
      </c>
      <c r="H72" s="113">
        <v>2161</v>
      </c>
      <c r="I72" s="77">
        <f ca="1">INT((H72*Valores!$C$2*100)+0.5)/100</f>
        <v>11096.09</v>
      </c>
      <c r="J72" s="147">
        <v>0</v>
      </c>
      <c r="K72" s="77">
        <f ca="1">INT((J72*Valores!$C$2*100)+0.5)/100</f>
        <v>0</v>
      </c>
      <c r="L72" s="120">
        <v>0</v>
      </c>
      <c r="M72" s="77">
        <f ca="1">INT((L72*Valores!$C$2*100)+0.5)/100</f>
        <v>0</v>
      </c>
      <c r="N72" s="77">
        <f t="shared" ca="1" si="13"/>
        <v>0</v>
      </c>
      <c r="O72" s="77">
        <f t="shared" ca="1" si="14"/>
        <v>12260.859999999999</v>
      </c>
      <c r="P72" s="78">
        <f>Valores!$C$16</f>
        <v>3165.05</v>
      </c>
      <c r="Q72" s="78">
        <f ca="1">Valores!$D$4</f>
        <v>2296.75</v>
      </c>
      <c r="R72" s="61">
        <f>Valores!$C$26</f>
        <v>2298.92</v>
      </c>
      <c r="S72" s="87">
        <f>Valores!$C$42</f>
        <v>759.13</v>
      </c>
      <c r="T72" s="77">
        <f>Valores!$C$23</f>
        <v>2221.56</v>
      </c>
      <c r="U72" s="77">
        <f t="shared" ca="1" si="12"/>
        <v>4443.12</v>
      </c>
      <c r="V72" s="77">
        <v>0</v>
      </c>
      <c r="W72" s="77">
        <v>0</v>
      </c>
      <c r="X72" s="116">
        <v>0</v>
      </c>
      <c r="Y72" s="77">
        <f ca="1">X72*Valores!$C$2</f>
        <v>0</v>
      </c>
      <c r="Z72" s="77">
        <v>0</v>
      </c>
      <c r="AA72" s="89">
        <f>Valores!$C$29</f>
        <v>131.68</v>
      </c>
      <c r="AB72" s="77">
        <f t="shared" ca="1" si="15"/>
        <v>0</v>
      </c>
      <c r="AC72" s="77">
        <f>Valores!$C$30</f>
        <v>131.68</v>
      </c>
      <c r="AD72" s="116">
        <v>0</v>
      </c>
      <c r="AE72" s="77">
        <f ca="1">INT(((AD72*Valores!$C$2)*100)+0.5)/100</f>
        <v>0</v>
      </c>
      <c r="AF72" s="77">
        <f>Valores!$C$51</f>
        <v>267.87</v>
      </c>
      <c r="AG72" s="77">
        <f>Valores!$C$52</f>
        <v>76.540000000000006</v>
      </c>
      <c r="AH72" s="77">
        <f ca="1">SUM(G72,I72,K72,M72,N72,O72,P72,Q72,R72,S72,U72,V72,W72,Y72,Z72,AA72,AB72,AC72,AE72,AF72,AG72)*Valores!$C$54</f>
        <v>0</v>
      </c>
      <c r="AI72" s="15">
        <f t="shared" ref="AI72:AI135" ca="1" si="18">SUM(G72,I72,K72,M72,N72,O72,P72,Q72,R72,U72,V72,W72,Y72,Z72,AA72,AB72,AC72,AE72,S72,AF72,AG72,AH72)</f>
        <v>37333.33</v>
      </c>
      <c r="AJ72" s="78">
        <f>Valores!$C$35</f>
        <v>182.07</v>
      </c>
      <c r="AK72" s="79">
        <f>Valores!$C$8</f>
        <v>204.1</v>
      </c>
      <c r="AL72" s="89">
        <v>0</v>
      </c>
      <c r="AM72" s="79">
        <f ca="1">IF($G$4="SI",SUM(AK72+AL72),AK72)*Valores!$C$54</f>
        <v>0</v>
      </c>
      <c r="AN72" s="12">
        <f t="shared" ref="AN72:AN135" ca="1" si="19">SUM(AJ72:AK72,AL72,AM72)</f>
        <v>386.16999999999996</v>
      </c>
      <c r="AO72" s="153">
        <f ca="1">AI72*-Valores!$C$56</f>
        <v>-4853.3329000000003</v>
      </c>
      <c r="AP72" s="153">
        <f ca="1">AI72*-Valores!$C$57</f>
        <v>-186.66665</v>
      </c>
      <c r="AQ72" s="78">
        <f ca="1">AI72*-Valores!$C$58</f>
        <v>-1679.9998499999999</v>
      </c>
      <c r="AR72" s="78">
        <f ca="1">AI72*-Valores!$C$59</f>
        <v>-1007.9999100000001</v>
      </c>
      <c r="AS72" s="78">
        <f ca="1">AI72*-Valores!$C$60</f>
        <v>-111.99999000000001</v>
      </c>
      <c r="AT72" s="15">
        <f t="shared" ca="1" si="16"/>
        <v>30999.500599999999</v>
      </c>
      <c r="AU72" s="15">
        <f t="shared" ca="1" si="17"/>
        <v>31559.500550000001</v>
      </c>
      <c r="AV72" s="78">
        <f ca="1">AI72*Valores!$C$61</f>
        <v>5973.3328000000001</v>
      </c>
      <c r="AW72" s="78">
        <f ca="1">AI72*Valores!$C$62</f>
        <v>1679.9998499999999</v>
      </c>
      <c r="AX72" s="78">
        <f ca="1">AI72*Valores!$C$64</f>
        <v>373.33330000000001</v>
      </c>
      <c r="AY72" s="78">
        <f ca="1">AI72*Valores!$C$65</f>
        <v>1306.6665500000001</v>
      </c>
      <c r="AZ72" s="78">
        <f ca="1">AI72*Valores!$C$66</f>
        <v>223.99998000000002</v>
      </c>
      <c r="BA72" s="78">
        <f t="shared" ca="1" si="8"/>
        <v>2015.9998200000002</v>
      </c>
      <c r="BB72" s="20"/>
      <c r="BC72" s="20">
        <v>30</v>
      </c>
      <c r="BD72" s="9" t="s">
        <v>467</v>
      </c>
    </row>
    <row r="73" spans="1:56" s="9" customFormat="1" ht="11.25" customHeight="1" x14ac:dyDescent="0.15">
      <c r="A73" s="20">
        <v>72</v>
      </c>
      <c r="B73" s="20"/>
      <c r="C73" s="9" t="s">
        <v>128</v>
      </c>
      <c r="E73" s="10" t="s">
        <v>129</v>
      </c>
      <c r="F73" s="123">
        <v>90</v>
      </c>
      <c r="G73" s="7">
        <f ca="1">INT((F73*Valores!$C$2*100)+0.5)/100</f>
        <v>462.12</v>
      </c>
      <c r="H73" s="113">
        <v>2720</v>
      </c>
      <c r="I73" s="77">
        <f ca="1">INT((H73*Valores!$C$2*100)+0.5)/100</f>
        <v>13966.38</v>
      </c>
      <c r="J73" s="147">
        <v>0</v>
      </c>
      <c r="K73" s="77">
        <f ca="1">INT((J73*Valores!$C$2*100)+0.5)/100</f>
        <v>0</v>
      </c>
      <c r="L73" s="120">
        <v>0</v>
      </c>
      <c r="M73" s="77">
        <f ca="1">INT((L73*Valores!$C$2*100)+0.5)/100</f>
        <v>0</v>
      </c>
      <c r="N73" s="77">
        <f t="shared" ca="1" si="13"/>
        <v>0</v>
      </c>
      <c r="O73" s="77">
        <f t="shared" ca="1" si="14"/>
        <v>15567.19</v>
      </c>
      <c r="P73" s="78">
        <f>Valores!$C$16</f>
        <v>3165.05</v>
      </c>
      <c r="Q73" s="78">
        <f ca="1">Valores!$D$4</f>
        <v>2296.75</v>
      </c>
      <c r="R73" s="77">
        <v>0</v>
      </c>
      <c r="S73" s="79">
        <f>Valores!$C$43</f>
        <v>1138.69</v>
      </c>
      <c r="T73" s="77">
        <f>Valores!$C$23</f>
        <v>2221.56</v>
      </c>
      <c r="U73" s="77">
        <f t="shared" ca="1" si="12"/>
        <v>4443.12</v>
      </c>
      <c r="V73" s="77">
        <v>0</v>
      </c>
      <c r="W73" s="77">
        <v>0</v>
      </c>
      <c r="X73" s="116">
        <v>0</v>
      </c>
      <c r="Y73" s="77">
        <f ca="1">X73*Valores!$C$2</f>
        <v>0</v>
      </c>
      <c r="Z73" s="77">
        <v>0</v>
      </c>
      <c r="AA73" s="89">
        <f>Valores!$C$29</f>
        <v>131.68</v>
      </c>
      <c r="AB73" s="77">
        <f t="shared" ca="1" si="15"/>
        <v>0</v>
      </c>
      <c r="AC73" s="77">
        <f>Valores!$C$30</f>
        <v>131.68</v>
      </c>
      <c r="AD73" s="116">
        <v>0</v>
      </c>
      <c r="AE73" s="77">
        <f ca="1">INT(((AD73*Valores!$C$2)*100)+0.5)/100</f>
        <v>0</v>
      </c>
      <c r="AF73" s="77">
        <f>Valores!$C$51</f>
        <v>267.87</v>
      </c>
      <c r="AG73" s="77">
        <f>Valores!$C$52</f>
        <v>76.540000000000006</v>
      </c>
      <c r="AH73" s="77">
        <f ca="1">SUM(G73,I73,K73,M73,N73,O73,P73,Q73,R73,S73,U73,V73,W73,Y73,Z73,AA73,AB73,AC73,AE73,AF73,AG73)*Valores!$C$54</f>
        <v>0</v>
      </c>
      <c r="AI73" s="15">
        <f t="shared" ca="1" si="18"/>
        <v>41647.070000000014</v>
      </c>
      <c r="AJ73" s="78">
        <f>Valores!$C$35</f>
        <v>182.07</v>
      </c>
      <c r="AK73" s="79">
        <f>Valores!$C$9</f>
        <v>306.14</v>
      </c>
      <c r="AL73" s="89">
        <v>0</v>
      </c>
      <c r="AM73" s="79">
        <f ca="1">IF($G$4="SI",SUM(AK73+AL73),AK73)*Valores!$C$54</f>
        <v>0</v>
      </c>
      <c r="AN73" s="12">
        <f t="shared" ca="1" si="19"/>
        <v>488.21</v>
      </c>
      <c r="AO73" s="153">
        <f ca="1">AI73*-Valores!$C$56</f>
        <v>-5414.1191000000017</v>
      </c>
      <c r="AP73" s="153">
        <f ca="1">AI73*-Valores!$C$57</f>
        <v>-208.23535000000007</v>
      </c>
      <c r="AQ73" s="78">
        <f ca="1">AI73*-Valores!$C$58</f>
        <v>-1874.1181500000005</v>
      </c>
      <c r="AR73" s="78">
        <f ca="1">AI73*-Valores!$C$59</f>
        <v>-1124.4708900000005</v>
      </c>
      <c r="AS73" s="78">
        <f ca="1">AI73*-Valores!$C$60</f>
        <v>-124.94121000000004</v>
      </c>
      <c r="AT73" s="15">
        <f t="shared" ca="1" si="16"/>
        <v>34638.807400000005</v>
      </c>
      <c r="AU73" s="15">
        <f t="shared" ca="1" si="17"/>
        <v>35263.513450000013</v>
      </c>
      <c r="AV73" s="78">
        <f ca="1">AI73*Valores!$C$61</f>
        <v>6663.5312000000022</v>
      </c>
      <c r="AW73" s="78">
        <f ca="1">AI73*Valores!$C$62</f>
        <v>1874.1181500000005</v>
      </c>
      <c r="AX73" s="78">
        <f ca="1">AI73*Valores!$C$64</f>
        <v>416.47070000000014</v>
      </c>
      <c r="AY73" s="78">
        <f ca="1">AI73*Valores!$C$65</f>
        <v>1457.6474500000006</v>
      </c>
      <c r="AZ73" s="78">
        <f ca="1">AI73*Valores!$C$66</f>
        <v>249.88242000000008</v>
      </c>
      <c r="BA73" s="78">
        <f t="shared" ref="BA73:BA136" ca="1" si="20">AI73*5.4/100</f>
        <v>2248.941780000001</v>
      </c>
      <c r="BB73" s="20"/>
      <c r="BC73" s="20"/>
      <c r="BD73" s="9" t="s">
        <v>466</v>
      </c>
    </row>
    <row r="74" spans="1:56" s="9" customFormat="1" ht="11.25" customHeight="1" x14ac:dyDescent="0.15">
      <c r="A74" s="20">
        <v>73</v>
      </c>
      <c r="B74" s="20"/>
      <c r="C74" s="9" t="s">
        <v>130</v>
      </c>
      <c r="E74" s="10" t="s">
        <v>131</v>
      </c>
      <c r="F74" s="123">
        <v>78</v>
      </c>
      <c r="G74" s="7">
        <f ca="1">INT((F74*Valores!$C$2*100)+0.5)/100</f>
        <v>400.51</v>
      </c>
      <c r="H74" s="113">
        <v>1284</v>
      </c>
      <c r="I74" s="77">
        <f ca="1">INT((H74*Valores!$C$2*100)+0.5)/100</f>
        <v>6592.95</v>
      </c>
      <c r="J74" s="147">
        <v>0</v>
      </c>
      <c r="K74" s="77">
        <f ca="1">INT((J74*Valores!$C$2*100)+0.5)/100</f>
        <v>0</v>
      </c>
      <c r="L74" s="120">
        <v>0</v>
      </c>
      <c r="M74" s="77">
        <f ca="1">INT((L74*Valores!$C$2*100)+0.5)/100</f>
        <v>0</v>
      </c>
      <c r="N74" s="77">
        <f t="shared" ca="1" si="13"/>
        <v>0</v>
      </c>
      <c r="O74" s="77">
        <f t="shared" ca="1" si="14"/>
        <v>7752.59</v>
      </c>
      <c r="P74" s="78">
        <f>Valores!$C$15</f>
        <v>3144.64</v>
      </c>
      <c r="Q74" s="78">
        <f ca="1">Valores!$D$4</f>
        <v>2296.75</v>
      </c>
      <c r="R74" s="77">
        <f>Valores!$C$26</f>
        <v>2298.92</v>
      </c>
      <c r="S74" s="79">
        <f>Valores!$C$42</f>
        <v>759.13</v>
      </c>
      <c r="T74" s="61">
        <f>Valores!$C$24</f>
        <v>2190.94</v>
      </c>
      <c r="U74" s="77">
        <f t="shared" ca="1" si="12"/>
        <v>4381.88</v>
      </c>
      <c r="V74" s="77">
        <v>0</v>
      </c>
      <c r="W74" s="77">
        <v>0</v>
      </c>
      <c r="X74" s="116">
        <v>0</v>
      </c>
      <c r="Y74" s="77">
        <f ca="1">X74*Valores!$C$2</f>
        <v>0</v>
      </c>
      <c r="Z74" s="77">
        <v>0</v>
      </c>
      <c r="AA74" s="89">
        <f>Valores!$C$29</f>
        <v>131.68</v>
      </c>
      <c r="AB74" s="77">
        <f t="shared" ca="1" si="15"/>
        <v>0</v>
      </c>
      <c r="AC74" s="77">
        <f>Valores!$C$30</f>
        <v>131.68</v>
      </c>
      <c r="AD74" s="116">
        <v>0</v>
      </c>
      <c r="AE74" s="77">
        <f ca="1">INT(((AD74*Valores!$C$2)*100)+0.5)/100</f>
        <v>0</v>
      </c>
      <c r="AF74" s="77">
        <f>Valores!$C$51</f>
        <v>267.87</v>
      </c>
      <c r="AG74" s="77">
        <f>Valores!$C$52</f>
        <v>76.540000000000006</v>
      </c>
      <c r="AH74" s="77">
        <f ca="1">SUM(G74,I74,K74,M74,N74,O74,P74,Q74,R74,S74,U74,V74,W74,Y74,Z74,AA74,AB74,AC74,AE74,AF74,AG74)*Valores!$C$54</f>
        <v>0</v>
      </c>
      <c r="AI74" s="15">
        <f t="shared" ca="1" si="18"/>
        <v>28235.140000000003</v>
      </c>
      <c r="AJ74" s="78">
        <f>Valores!$C$35</f>
        <v>182.07</v>
      </c>
      <c r="AK74" s="79">
        <f>Valores!$C$8</f>
        <v>204.1</v>
      </c>
      <c r="AL74" s="89">
        <v>112.25</v>
      </c>
      <c r="AM74" s="79">
        <f ca="1">IF($G$4="SI",SUM(AK74+AL74),AK74)*Valores!$C$54</f>
        <v>0</v>
      </c>
      <c r="AN74" s="12">
        <f t="shared" ca="1" si="19"/>
        <v>498.41999999999996</v>
      </c>
      <c r="AO74" s="153">
        <f ca="1">AI74*-Valores!$C$56</f>
        <v>-3670.5682000000006</v>
      </c>
      <c r="AP74" s="153">
        <f ca="1">AI74*-Valores!$C$57</f>
        <v>-141.17570000000001</v>
      </c>
      <c r="AQ74" s="78">
        <f ca="1">AI74*-Valores!$C$58</f>
        <v>-1270.5813000000001</v>
      </c>
      <c r="AR74" s="78">
        <f ca="1">AI74*-Valores!$C$59</f>
        <v>-762.34878000000015</v>
      </c>
      <c r="AS74" s="78">
        <f ca="1">AI74*-Valores!$C$60</f>
        <v>-84.705420000000018</v>
      </c>
      <c r="AT74" s="15">
        <f t="shared" ca="1" si="16"/>
        <v>23651.234799999998</v>
      </c>
      <c r="AU74" s="15">
        <f t="shared" ca="1" si="17"/>
        <v>24074.761900000001</v>
      </c>
      <c r="AV74" s="78">
        <f ca="1">AI74*Valores!$C$61</f>
        <v>4517.6224000000002</v>
      </c>
      <c r="AW74" s="78">
        <f ca="1">AI74*Valores!$C$62</f>
        <v>1270.5813000000001</v>
      </c>
      <c r="AX74" s="78">
        <f ca="1">AI74*Valores!$C$64</f>
        <v>282.35140000000001</v>
      </c>
      <c r="AY74" s="78">
        <f ca="1">AI74*Valores!$C$65</f>
        <v>988.22990000000016</v>
      </c>
      <c r="AZ74" s="78">
        <f ca="1">AI74*Valores!$C$66</f>
        <v>169.41084000000004</v>
      </c>
      <c r="BA74" s="78">
        <f t="shared" ca="1" si="20"/>
        <v>1524.6975600000003</v>
      </c>
      <c r="BB74" s="20"/>
      <c r="BC74" s="20">
        <v>30</v>
      </c>
      <c r="BD74" s="9" t="s">
        <v>467</v>
      </c>
    </row>
    <row r="75" spans="1:56" s="9" customFormat="1" ht="11.25" customHeight="1" x14ac:dyDescent="0.15">
      <c r="A75" s="20">
        <v>74</v>
      </c>
      <c r="B75" s="20"/>
      <c r="C75" s="9" t="s">
        <v>132</v>
      </c>
      <c r="E75" s="10" t="s">
        <v>133</v>
      </c>
      <c r="F75" s="123">
        <v>78</v>
      </c>
      <c r="G75" s="7">
        <f ca="1">INT((F75*Valores!$C$2*100)+0.5)/100</f>
        <v>400.51</v>
      </c>
      <c r="H75" s="113">
        <v>1284</v>
      </c>
      <c r="I75" s="77">
        <f ca="1">INT((H75*Valores!$C$2*100)+0.5)/100</f>
        <v>6592.95</v>
      </c>
      <c r="J75" s="147">
        <v>0</v>
      </c>
      <c r="K75" s="77">
        <f ca="1">INT((J75*Valores!$C$2*100)+0.5)/100</f>
        <v>0</v>
      </c>
      <c r="L75" s="120">
        <v>0</v>
      </c>
      <c r="M75" s="77">
        <f ca="1">INT((L75*Valores!$C$2*100)+0.5)/100</f>
        <v>0</v>
      </c>
      <c r="N75" s="77">
        <f t="shared" ca="1" si="13"/>
        <v>0</v>
      </c>
      <c r="O75" s="77">
        <f t="shared" ca="1" si="14"/>
        <v>7752.59</v>
      </c>
      <c r="P75" s="78">
        <f>Valores!$C$15</f>
        <v>3144.64</v>
      </c>
      <c r="Q75" s="78">
        <f ca="1">Valores!$D$4</f>
        <v>2296.75</v>
      </c>
      <c r="R75" s="61">
        <f>Valores!$C$26</f>
        <v>2298.92</v>
      </c>
      <c r="S75" s="87">
        <f>Valores!$C$42</f>
        <v>759.13</v>
      </c>
      <c r="T75" s="61">
        <f>Valores!$C$24</f>
        <v>2190.94</v>
      </c>
      <c r="U75" s="77">
        <f t="shared" ca="1" si="12"/>
        <v>4381.88</v>
      </c>
      <c r="V75" s="77">
        <v>0</v>
      </c>
      <c r="W75" s="77">
        <v>0</v>
      </c>
      <c r="X75" s="116">
        <v>0</v>
      </c>
      <c r="Y75" s="77">
        <f ca="1">X75*Valores!$C$2</f>
        <v>0</v>
      </c>
      <c r="Z75" s="77">
        <v>0</v>
      </c>
      <c r="AA75" s="89">
        <f>Valores!$C$29</f>
        <v>131.68</v>
      </c>
      <c r="AB75" s="77">
        <f t="shared" ca="1" si="15"/>
        <v>0</v>
      </c>
      <c r="AC75" s="77">
        <f>Valores!$C$30</f>
        <v>131.68</v>
      </c>
      <c r="AD75" s="116">
        <v>0</v>
      </c>
      <c r="AE75" s="77">
        <f ca="1">INT(((AD75*Valores!$C$2)*100)+0.5)/100</f>
        <v>0</v>
      </c>
      <c r="AF75" s="77">
        <f>Valores!$C$51</f>
        <v>267.87</v>
      </c>
      <c r="AG75" s="77">
        <f>Valores!$C$52</f>
        <v>76.540000000000006</v>
      </c>
      <c r="AH75" s="77">
        <f ca="1">SUM(G75,I75,K75,M75,N75,O75,P75,Q75,R75,S75,U75,V75,W75,Y75,Z75,AA75,AB75,AC75,AE75,AF75,AG75)*Valores!$C$54</f>
        <v>0</v>
      </c>
      <c r="AI75" s="15">
        <f t="shared" ca="1" si="18"/>
        <v>28235.140000000003</v>
      </c>
      <c r="AJ75" s="78">
        <f>Valores!$C$35</f>
        <v>182.07</v>
      </c>
      <c r="AK75" s="79">
        <f>Valores!$C$8</f>
        <v>204.1</v>
      </c>
      <c r="AL75" s="89">
        <v>0</v>
      </c>
      <c r="AM75" s="79">
        <f ca="1">IF($G$4="SI",SUM(AK75+AL75),AK75)*Valores!$C$54</f>
        <v>0</v>
      </c>
      <c r="AN75" s="12">
        <f t="shared" ca="1" si="19"/>
        <v>386.16999999999996</v>
      </c>
      <c r="AO75" s="153">
        <f ca="1">AI75*-Valores!$C$56</f>
        <v>-3670.5682000000006</v>
      </c>
      <c r="AP75" s="153">
        <f ca="1">AI75*-Valores!$C$57</f>
        <v>-141.17570000000001</v>
      </c>
      <c r="AQ75" s="78">
        <f ca="1">AI75*-Valores!$C$58</f>
        <v>-1270.5813000000001</v>
      </c>
      <c r="AR75" s="78">
        <f ca="1">AI75*-Valores!$C$59</f>
        <v>-762.34878000000015</v>
      </c>
      <c r="AS75" s="78">
        <f ca="1">AI75*-Valores!$C$60</f>
        <v>-84.705420000000018</v>
      </c>
      <c r="AT75" s="15">
        <f t="shared" ca="1" si="16"/>
        <v>23538.984799999998</v>
      </c>
      <c r="AU75" s="15">
        <f t="shared" ca="1" si="17"/>
        <v>23962.511900000001</v>
      </c>
      <c r="AV75" s="78">
        <f ca="1">AI75*Valores!$C$61</f>
        <v>4517.6224000000002</v>
      </c>
      <c r="AW75" s="78">
        <f ca="1">AI75*Valores!$C$62</f>
        <v>1270.5813000000001</v>
      </c>
      <c r="AX75" s="78">
        <f ca="1">AI75*Valores!$C$64</f>
        <v>282.35140000000001</v>
      </c>
      <c r="AY75" s="78">
        <f ca="1">AI75*Valores!$C$65</f>
        <v>988.22990000000016</v>
      </c>
      <c r="AZ75" s="78">
        <f ca="1">AI75*Valores!$C$66</f>
        <v>169.41084000000004</v>
      </c>
      <c r="BA75" s="78">
        <f t="shared" ca="1" si="20"/>
        <v>1524.6975600000003</v>
      </c>
      <c r="BB75" s="20"/>
      <c r="BC75" s="20"/>
      <c r="BD75" s="9" t="s">
        <v>466</v>
      </c>
    </row>
    <row r="76" spans="1:56" s="9" customFormat="1" ht="11.25" customHeight="1" x14ac:dyDescent="0.15">
      <c r="A76" s="55">
        <v>75</v>
      </c>
      <c r="B76" s="55" t="s">
        <v>462</v>
      </c>
      <c r="C76" s="52" t="s">
        <v>134</v>
      </c>
      <c r="D76" s="52"/>
      <c r="E76" s="53" t="s">
        <v>135</v>
      </c>
      <c r="F76" s="124">
        <v>78</v>
      </c>
      <c r="G76" s="129">
        <f ca="1">INT((F76*Valores!$C$2*100)+0.5)/100</f>
        <v>400.51</v>
      </c>
      <c r="H76" s="114">
        <v>1284</v>
      </c>
      <c r="I76" s="80">
        <f ca="1">INT((H76*Valores!$C$2*100)+0.5)/100</f>
        <v>6592.95</v>
      </c>
      <c r="J76" s="148">
        <v>0</v>
      </c>
      <c r="K76" s="80">
        <f ca="1">INT((J76*Valores!$C$2*100)+0.5)/100</f>
        <v>0</v>
      </c>
      <c r="L76" s="121">
        <v>0</v>
      </c>
      <c r="M76" s="80">
        <f ca="1">INT((L76*Valores!$C$2*100)+0.5)/100</f>
        <v>0</v>
      </c>
      <c r="N76" s="80">
        <f t="shared" ca="1" si="13"/>
        <v>0</v>
      </c>
      <c r="O76" s="80">
        <f t="shared" ca="1" si="14"/>
        <v>7752.59</v>
      </c>
      <c r="P76" s="81">
        <f>Valores!$C$20</f>
        <v>2991.57</v>
      </c>
      <c r="Q76" s="81">
        <f ca="1">Valores!$D$4</f>
        <v>2296.75</v>
      </c>
      <c r="R76" s="85">
        <f>Valores!$C$26</f>
        <v>2298.92</v>
      </c>
      <c r="S76" s="88">
        <f>Valores!$C$42</f>
        <v>759.13</v>
      </c>
      <c r="T76" s="85">
        <v>0</v>
      </c>
      <c r="U76" s="80">
        <f t="shared" ca="1" si="12"/>
        <v>0</v>
      </c>
      <c r="V76" s="80">
        <v>0</v>
      </c>
      <c r="W76" s="80">
        <v>0</v>
      </c>
      <c r="X76" s="115">
        <v>0</v>
      </c>
      <c r="Y76" s="80">
        <f ca="1">X76*Valores!$C$2</f>
        <v>0</v>
      </c>
      <c r="Z76" s="80">
        <v>0</v>
      </c>
      <c r="AA76" s="90">
        <f>Valores!$C$29</f>
        <v>131.68</v>
      </c>
      <c r="AB76" s="80">
        <f t="shared" ca="1" si="15"/>
        <v>0</v>
      </c>
      <c r="AC76" s="80">
        <f>Valores!$C$30</f>
        <v>131.68</v>
      </c>
      <c r="AD76" s="115">
        <v>0</v>
      </c>
      <c r="AE76" s="80">
        <f ca="1">INT(((AD76*Valores!$C$2)*100)+0.5)/100</f>
        <v>0</v>
      </c>
      <c r="AF76" s="80">
        <f>Valores!$C$51</f>
        <v>267.87</v>
      </c>
      <c r="AG76" s="80">
        <f>Valores!$C$52</f>
        <v>76.540000000000006</v>
      </c>
      <c r="AH76" s="80">
        <f ca="1">SUM(G76,I76,K76,M76,N76,O76,P76,Q76,R76,S76,U76,V76,W76,Y76,Z76,AA76,AB76,AC76,AE76,AF76,AG76)*Valores!$C$54</f>
        <v>0</v>
      </c>
      <c r="AI76" s="54">
        <f t="shared" ca="1" si="18"/>
        <v>23700.190000000002</v>
      </c>
      <c r="AJ76" s="81">
        <f>Valores!$C$35</f>
        <v>182.07</v>
      </c>
      <c r="AK76" s="82">
        <f>Valores!$C$8</f>
        <v>204.1</v>
      </c>
      <c r="AL76" s="90">
        <v>0</v>
      </c>
      <c r="AM76" s="82">
        <f ca="1">IF($G$4="SI",SUM(AK76+AL76),AK76)*Valores!$C$54</f>
        <v>0</v>
      </c>
      <c r="AN76" s="186">
        <f t="shared" ca="1" si="19"/>
        <v>386.16999999999996</v>
      </c>
      <c r="AO76" s="154">
        <f ca="1">AI76*-Valores!$C$56</f>
        <v>-3081.0247000000004</v>
      </c>
      <c r="AP76" s="154">
        <f ca="1">AI76*-Valores!$C$57</f>
        <v>-118.50095000000002</v>
      </c>
      <c r="AQ76" s="81">
        <f ca="1">AI76*-Valores!$C$58</f>
        <v>-1066.50855</v>
      </c>
      <c r="AR76" s="81">
        <f ca="1">AI76*-Valores!$C$59</f>
        <v>-639.9051300000001</v>
      </c>
      <c r="AS76" s="81">
        <f ca="1">AI76*-Valores!$C$60</f>
        <v>-71.100570000000005</v>
      </c>
      <c r="AT76" s="54">
        <f t="shared" ca="1" si="16"/>
        <v>19820.325799999999</v>
      </c>
      <c r="AU76" s="54">
        <f t="shared" ca="1" si="17"/>
        <v>20175.828649999999</v>
      </c>
      <c r="AV76" s="81">
        <f ca="1">AI76*Valores!$C$61</f>
        <v>3792.0304000000006</v>
      </c>
      <c r="AW76" s="81">
        <f ca="1">AI76*Valores!$C$62</f>
        <v>1066.50855</v>
      </c>
      <c r="AX76" s="81">
        <f ca="1">AI76*Valores!$C$64</f>
        <v>237.00190000000003</v>
      </c>
      <c r="AY76" s="81">
        <f ca="1">AI76*Valores!$C$65</f>
        <v>829.50665000000015</v>
      </c>
      <c r="AZ76" s="81">
        <f ca="1">AI76*Valores!$C$66</f>
        <v>142.20114000000001</v>
      </c>
      <c r="BA76" s="81">
        <f t="shared" ca="1" si="20"/>
        <v>1279.8102600000002</v>
      </c>
      <c r="BB76" s="55"/>
      <c r="BC76" s="55"/>
      <c r="BD76" s="52" t="s">
        <v>466</v>
      </c>
    </row>
    <row r="77" spans="1:56" s="9" customFormat="1" ht="11.25" customHeight="1" x14ac:dyDescent="0.15">
      <c r="A77" s="20">
        <v>76</v>
      </c>
      <c r="B77" s="20"/>
      <c r="C77" s="9" t="s">
        <v>136</v>
      </c>
      <c r="E77" s="10" t="s">
        <v>137</v>
      </c>
      <c r="F77" s="123">
        <v>82</v>
      </c>
      <c r="G77" s="7">
        <f ca="1">INT((F77*Valores!$C$2*100)+0.5)/100</f>
        <v>421.05</v>
      </c>
      <c r="H77" s="113">
        <v>2038</v>
      </c>
      <c r="I77" s="77">
        <f ca="1">INT((H77*Valores!$C$2*100)+0.5)/100</f>
        <v>10464.52</v>
      </c>
      <c r="J77" s="147">
        <v>0</v>
      </c>
      <c r="K77" s="77">
        <f ca="1">INT((J77*Valores!$C$2*100)+0.5)/100</f>
        <v>0</v>
      </c>
      <c r="L77" s="120">
        <v>0</v>
      </c>
      <c r="M77" s="77">
        <f ca="1">INT((L77*Valores!$C$2*100)+0.5)/100</f>
        <v>0</v>
      </c>
      <c r="N77" s="77">
        <f t="shared" ca="1" si="13"/>
        <v>0</v>
      </c>
      <c r="O77" s="77">
        <f t="shared" ca="1" si="14"/>
        <v>11644.699999999999</v>
      </c>
      <c r="P77" s="83">
        <f>Valores!$C$16</f>
        <v>3165.05</v>
      </c>
      <c r="Q77" s="83">
        <f ca="1">Valores!$D$4</f>
        <v>2296.75</v>
      </c>
      <c r="R77" s="87">
        <f>Valores!$C$26</f>
        <v>2298.92</v>
      </c>
      <c r="S77" s="87">
        <f>Valores!$C$42</f>
        <v>759.13</v>
      </c>
      <c r="T77" s="79">
        <f>Valores!$C$23</f>
        <v>2221.56</v>
      </c>
      <c r="U77" s="77">
        <f t="shared" ca="1" si="12"/>
        <v>4443.12</v>
      </c>
      <c r="V77" s="77">
        <v>0</v>
      </c>
      <c r="W77" s="77">
        <v>0</v>
      </c>
      <c r="X77" s="116">
        <v>0</v>
      </c>
      <c r="Y77" s="77">
        <f ca="1">X77*Valores!$C$2</f>
        <v>0</v>
      </c>
      <c r="Z77" s="77">
        <v>0</v>
      </c>
      <c r="AA77" s="89">
        <f>Valores!$C$29</f>
        <v>131.68</v>
      </c>
      <c r="AB77" s="77">
        <f t="shared" ca="1" si="15"/>
        <v>0</v>
      </c>
      <c r="AC77" s="77">
        <f>Valores!$C$30</f>
        <v>131.68</v>
      </c>
      <c r="AD77" s="116">
        <v>0</v>
      </c>
      <c r="AE77" s="77">
        <f ca="1">INT(((AD77*Valores!$C$2)*100)+0.5)/100</f>
        <v>0</v>
      </c>
      <c r="AF77" s="77">
        <f>Valores!$C$51</f>
        <v>267.87</v>
      </c>
      <c r="AG77" s="77">
        <f>Valores!$C$52</f>
        <v>76.540000000000006</v>
      </c>
      <c r="AH77" s="77">
        <f ca="1">SUM(G77,I77,K77,M77,N77,O77,P77,Q77,R77,S77,U77,V77,W77,Y77,Z77,AA77,AB77,AC77,AE77,AF77,AG77)*Valores!$C$54</f>
        <v>0</v>
      </c>
      <c r="AI77" s="15">
        <f t="shared" ca="1" si="18"/>
        <v>36101.01</v>
      </c>
      <c r="AJ77" s="78">
        <f>Valores!$C$35</f>
        <v>182.07</v>
      </c>
      <c r="AK77" s="79">
        <f>Valores!$C$8</f>
        <v>204.1</v>
      </c>
      <c r="AL77" s="89">
        <v>112.25</v>
      </c>
      <c r="AM77" s="79">
        <f ca="1">IF($G$4="SI",SUM(AK77+AL77),AK77)*Valores!$C$54</f>
        <v>0</v>
      </c>
      <c r="AN77" s="12">
        <f t="shared" ca="1" si="19"/>
        <v>498.41999999999996</v>
      </c>
      <c r="AO77" s="153">
        <f ca="1">AI77*-Valores!$C$56</f>
        <v>-4693.1313</v>
      </c>
      <c r="AP77" s="153">
        <f ca="1">AI77*-Valores!$C$57</f>
        <v>-180.50505000000001</v>
      </c>
      <c r="AQ77" s="78">
        <f ca="1">AI77*-Valores!$C$58</f>
        <v>-1624.5454500000001</v>
      </c>
      <c r="AR77" s="78">
        <f ca="1">AI77*-Valores!$C$59</f>
        <v>-974.7272700000002</v>
      </c>
      <c r="AS77" s="78">
        <f ca="1">AI77*-Valores!$C$60</f>
        <v>-108.30303000000001</v>
      </c>
      <c r="AT77" s="15">
        <f t="shared" ca="1" si="16"/>
        <v>30101.248200000002</v>
      </c>
      <c r="AU77" s="15">
        <f t="shared" ca="1" si="17"/>
        <v>30642.763349999997</v>
      </c>
      <c r="AV77" s="78">
        <f ca="1">AI77*Valores!$C$61</f>
        <v>5776.1616000000004</v>
      </c>
      <c r="AW77" s="78">
        <f ca="1">AI77*Valores!$C$62</f>
        <v>1624.5454500000001</v>
      </c>
      <c r="AX77" s="78">
        <f ca="1">AI77*Valores!$C$64</f>
        <v>361.01010000000002</v>
      </c>
      <c r="AY77" s="78">
        <f ca="1">AI77*Valores!$C$65</f>
        <v>1263.5353500000001</v>
      </c>
      <c r="AZ77" s="78">
        <f ca="1">AI77*Valores!$C$66</f>
        <v>216.60606000000001</v>
      </c>
      <c r="BA77" s="78">
        <f t="shared" ca="1" si="20"/>
        <v>1949.4545400000002</v>
      </c>
      <c r="BB77" s="20"/>
      <c r="BC77" s="20">
        <v>25</v>
      </c>
      <c r="BD77" s="9" t="s">
        <v>467</v>
      </c>
    </row>
    <row r="78" spans="1:56" s="9" customFormat="1" ht="11.25" customHeight="1" x14ac:dyDescent="0.15">
      <c r="A78" s="20">
        <v>77</v>
      </c>
      <c r="B78" s="20"/>
      <c r="C78" s="9" t="s">
        <v>138</v>
      </c>
      <c r="E78" s="10" t="s">
        <v>139</v>
      </c>
      <c r="F78" s="123">
        <v>78</v>
      </c>
      <c r="G78" s="7">
        <f ca="1">INT((F78*Valores!$C$2*100)+0.5)/100</f>
        <v>400.51</v>
      </c>
      <c r="H78" s="113">
        <v>2072</v>
      </c>
      <c r="I78" s="77">
        <f ca="1">INT((H78*Valores!$C$2*100)+0.5)/100</f>
        <v>10639.1</v>
      </c>
      <c r="J78" s="147">
        <v>0</v>
      </c>
      <c r="K78" s="77">
        <f ca="1">INT((J78*Valores!$C$2*100)+0.5)/100</f>
        <v>0</v>
      </c>
      <c r="L78" s="120">
        <v>0</v>
      </c>
      <c r="M78" s="77">
        <f ca="1">INT((L78*Valores!$C$2*100)+0.5)/100</f>
        <v>0</v>
      </c>
      <c r="N78" s="77">
        <f t="shared" ca="1" si="13"/>
        <v>0</v>
      </c>
      <c r="O78" s="77">
        <f t="shared" ca="1" si="14"/>
        <v>11798.74</v>
      </c>
      <c r="P78" s="83">
        <f>Valores!$C$16</f>
        <v>3165.05</v>
      </c>
      <c r="Q78" s="83">
        <f ca="1">Valores!$D$4</f>
        <v>2296.75</v>
      </c>
      <c r="R78" s="87">
        <f>Valores!$C$26</f>
        <v>2298.92</v>
      </c>
      <c r="S78" s="87">
        <f>Valores!$C$42</f>
        <v>759.13</v>
      </c>
      <c r="T78" s="79">
        <f>Valores!$C$23</f>
        <v>2221.56</v>
      </c>
      <c r="U78" s="77">
        <f t="shared" ca="1" si="12"/>
        <v>4443.12</v>
      </c>
      <c r="V78" s="77">
        <v>0</v>
      </c>
      <c r="W78" s="77">
        <v>0</v>
      </c>
      <c r="X78" s="116">
        <v>0</v>
      </c>
      <c r="Y78" s="77">
        <f ca="1">X78*Valores!$C$2</f>
        <v>0</v>
      </c>
      <c r="Z78" s="77">
        <v>0</v>
      </c>
      <c r="AA78" s="89">
        <f>Valores!$C$29</f>
        <v>131.68</v>
      </c>
      <c r="AB78" s="77">
        <f t="shared" ca="1" si="15"/>
        <v>0</v>
      </c>
      <c r="AC78" s="77">
        <f>Valores!$C$30</f>
        <v>131.68</v>
      </c>
      <c r="AD78" s="116">
        <v>0</v>
      </c>
      <c r="AE78" s="77">
        <f ca="1">INT(((AD78*Valores!$C$2)*100)+0.5)/100</f>
        <v>0</v>
      </c>
      <c r="AF78" s="77">
        <f>Valores!$C$51</f>
        <v>267.87</v>
      </c>
      <c r="AG78" s="77">
        <f>Valores!$C$52</f>
        <v>76.540000000000006</v>
      </c>
      <c r="AH78" s="77">
        <f ca="1">SUM(G78,I78,K78,M78,N78,O78,P78,Q78,R78,S78,U78,V78,W78,Y78,Z78,AA78,AB78,AC78,AE78,AF78,AG78)*Valores!$C$54</f>
        <v>0</v>
      </c>
      <c r="AI78" s="15">
        <f t="shared" ca="1" si="18"/>
        <v>36409.090000000004</v>
      </c>
      <c r="AJ78" s="78">
        <f>Valores!$C$35</f>
        <v>182.07</v>
      </c>
      <c r="AK78" s="79">
        <f>Valores!$C$8</f>
        <v>204.1</v>
      </c>
      <c r="AL78" s="89">
        <v>112.25</v>
      </c>
      <c r="AM78" s="79">
        <f ca="1">IF($G$4="SI",SUM(AK78+AL78),AK78)*Valores!$C$54</f>
        <v>0</v>
      </c>
      <c r="AN78" s="12">
        <f t="shared" ca="1" si="19"/>
        <v>498.41999999999996</v>
      </c>
      <c r="AO78" s="153">
        <f ca="1">AI78*-Valores!$C$56</f>
        <v>-4733.181700000001</v>
      </c>
      <c r="AP78" s="153">
        <f ca="1">AI78*-Valores!$C$57</f>
        <v>-182.04545000000002</v>
      </c>
      <c r="AQ78" s="78">
        <f ca="1">AI78*-Valores!$C$58</f>
        <v>-1638.4090500000002</v>
      </c>
      <c r="AR78" s="78">
        <f ca="1">AI78*-Valores!$C$59</f>
        <v>-983.04543000000024</v>
      </c>
      <c r="AS78" s="78">
        <f ca="1">AI78*-Valores!$C$60</f>
        <v>-109.22727000000002</v>
      </c>
      <c r="AT78" s="15">
        <f t="shared" ca="1" si="16"/>
        <v>30353.873800000001</v>
      </c>
      <c r="AU78" s="15">
        <f t="shared" ca="1" si="17"/>
        <v>30900.010150000006</v>
      </c>
      <c r="AV78" s="78">
        <f ca="1">AI78*Valores!$C$61</f>
        <v>5825.4544000000005</v>
      </c>
      <c r="AW78" s="78">
        <f ca="1">AI78*Valores!$C$62</f>
        <v>1638.4090500000002</v>
      </c>
      <c r="AX78" s="78">
        <f ca="1">AI78*Valores!$C$64</f>
        <v>364.09090000000003</v>
      </c>
      <c r="AY78" s="78">
        <f ca="1">AI78*Valores!$C$65</f>
        <v>1274.3181500000003</v>
      </c>
      <c r="AZ78" s="78">
        <f ca="1">AI78*Valores!$C$66</f>
        <v>218.45454000000004</v>
      </c>
      <c r="BA78" s="78">
        <f t="shared" ca="1" si="20"/>
        <v>1966.0908600000005</v>
      </c>
      <c r="BB78" s="20"/>
      <c r="BC78" s="20">
        <v>30</v>
      </c>
      <c r="BD78" s="9" t="s">
        <v>467</v>
      </c>
    </row>
    <row r="79" spans="1:56" s="9" customFormat="1" ht="11.25" customHeight="1" x14ac:dyDescent="0.15">
      <c r="A79" s="20">
        <v>78</v>
      </c>
      <c r="B79" s="20"/>
      <c r="C79" s="9" t="s">
        <v>140</v>
      </c>
      <c r="E79" s="10" t="s">
        <v>141</v>
      </c>
      <c r="F79" s="123">
        <v>78</v>
      </c>
      <c r="G79" s="7">
        <f ca="1">INT((F79*Valores!$C$2*100)+0.5)/100</f>
        <v>400.51</v>
      </c>
      <c r="H79" s="113">
        <v>1770</v>
      </c>
      <c r="I79" s="77">
        <f ca="1">INT((H79*Valores!$C$2*100)+0.5)/100</f>
        <v>9088.42</v>
      </c>
      <c r="J79" s="147">
        <v>0</v>
      </c>
      <c r="K79" s="77">
        <f ca="1">INT((J79*Valores!$C$2*100)+0.5)/100</f>
        <v>0</v>
      </c>
      <c r="L79" s="120">
        <v>0</v>
      </c>
      <c r="M79" s="77">
        <f ca="1">INT((L79*Valores!$C$2*100)+0.5)/100</f>
        <v>0</v>
      </c>
      <c r="N79" s="77">
        <f t="shared" ca="1" si="13"/>
        <v>0</v>
      </c>
      <c r="O79" s="77">
        <f t="shared" ca="1" si="14"/>
        <v>10248.06</v>
      </c>
      <c r="P79" s="83">
        <f>Valores!$C$16</f>
        <v>3165.05</v>
      </c>
      <c r="Q79" s="83">
        <f ca="1">Valores!$D$4</f>
        <v>2296.75</v>
      </c>
      <c r="R79" s="79">
        <f>Valores!$C$26</f>
        <v>2298.92</v>
      </c>
      <c r="S79" s="79">
        <f>Valores!$C$42</f>
        <v>759.13</v>
      </c>
      <c r="T79" s="79">
        <f>Valores!$C$23</f>
        <v>2221.56</v>
      </c>
      <c r="U79" s="77">
        <f t="shared" ca="1" si="12"/>
        <v>4443.12</v>
      </c>
      <c r="V79" s="77">
        <v>0</v>
      </c>
      <c r="W79" s="77">
        <v>0</v>
      </c>
      <c r="X79" s="116">
        <v>0</v>
      </c>
      <c r="Y79" s="77">
        <f ca="1">X79*Valores!$C$2</f>
        <v>0</v>
      </c>
      <c r="Z79" s="77">
        <v>0</v>
      </c>
      <c r="AA79" s="89">
        <f>Valores!$C$29</f>
        <v>131.68</v>
      </c>
      <c r="AB79" s="77">
        <f t="shared" ca="1" si="15"/>
        <v>0</v>
      </c>
      <c r="AC79" s="77">
        <f>Valores!$C$30</f>
        <v>131.68</v>
      </c>
      <c r="AD79" s="116">
        <v>0</v>
      </c>
      <c r="AE79" s="77">
        <f ca="1">INT(((AD79*Valores!$C$2)*100)+0.5)/100</f>
        <v>0</v>
      </c>
      <c r="AF79" s="77">
        <f>Valores!$C$51</f>
        <v>267.87</v>
      </c>
      <c r="AG79" s="77">
        <f>Valores!$C$52</f>
        <v>76.540000000000006</v>
      </c>
      <c r="AH79" s="77">
        <f ca="1">SUM(G79,I79,K79,M79,N79,O79,P79,Q79,R79,S79,U79,V79,W79,Y79,Z79,AA79,AB79,AC79,AE79,AF79,AG79)*Valores!$C$54</f>
        <v>0</v>
      </c>
      <c r="AI79" s="15">
        <f t="shared" ca="1" si="18"/>
        <v>33307.730000000003</v>
      </c>
      <c r="AJ79" s="78">
        <f>Valores!$C$35</f>
        <v>182.07</v>
      </c>
      <c r="AK79" s="79">
        <f>Valores!$C$8</f>
        <v>204.1</v>
      </c>
      <c r="AL79" s="89">
        <v>0</v>
      </c>
      <c r="AM79" s="79">
        <f ca="1">IF($G$4="SI",SUM(AK79+AL79),AK79)*Valores!$C$54</f>
        <v>0</v>
      </c>
      <c r="AN79" s="12">
        <f t="shared" ca="1" si="19"/>
        <v>386.16999999999996</v>
      </c>
      <c r="AO79" s="153">
        <f ca="1">AI79*-Valores!$C$56</f>
        <v>-4330.0049000000008</v>
      </c>
      <c r="AP79" s="153">
        <f ca="1">AI79*-Valores!$C$57</f>
        <v>-166.53865000000002</v>
      </c>
      <c r="AQ79" s="78">
        <f ca="1">AI79*-Valores!$C$58</f>
        <v>-1498.8478500000001</v>
      </c>
      <c r="AR79" s="78">
        <f ca="1">AI79*-Valores!$C$59</f>
        <v>-899.30871000000025</v>
      </c>
      <c r="AS79" s="78">
        <f ca="1">AI79*-Valores!$C$60</f>
        <v>-99.923190000000005</v>
      </c>
      <c r="AT79" s="15">
        <f t="shared" ca="1" si="16"/>
        <v>27698.508600000001</v>
      </c>
      <c r="AU79" s="15">
        <f t="shared" ca="1" si="17"/>
        <v>28198.124549999997</v>
      </c>
      <c r="AV79" s="78">
        <f ca="1">AI79*Valores!$C$61</f>
        <v>5329.2368000000006</v>
      </c>
      <c r="AW79" s="78">
        <f ca="1">AI79*Valores!$C$62</f>
        <v>1498.8478500000001</v>
      </c>
      <c r="AX79" s="78">
        <f ca="1">AI79*Valores!$C$64</f>
        <v>333.07730000000004</v>
      </c>
      <c r="AY79" s="78">
        <f ca="1">AI79*Valores!$C$65</f>
        <v>1165.7705500000002</v>
      </c>
      <c r="AZ79" s="78">
        <f ca="1">AI79*Valores!$C$66</f>
        <v>199.84638000000001</v>
      </c>
      <c r="BA79" s="78">
        <f t="shared" ca="1" si="20"/>
        <v>1798.6174200000003</v>
      </c>
      <c r="BB79" s="20"/>
      <c r="BC79" s="20"/>
      <c r="BD79" s="9" t="s">
        <v>467</v>
      </c>
    </row>
    <row r="80" spans="1:56" s="9" customFormat="1" ht="11.25" customHeight="1" x14ac:dyDescent="0.15">
      <c r="A80" s="20">
        <v>79</v>
      </c>
      <c r="B80" s="20"/>
      <c r="C80" s="9" t="s">
        <v>142</v>
      </c>
      <c r="E80" s="10" t="s">
        <v>143</v>
      </c>
      <c r="F80" s="123">
        <v>77</v>
      </c>
      <c r="G80" s="7">
        <f ca="1">INT((F80*Valores!$C$2*100)+0.5)/100</f>
        <v>395.37</v>
      </c>
      <c r="H80" s="113">
        <v>2073</v>
      </c>
      <c r="I80" s="77">
        <f ca="1">INT((H80*Valores!$C$2*100)+0.5)/100</f>
        <v>10644.23</v>
      </c>
      <c r="J80" s="147">
        <v>0</v>
      </c>
      <c r="K80" s="77">
        <f ca="1">INT((J80*Valores!$C$2*100)+0.5)/100</f>
        <v>0</v>
      </c>
      <c r="L80" s="120">
        <v>0</v>
      </c>
      <c r="M80" s="77">
        <f ca="1">INT((L80*Valores!$C$2*100)+0.5)/100</f>
        <v>0</v>
      </c>
      <c r="N80" s="77">
        <f t="shared" ca="1" si="13"/>
        <v>0</v>
      </c>
      <c r="O80" s="77">
        <f t="shared" ca="1" si="14"/>
        <v>11798.73</v>
      </c>
      <c r="P80" s="83">
        <f>Valores!$C$16</f>
        <v>3165.05</v>
      </c>
      <c r="Q80" s="83">
        <f ca="1">Valores!$D$4</f>
        <v>2296.75</v>
      </c>
      <c r="R80" s="87">
        <f>Valores!$C$26</f>
        <v>2298.92</v>
      </c>
      <c r="S80" s="87">
        <f>Valores!$C$42</f>
        <v>759.13</v>
      </c>
      <c r="T80" s="79">
        <f>Valores!$C$23</f>
        <v>2221.56</v>
      </c>
      <c r="U80" s="77">
        <f t="shared" ca="1" si="12"/>
        <v>4443.12</v>
      </c>
      <c r="V80" s="77">
        <v>0</v>
      </c>
      <c r="W80" s="77">
        <v>0</v>
      </c>
      <c r="X80" s="116">
        <v>0</v>
      </c>
      <c r="Y80" s="77">
        <f ca="1">X80*Valores!$C$2</f>
        <v>0</v>
      </c>
      <c r="Z80" s="77">
        <v>0</v>
      </c>
      <c r="AA80" s="89">
        <f>Valores!$C$29</f>
        <v>131.68</v>
      </c>
      <c r="AB80" s="77">
        <f t="shared" ca="1" si="15"/>
        <v>0</v>
      </c>
      <c r="AC80" s="77">
        <f>Valores!$C$30</f>
        <v>131.68</v>
      </c>
      <c r="AD80" s="116">
        <v>0</v>
      </c>
      <c r="AE80" s="77">
        <f ca="1">INT(((AD80*Valores!$C$2)*100)+0.5)/100</f>
        <v>0</v>
      </c>
      <c r="AF80" s="77">
        <f>Valores!$C$51</f>
        <v>267.87</v>
      </c>
      <c r="AG80" s="77">
        <f>Valores!$C$52</f>
        <v>76.540000000000006</v>
      </c>
      <c r="AH80" s="77">
        <f ca="1">SUM(G80,I80,K80,M80,N80,O80,P80,Q80,R80,S80,U80,V80,W80,Y80,Z80,AA80,AB80,AC80,AE80,AF80,AG80)*Valores!$C$54</f>
        <v>0</v>
      </c>
      <c r="AI80" s="15">
        <f t="shared" ca="1" si="18"/>
        <v>36409.070000000007</v>
      </c>
      <c r="AJ80" s="78">
        <f>Valores!$C$35</f>
        <v>182.07</v>
      </c>
      <c r="AK80" s="79">
        <f>Valores!$C$8</f>
        <v>204.1</v>
      </c>
      <c r="AL80" s="89">
        <v>0</v>
      </c>
      <c r="AM80" s="79">
        <f ca="1">IF($G$4="SI",SUM(AK80+AL80),AK80)*Valores!$C$54</f>
        <v>0</v>
      </c>
      <c r="AN80" s="12">
        <f t="shared" ca="1" si="19"/>
        <v>386.16999999999996</v>
      </c>
      <c r="AO80" s="153">
        <f ca="1">AI80*-Valores!$C$56</f>
        <v>-4733.1791000000012</v>
      </c>
      <c r="AP80" s="153">
        <f ca="1">AI80*-Valores!$C$57</f>
        <v>-182.04535000000004</v>
      </c>
      <c r="AQ80" s="78">
        <f ca="1">AI80*-Valores!$C$58</f>
        <v>-1638.4081500000002</v>
      </c>
      <c r="AR80" s="78">
        <f ca="1">AI80*-Valores!$C$59</f>
        <v>-983.04489000000035</v>
      </c>
      <c r="AS80" s="78">
        <f ca="1">AI80*-Valores!$C$60</f>
        <v>-109.22721000000003</v>
      </c>
      <c r="AT80" s="15">
        <f t="shared" ca="1" si="16"/>
        <v>30241.607400000001</v>
      </c>
      <c r="AU80" s="15">
        <f t="shared" ca="1" si="17"/>
        <v>30787.743450000005</v>
      </c>
      <c r="AV80" s="78">
        <f ca="1">AI80*Valores!$C$61</f>
        <v>5825.4512000000013</v>
      </c>
      <c r="AW80" s="78">
        <f ca="1">AI80*Valores!$C$62</f>
        <v>1638.4081500000002</v>
      </c>
      <c r="AX80" s="78">
        <f ca="1">AI80*Valores!$C$64</f>
        <v>364.09070000000008</v>
      </c>
      <c r="AY80" s="78">
        <f ca="1">AI80*Valores!$C$65</f>
        <v>1274.3174500000005</v>
      </c>
      <c r="AZ80" s="78">
        <f ca="1">AI80*Valores!$C$66</f>
        <v>218.45442000000006</v>
      </c>
      <c r="BA80" s="78">
        <f t="shared" ca="1" si="20"/>
        <v>1966.0897800000007</v>
      </c>
      <c r="BB80" s="20"/>
      <c r="BC80" s="20">
        <v>25</v>
      </c>
      <c r="BD80" s="9" t="s">
        <v>466</v>
      </c>
    </row>
    <row r="81" spans="1:56" s="9" customFormat="1" ht="11.25" customHeight="1" x14ac:dyDescent="0.15">
      <c r="A81" s="55">
        <v>80</v>
      </c>
      <c r="B81" s="55" t="s">
        <v>462</v>
      </c>
      <c r="C81" s="52" t="s">
        <v>144</v>
      </c>
      <c r="D81" s="52"/>
      <c r="E81" s="53" t="s">
        <v>145</v>
      </c>
      <c r="F81" s="124">
        <v>76</v>
      </c>
      <c r="G81" s="129">
        <f ca="1">INT((F81*Valores!$C$2*100)+0.5)/100</f>
        <v>390.24</v>
      </c>
      <c r="H81" s="114">
        <v>1872</v>
      </c>
      <c r="I81" s="80">
        <f ca="1">INT((H81*Valores!$C$2*100)+0.5)/100</f>
        <v>9612.16</v>
      </c>
      <c r="J81" s="148">
        <v>0</v>
      </c>
      <c r="K81" s="80">
        <f ca="1">INT((J81*Valores!$C$2*100)+0.5)/100</f>
        <v>0</v>
      </c>
      <c r="L81" s="121">
        <v>0</v>
      </c>
      <c r="M81" s="80">
        <f ca="1">INT((L81*Valores!$C$2*100)+0.5)/100</f>
        <v>0</v>
      </c>
      <c r="N81" s="80">
        <f t="shared" ca="1" si="13"/>
        <v>0</v>
      </c>
      <c r="O81" s="80">
        <f t="shared" ca="1" si="14"/>
        <v>10761.529999999999</v>
      </c>
      <c r="P81" s="84">
        <f>Valores!$C$16</f>
        <v>3165.05</v>
      </c>
      <c r="Q81" s="84">
        <f ca="1">Valores!$D$4</f>
        <v>2296.75</v>
      </c>
      <c r="R81" s="82">
        <v>0</v>
      </c>
      <c r="S81" s="82">
        <f>Valores!$C$42</f>
        <v>759.13</v>
      </c>
      <c r="T81" s="82">
        <f>Valores!$C$23</f>
        <v>2221.56</v>
      </c>
      <c r="U81" s="80">
        <f t="shared" ca="1" si="12"/>
        <v>4443.12</v>
      </c>
      <c r="V81" s="80">
        <v>0</v>
      </c>
      <c r="W81" s="80">
        <v>0</v>
      </c>
      <c r="X81" s="115">
        <v>0</v>
      </c>
      <c r="Y81" s="80">
        <f ca="1">X81*Valores!$C$2</f>
        <v>0</v>
      </c>
      <c r="Z81" s="80">
        <v>0</v>
      </c>
      <c r="AA81" s="90">
        <f>Valores!$C$29</f>
        <v>131.68</v>
      </c>
      <c r="AB81" s="80">
        <f t="shared" ca="1" si="15"/>
        <v>0</v>
      </c>
      <c r="AC81" s="80">
        <f>Valores!$C$30</f>
        <v>131.68</v>
      </c>
      <c r="AD81" s="115">
        <v>0</v>
      </c>
      <c r="AE81" s="80">
        <f ca="1">INT(((AD81*Valores!$C$2)*100)+0.5)/100</f>
        <v>0</v>
      </c>
      <c r="AF81" s="80">
        <f>Valores!$C$51</f>
        <v>267.87</v>
      </c>
      <c r="AG81" s="80">
        <f>Valores!$C$52</f>
        <v>76.540000000000006</v>
      </c>
      <c r="AH81" s="80">
        <f ca="1">SUM(G81,I81,K81,M81,N81,O81,P81,Q81,R81,S81,U81,V81,W81,Y81,Z81,AA81,AB81,AC81,AE81,AF81,AG81)*Valores!$C$54</f>
        <v>0</v>
      </c>
      <c r="AI81" s="54">
        <f t="shared" ca="1" si="18"/>
        <v>32035.75</v>
      </c>
      <c r="AJ81" s="81">
        <f>Valores!$C$35</f>
        <v>182.07</v>
      </c>
      <c r="AK81" s="82">
        <f>Valores!$C$8</f>
        <v>204.1</v>
      </c>
      <c r="AL81" s="90">
        <v>0</v>
      </c>
      <c r="AM81" s="82">
        <f ca="1">IF($G$4="SI",SUM(AK81+AL81),AK81)*Valores!$C$54</f>
        <v>0</v>
      </c>
      <c r="AN81" s="186">
        <f t="shared" ca="1" si="19"/>
        <v>386.16999999999996</v>
      </c>
      <c r="AO81" s="154">
        <f ca="1">AI81*-Valores!$C$56</f>
        <v>-4164.6475</v>
      </c>
      <c r="AP81" s="154">
        <f ca="1">AI81*-Valores!$C$57</f>
        <v>-160.17875000000001</v>
      </c>
      <c r="AQ81" s="81">
        <f ca="1">AI81*-Valores!$C$58</f>
        <v>-1441.6087499999999</v>
      </c>
      <c r="AR81" s="81">
        <f ca="1">AI81*-Valores!$C$59</f>
        <v>-864.96525000000008</v>
      </c>
      <c r="AS81" s="81">
        <f ca="1">AI81*-Valores!$C$60</f>
        <v>-96.107250000000008</v>
      </c>
      <c r="AT81" s="54">
        <f t="shared" ca="1" si="16"/>
        <v>26655.485000000001</v>
      </c>
      <c r="AU81" s="54">
        <f t="shared" ca="1" si="17"/>
        <v>27136.021249999998</v>
      </c>
      <c r="AV81" s="81">
        <f ca="1">AI81*Valores!$C$61</f>
        <v>5125.72</v>
      </c>
      <c r="AW81" s="81">
        <f ca="1">AI81*Valores!$C$62</f>
        <v>1441.6087499999999</v>
      </c>
      <c r="AX81" s="81">
        <f ca="1">AI81*Valores!$C$64</f>
        <v>320.35750000000002</v>
      </c>
      <c r="AY81" s="81">
        <f ca="1">AI81*Valores!$C$65</f>
        <v>1121.25125</v>
      </c>
      <c r="AZ81" s="81">
        <f ca="1">AI81*Valores!$C$66</f>
        <v>192.21450000000002</v>
      </c>
      <c r="BA81" s="81">
        <f t="shared" ca="1" si="20"/>
        <v>1729.9305000000002</v>
      </c>
      <c r="BB81" s="55"/>
      <c r="BC81" s="55">
        <v>30</v>
      </c>
      <c r="BD81" s="52" t="s">
        <v>466</v>
      </c>
    </row>
    <row r="82" spans="1:56" s="9" customFormat="1" ht="11.25" customHeight="1" x14ac:dyDescent="0.15">
      <c r="A82" s="20">
        <v>81</v>
      </c>
      <c r="B82" s="20"/>
      <c r="C82" s="9" t="s">
        <v>146</v>
      </c>
      <c r="E82" s="10" t="s">
        <v>147</v>
      </c>
      <c r="F82" s="123">
        <v>75</v>
      </c>
      <c r="G82" s="7">
        <f ca="1">INT((F82*Valores!$C$2*100)+0.5)/100</f>
        <v>385.1</v>
      </c>
      <c r="H82" s="113">
        <v>1873</v>
      </c>
      <c r="I82" s="77">
        <f ca="1">INT((H82*Valores!$C$2*100)+0.5)/100</f>
        <v>9617.2900000000009</v>
      </c>
      <c r="J82" s="147">
        <v>0</v>
      </c>
      <c r="K82" s="77">
        <f ca="1">INT((J82*Valores!$C$2*100)+0.5)/100</f>
        <v>0</v>
      </c>
      <c r="L82" s="120">
        <v>0</v>
      </c>
      <c r="M82" s="77">
        <f ca="1">INT((L82*Valores!$C$2*100)+0.5)/100</f>
        <v>0</v>
      </c>
      <c r="N82" s="77">
        <f t="shared" ca="1" si="13"/>
        <v>0</v>
      </c>
      <c r="O82" s="77">
        <f t="shared" ca="1" si="14"/>
        <v>10761.52</v>
      </c>
      <c r="P82" s="83">
        <f>Valores!$C$16</f>
        <v>3165.05</v>
      </c>
      <c r="Q82" s="83">
        <f ca="1">Valores!$D$4</f>
        <v>2296.75</v>
      </c>
      <c r="R82" s="87">
        <f>Valores!$C$26</f>
        <v>2298.92</v>
      </c>
      <c r="S82" s="87">
        <f>Valores!$C$42</f>
        <v>759.13</v>
      </c>
      <c r="T82" s="79">
        <f>Valores!$C$23</f>
        <v>2221.56</v>
      </c>
      <c r="U82" s="77">
        <f t="shared" ca="1" si="12"/>
        <v>4443.12</v>
      </c>
      <c r="V82" s="77">
        <v>0</v>
      </c>
      <c r="W82" s="77">
        <v>0</v>
      </c>
      <c r="X82" s="116">
        <v>0</v>
      </c>
      <c r="Y82" s="77">
        <f ca="1">X82*Valores!$C$2</f>
        <v>0</v>
      </c>
      <c r="Z82" s="77">
        <v>0</v>
      </c>
      <c r="AA82" s="89">
        <f>Valores!$C$29</f>
        <v>131.68</v>
      </c>
      <c r="AB82" s="77">
        <f t="shared" ca="1" si="15"/>
        <v>0</v>
      </c>
      <c r="AC82" s="77">
        <f>Valores!$C$30</f>
        <v>131.68</v>
      </c>
      <c r="AD82" s="116">
        <v>0</v>
      </c>
      <c r="AE82" s="77">
        <f ca="1">INT(((AD82*Valores!$C$2)*100)+0.5)/100</f>
        <v>0</v>
      </c>
      <c r="AF82" s="77">
        <f>Valores!$C$51</f>
        <v>267.87</v>
      </c>
      <c r="AG82" s="77">
        <f>Valores!$C$52</f>
        <v>76.540000000000006</v>
      </c>
      <c r="AH82" s="77">
        <f ca="1">SUM(G82,I82,K82,M82,N82,O82,P82,Q82,R82,S82,U82,V82,W82,Y82,Z82,AA82,AB82,AC82,AE82,AF82,AG82)*Valores!$C$54</f>
        <v>0</v>
      </c>
      <c r="AI82" s="15">
        <f t="shared" ca="1" si="18"/>
        <v>34334.650000000009</v>
      </c>
      <c r="AJ82" s="78">
        <f>Valores!$C$35</f>
        <v>182.07</v>
      </c>
      <c r="AK82" s="79">
        <f>Valores!$C$8</f>
        <v>204.1</v>
      </c>
      <c r="AL82" s="89">
        <v>112.25</v>
      </c>
      <c r="AM82" s="79">
        <f ca="1">IF($G$4="SI",SUM(AK82+AL82),AK82)*Valores!$C$54</f>
        <v>0</v>
      </c>
      <c r="AN82" s="12">
        <f t="shared" ca="1" si="19"/>
        <v>498.41999999999996</v>
      </c>
      <c r="AO82" s="153">
        <f ca="1">AI82*-Valores!$C$56</f>
        <v>-4463.5045000000009</v>
      </c>
      <c r="AP82" s="153">
        <f ca="1">AI82*-Valores!$C$57</f>
        <v>-171.67325000000005</v>
      </c>
      <c r="AQ82" s="78">
        <f ca="1">AI82*-Valores!$C$58</f>
        <v>-1545.0592500000002</v>
      </c>
      <c r="AR82" s="78">
        <f ca="1">AI82*-Valores!$C$59</f>
        <v>-927.0355500000004</v>
      </c>
      <c r="AS82" s="78">
        <f ca="1">AI82*-Valores!$C$60</f>
        <v>-103.00395000000003</v>
      </c>
      <c r="AT82" s="15">
        <f t="shared" ca="1" si="16"/>
        <v>28652.833000000006</v>
      </c>
      <c r="AU82" s="15">
        <f t="shared" ca="1" si="17"/>
        <v>29167.852750000005</v>
      </c>
      <c r="AV82" s="78">
        <f ca="1">AI82*Valores!$C$61</f>
        <v>5493.5440000000017</v>
      </c>
      <c r="AW82" s="78">
        <f ca="1">AI82*Valores!$C$62</f>
        <v>1545.0592500000002</v>
      </c>
      <c r="AX82" s="78">
        <f ca="1">AI82*Valores!$C$64</f>
        <v>343.34650000000011</v>
      </c>
      <c r="AY82" s="78">
        <f ca="1">AI82*Valores!$C$65</f>
        <v>1201.7127500000004</v>
      </c>
      <c r="AZ82" s="78">
        <f ca="1">AI82*Valores!$C$66</f>
        <v>206.00790000000006</v>
      </c>
      <c r="BA82" s="78">
        <f t="shared" ca="1" si="20"/>
        <v>1854.0711000000008</v>
      </c>
      <c r="BB82" s="20"/>
      <c r="BC82" s="20">
        <v>25</v>
      </c>
      <c r="BD82" s="9" t="s">
        <v>467</v>
      </c>
    </row>
    <row r="83" spans="1:56" s="9" customFormat="1" ht="11.25" customHeight="1" x14ac:dyDescent="0.15">
      <c r="A83" s="20">
        <v>82</v>
      </c>
      <c r="B83" s="20"/>
      <c r="C83" s="9" t="s">
        <v>148</v>
      </c>
      <c r="E83" s="10" t="s">
        <v>149</v>
      </c>
      <c r="F83" s="123">
        <v>76</v>
      </c>
      <c r="G83" s="7">
        <f ca="1">INT((F83*Valores!$C$2*100)+0.5)/100</f>
        <v>390.24</v>
      </c>
      <c r="H83" s="113">
        <v>1752</v>
      </c>
      <c r="I83" s="77">
        <f ca="1">INT((H83*Valores!$C$2*100)+0.5)/100</f>
        <v>8995.99</v>
      </c>
      <c r="J83" s="147">
        <v>0</v>
      </c>
      <c r="K83" s="77">
        <f ca="1">INT((J83*Valores!$C$2*100)+0.5)/100</f>
        <v>0</v>
      </c>
      <c r="L83" s="120">
        <v>0</v>
      </c>
      <c r="M83" s="77">
        <f ca="1">INT((L83*Valores!$C$2*100)+0.5)/100</f>
        <v>0</v>
      </c>
      <c r="N83" s="77">
        <f t="shared" ca="1" si="13"/>
        <v>0</v>
      </c>
      <c r="O83" s="77">
        <f t="shared" ca="1" si="14"/>
        <v>10145.359999999999</v>
      </c>
      <c r="P83" s="83">
        <f>Valores!$C$15</f>
        <v>3144.64</v>
      </c>
      <c r="Q83" s="83">
        <f ca="1">Valores!$D$4</f>
        <v>2296.75</v>
      </c>
      <c r="R83" s="87">
        <f>Valores!$C$26</f>
        <v>2298.92</v>
      </c>
      <c r="S83" s="87">
        <f>Valores!$C$42</f>
        <v>759.13</v>
      </c>
      <c r="T83" s="79">
        <f>Valores!$C$23</f>
        <v>2221.56</v>
      </c>
      <c r="U83" s="77">
        <f t="shared" ca="1" si="12"/>
        <v>4443.12</v>
      </c>
      <c r="V83" s="77">
        <v>0</v>
      </c>
      <c r="W83" s="77">
        <v>0</v>
      </c>
      <c r="X83" s="116">
        <v>0</v>
      </c>
      <c r="Y83" s="77">
        <f ca="1">X83*Valores!$C$2</f>
        <v>0</v>
      </c>
      <c r="Z83" s="77">
        <v>0</v>
      </c>
      <c r="AA83" s="89">
        <f>Valores!$C$29</f>
        <v>131.68</v>
      </c>
      <c r="AB83" s="77">
        <f t="shared" ca="1" si="15"/>
        <v>0</v>
      </c>
      <c r="AC83" s="77">
        <f>Valores!$C$30</f>
        <v>131.68</v>
      </c>
      <c r="AD83" s="116">
        <v>0</v>
      </c>
      <c r="AE83" s="77">
        <f ca="1">INT(((AD83*Valores!$C$2)*100)+0.5)/100</f>
        <v>0</v>
      </c>
      <c r="AF83" s="77">
        <f>Valores!$C$51</f>
        <v>267.87</v>
      </c>
      <c r="AG83" s="77">
        <f>Valores!$C$52</f>
        <v>76.540000000000006</v>
      </c>
      <c r="AH83" s="77">
        <f ca="1">SUM(G83,I83,K83,M83,N83,O83,P83,Q83,R83,S83,U83,V83,W83,Y83,Z83,AA83,AB83,AC83,AE83,AF83,AG83)*Valores!$C$54</f>
        <v>0</v>
      </c>
      <c r="AI83" s="15">
        <f t="shared" ca="1" si="18"/>
        <v>33081.919999999998</v>
      </c>
      <c r="AJ83" s="78">
        <f>Valores!$C$35</f>
        <v>182.07</v>
      </c>
      <c r="AK83" s="79">
        <f>Valores!$C$8</f>
        <v>204.1</v>
      </c>
      <c r="AL83" s="89">
        <v>0</v>
      </c>
      <c r="AM83" s="79">
        <f ca="1">IF($G$4="SI",SUM(AK83+AL83),AK83)*Valores!$C$54</f>
        <v>0</v>
      </c>
      <c r="AN83" s="12">
        <f t="shared" ca="1" si="19"/>
        <v>386.16999999999996</v>
      </c>
      <c r="AO83" s="153">
        <f ca="1">AI83*-Valores!$C$56</f>
        <v>-4300.6495999999997</v>
      </c>
      <c r="AP83" s="153">
        <f ca="1">AI83*-Valores!$C$57</f>
        <v>-165.40959999999998</v>
      </c>
      <c r="AQ83" s="78">
        <f ca="1">AI83*-Valores!$C$58</f>
        <v>-1488.6863999999998</v>
      </c>
      <c r="AR83" s="78">
        <f ca="1">AI83*-Valores!$C$59</f>
        <v>-893.21184000000005</v>
      </c>
      <c r="AS83" s="78">
        <f ca="1">AI83*-Valores!$C$60</f>
        <v>-99.24575999999999</v>
      </c>
      <c r="AT83" s="15">
        <f t="shared" ca="1" si="16"/>
        <v>27513.344399999998</v>
      </c>
      <c r="AU83" s="15">
        <f t="shared" ca="1" si="17"/>
        <v>28009.573199999995</v>
      </c>
      <c r="AV83" s="78">
        <f ca="1">AI83*Valores!$C$61</f>
        <v>5293.1071999999995</v>
      </c>
      <c r="AW83" s="78">
        <f ca="1">AI83*Valores!$C$62</f>
        <v>1488.6863999999998</v>
      </c>
      <c r="AX83" s="78">
        <f ca="1">AI83*Valores!$C$64</f>
        <v>330.81919999999997</v>
      </c>
      <c r="AY83" s="78">
        <f ca="1">AI83*Valores!$C$65</f>
        <v>1157.8672000000001</v>
      </c>
      <c r="AZ83" s="78">
        <f ca="1">AI83*Valores!$C$66</f>
        <v>198.49151999999998</v>
      </c>
      <c r="BA83" s="78">
        <f t="shared" ca="1" si="20"/>
        <v>1786.4236800000001</v>
      </c>
      <c r="BB83" s="20"/>
      <c r="BC83" s="20">
        <v>25</v>
      </c>
      <c r="BD83" s="9" t="s">
        <v>466</v>
      </c>
    </row>
    <row r="84" spans="1:56" s="9" customFormat="1" ht="11.25" customHeight="1" x14ac:dyDescent="0.15">
      <c r="A84" s="20">
        <v>83</v>
      </c>
      <c r="B84" s="20"/>
      <c r="C84" s="9" t="s">
        <v>150</v>
      </c>
      <c r="E84" s="10" t="s">
        <v>151</v>
      </c>
      <c r="F84" s="123">
        <v>78</v>
      </c>
      <c r="G84" s="7">
        <f ca="1">INT((F84*Valores!$C$2*100)+0.5)/100</f>
        <v>400.51</v>
      </c>
      <c r="H84" s="113">
        <v>1770</v>
      </c>
      <c r="I84" s="77">
        <f ca="1">INT((H84*Valores!$C$2*100)+0.5)/100</f>
        <v>9088.42</v>
      </c>
      <c r="J84" s="147">
        <v>0</v>
      </c>
      <c r="K84" s="77">
        <f ca="1">INT((J84*Valores!$C$2*100)+0.5)/100</f>
        <v>0</v>
      </c>
      <c r="L84" s="120">
        <v>0</v>
      </c>
      <c r="M84" s="77">
        <f ca="1">INT((L84*Valores!$C$2*100)+0.5)/100</f>
        <v>0</v>
      </c>
      <c r="N84" s="77">
        <f t="shared" ca="1" si="13"/>
        <v>0</v>
      </c>
      <c r="O84" s="77">
        <f t="shared" ca="1" si="14"/>
        <v>10153.17</v>
      </c>
      <c r="P84" s="83">
        <f>Valores!$C$16</f>
        <v>3165.05</v>
      </c>
      <c r="Q84" s="83">
        <f ca="1">Valores!$D$4</f>
        <v>2296.75</v>
      </c>
      <c r="R84" s="86">
        <f>Valores!$C$26</f>
        <v>2298.92</v>
      </c>
      <c r="S84" s="79">
        <f>Valores!$C$41</f>
        <v>664.24</v>
      </c>
      <c r="T84" s="87">
        <f>Valores!$C$23</f>
        <v>2221.56</v>
      </c>
      <c r="U84" s="77">
        <f t="shared" ca="1" si="12"/>
        <v>4443.12</v>
      </c>
      <c r="V84" s="77">
        <v>0</v>
      </c>
      <c r="W84" s="77">
        <v>0</v>
      </c>
      <c r="X84" s="116">
        <v>0</v>
      </c>
      <c r="Y84" s="77">
        <f ca="1">X84*Valores!$C$2</f>
        <v>0</v>
      </c>
      <c r="Z84" s="77">
        <v>0</v>
      </c>
      <c r="AA84" s="89">
        <f>Valores!$C$29</f>
        <v>131.68</v>
      </c>
      <c r="AB84" s="77">
        <f t="shared" ca="1" si="15"/>
        <v>0</v>
      </c>
      <c r="AC84" s="77">
        <f>Valores!$C$30</f>
        <v>131.68</v>
      </c>
      <c r="AD84" s="116">
        <v>0</v>
      </c>
      <c r="AE84" s="77">
        <f ca="1">INT(((AD84*Valores!$C$2)*100)+0.5)/100</f>
        <v>0</v>
      </c>
      <c r="AF84" s="77">
        <f>Valores!$C$51</f>
        <v>267.87</v>
      </c>
      <c r="AG84" s="77">
        <f>Valores!$C$52</f>
        <v>76.540000000000006</v>
      </c>
      <c r="AH84" s="77">
        <f ca="1">SUM(G84,I84,K84,M84,N84,O84,P84,Q84,R84,S84,U84,V84,W84,Y84,Z84,AA84,AB84,AC84,AE84,AF84,AG84)*Valores!$C$54</f>
        <v>0</v>
      </c>
      <c r="AI84" s="15">
        <f t="shared" ca="1" si="18"/>
        <v>33117.950000000004</v>
      </c>
      <c r="AJ84" s="78">
        <f>Valores!$C$35</f>
        <v>182.07</v>
      </c>
      <c r="AK84" s="79">
        <f>Valores!$C$7</f>
        <v>178.59</v>
      </c>
      <c r="AL84" s="89">
        <v>112.25</v>
      </c>
      <c r="AM84" s="79">
        <f ca="1">IF($G$4="SI",SUM(AK84+AL84),AK84)*Valores!$C$54</f>
        <v>0</v>
      </c>
      <c r="AN84" s="12">
        <f t="shared" ca="1" si="19"/>
        <v>472.90999999999997</v>
      </c>
      <c r="AO84" s="153">
        <f ca="1">AI84*-Valores!$C$56</f>
        <v>-4305.3335000000006</v>
      </c>
      <c r="AP84" s="153">
        <f ca="1">AI84*-Valores!$C$57</f>
        <v>-165.58975000000004</v>
      </c>
      <c r="AQ84" s="78">
        <f ca="1">AI84*-Valores!$C$58</f>
        <v>-1490.3077500000002</v>
      </c>
      <c r="AR84" s="78">
        <f ca="1">AI84*-Valores!$C$59</f>
        <v>-894.18465000000026</v>
      </c>
      <c r="AS84" s="78">
        <f ca="1">AI84*-Valores!$C$60</f>
        <v>-99.353850000000008</v>
      </c>
      <c r="AT84" s="15">
        <f t="shared" ca="1" si="16"/>
        <v>27629.629000000008</v>
      </c>
      <c r="AU84" s="15">
        <f t="shared" ca="1" si="17"/>
        <v>28126.398250000009</v>
      </c>
      <c r="AV84" s="78">
        <f ca="1">AI84*Valores!$C$61</f>
        <v>5298.8720000000012</v>
      </c>
      <c r="AW84" s="78">
        <f ca="1">AI84*Valores!$C$62</f>
        <v>1490.3077500000002</v>
      </c>
      <c r="AX84" s="78">
        <f ca="1">AI84*Valores!$C$64</f>
        <v>331.17950000000008</v>
      </c>
      <c r="AY84" s="78">
        <f ca="1">AI84*Valores!$C$65</f>
        <v>1159.1282500000002</v>
      </c>
      <c r="AZ84" s="78">
        <f ca="1">AI84*Valores!$C$66</f>
        <v>198.70770000000002</v>
      </c>
      <c r="BA84" s="78">
        <f t="shared" ca="1" si="20"/>
        <v>1788.3693000000003</v>
      </c>
      <c r="BB84" s="20"/>
      <c r="BC84" s="20">
        <v>27</v>
      </c>
      <c r="BD84" s="9" t="s">
        <v>467</v>
      </c>
    </row>
    <row r="85" spans="1:56" s="9" customFormat="1" ht="11.25" customHeight="1" x14ac:dyDescent="0.15">
      <c r="A85" s="20">
        <v>84</v>
      </c>
      <c r="B85" s="20"/>
      <c r="C85" s="9" t="s">
        <v>152</v>
      </c>
      <c r="E85" s="10" t="s">
        <v>153</v>
      </c>
      <c r="F85" s="123">
        <v>76</v>
      </c>
      <c r="G85" s="7">
        <f ca="1">INT((F85*Valores!$C$2*100)+0.5)/100</f>
        <v>390.24</v>
      </c>
      <c r="H85" s="113">
        <v>1872</v>
      </c>
      <c r="I85" s="77">
        <f ca="1">INT((H85*Valores!$C$2*100)+0.5)/100</f>
        <v>9612.16</v>
      </c>
      <c r="J85" s="147">
        <v>0</v>
      </c>
      <c r="K85" s="77">
        <f ca="1">INT((J85*Valores!$C$2*100)+0.5)/100</f>
        <v>0</v>
      </c>
      <c r="L85" s="120">
        <v>0</v>
      </c>
      <c r="M85" s="77">
        <f ca="1">INT((L85*Valores!$C$2*100)+0.5)/100</f>
        <v>0</v>
      </c>
      <c r="N85" s="77">
        <f t="shared" ca="1" si="13"/>
        <v>0</v>
      </c>
      <c r="O85" s="77">
        <f t="shared" ca="1" si="14"/>
        <v>10666.64</v>
      </c>
      <c r="P85" s="83">
        <f>Valores!$C$16</f>
        <v>3165.05</v>
      </c>
      <c r="Q85" s="83">
        <f ca="1">Valores!$D$4</f>
        <v>2296.75</v>
      </c>
      <c r="R85" s="79">
        <v>0</v>
      </c>
      <c r="S85" s="79">
        <f>Valores!$C$41</f>
        <v>664.24</v>
      </c>
      <c r="T85" s="87">
        <f>Valores!$C$23</f>
        <v>2221.56</v>
      </c>
      <c r="U85" s="77">
        <f t="shared" ca="1" si="12"/>
        <v>4443.12</v>
      </c>
      <c r="V85" s="77">
        <v>0</v>
      </c>
      <c r="W85" s="77">
        <v>0</v>
      </c>
      <c r="X85" s="116">
        <v>0</v>
      </c>
      <c r="Y85" s="77">
        <f ca="1">X85*Valores!$C$2</f>
        <v>0</v>
      </c>
      <c r="Z85" s="77">
        <v>0</v>
      </c>
      <c r="AA85" s="89">
        <f>Valores!$C$29</f>
        <v>131.68</v>
      </c>
      <c r="AB85" s="77">
        <f t="shared" ca="1" si="15"/>
        <v>0</v>
      </c>
      <c r="AC85" s="77">
        <f>Valores!$C$30</f>
        <v>131.68</v>
      </c>
      <c r="AD85" s="116">
        <v>0</v>
      </c>
      <c r="AE85" s="77">
        <f ca="1">INT(((AD85*Valores!$C$2)*100)+0.5)/100</f>
        <v>0</v>
      </c>
      <c r="AF85" s="77">
        <f>Valores!$C$51</f>
        <v>267.87</v>
      </c>
      <c r="AG85" s="77">
        <f>Valores!$C$52</f>
        <v>76.540000000000006</v>
      </c>
      <c r="AH85" s="77">
        <f ca="1">SUM(G85,I85,K85,M85,N85,O85,P85,Q85,R85,S85,U85,V85,W85,Y85,Z85,AA85,AB85,AC85,AE85,AF85,AG85)*Valores!$C$54</f>
        <v>0</v>
      </c>
      <c r="AI85" s="15">
        <f t="shared" ca="1" si="18"/>
        <v>31845.97</v>
      </c>
      <c r="AJ85" s="78">
        <f>Valores!$C$35</f>
        <v>182.07</v>
      </c>
      <c r="AK85" s="79">
        <f>Valores!$C$7</f>
        <v>178.59</v>
      </c>
      <c r="AL85" s="89">
        <v>112.25</v>
      </c>
      <c r="AM85" s="79">
        <f ca="1">IF($G$4="SI",SUM(AK85+AL85),AK85)*Valores!$C$54</f>
        <v>0</v>
      </c>
      <c r="AN85" s="12">
        <f t="shared" ca="1" si="19"/>
        <v>472.90999999999997</v>
      </c>
      <c r="AO85" s="153">
        <f ca="1">AI85*-Valores!$C$56</f>
        <v>-4139.9760999999999</v>
      </c>
      <c r="AP85" s="153">
        <f ca="1">AI85*-Valores!$C$57</f>
        <v>-159.22985</v>
      </c>
      <c r="AQ85" s="78">
        <f ca="1">AI85*-Valores!$C$58</f>
        <v>-1433.0686499999999</v>
      </c>
      <c r="AR85" s="78">
        <f ca="1">AI85*-Valores!$C$59</f>
        <v>-859.8411900000001</v>
      </c>
      <c r="AS85" s="78">
        <f ca="1">AI85*-Valores!$C$60</f>
        <v>-95.537910000000011</v>
      </c>
      <c r="AT85" s="15">
        <f t="shared" ca="1" si="16"/>
        <v>26586.6054</v>
      </c>
      <c r="AU85" s="15">
        <f t="shared" ca="1" si="17"/>
        <v>27064.294950000003</v>
      </c>
      <c r="AV85" s="78">
        <f ca="1">AI85*Valores!$C$61</f>
        <v>5095.3552</v>
      </c>
      <c r="AW85" s="78">
        <f ca="1">AI85*Valores!$C$62</f>
        <v>1433.0686499999999</v>
      </c>
      <c r="AX85" s="78">
        <f ca="1">AI85*Valores!$C$64</f>
        <v>318.4597</v>
      </c>
      <c r="AY85" s="78">
        <f ca="1">AI85*Valores!$C$65</f>
        <v>1114.60895</v>
      </c>
      <c r="AZ85" s="78">
        <f ca="1">AI85*Valores!$C$66</f>
        <v>191.07582000000002</v>
      </c>
      <c r="BA85" s="78">
        <f t="shared" ca="1" si="20"/>
        <v>1719.6823800000002</v>
      </c>
      <c r="BB85" s="20"/>
      <c r="BC85" s="20">
        <v>27</v>
      </c>
      <c r="BD85" s="9" t="s">
        <v>467</v>
      </c>
    </row>
    <row r="86" spans="1:56" s="9" customFormat="1" ht="11.25" customHeight="1" x14ac:dyDescent="0.15">
      <c r="A86" s="55">
        <v>85</v>
      </c>
      <c r="B86" s="55" t="s">
        <v>462</v>
      </c>
      <c r="C86" s="52" t="s">
        <v>154</v>
      </c>
      <c r="D86" s="52"/>
      <c r="E86" s="53" t="s">
        <v>155</v>
      </c>
      <c r="F86" s="124">
        <v>169</v>
      </c>
      <c r="G86" s="129">
        <f ca="1">INT((F86*Valores!$C$2*100)+0.5)/100</f>
        <v>867.76</v>
      </c>
      <c r="H86" s="114">
        <f>1997</f>
        <v>1997</v>
      </c>
      <c r="I86" s="80">
        <f ca="1">INT((H86*Valores!$C$2*100)+0.5)/100</f>
        <v>10254</v>
      </c>
      <c r="J86" s="148">
        <v>0</v>
      </c>
      <c r="K86" s="80">
        <f ca="1">INT((J86*Valores!$C$2*100)+0.5)/100</f>
        <v>0</v>
      </c>
      <c r="L86" s="121">
        <v>0</v>
      </c>
      <c r="M86" s="80">
        <f ca="1">INT((L86*Valores!$C$2*100)+0.5)/100</f>
        <v>0</v>
      </c>
      <c r="N86" s="80">
        <f t="shared" ca="1" si="13"/>
        <v>0</v>
      </c>
      <c r="O86" s="80">
        <f t="shared" ca="1" si="14"/>
        <v>11880.89</v>
      </c>
      <c r="P86" s="81">
        <f>Valores!$C$16</f>
        <v>3165.05</v>
      </c>
      <c r="Q86" s="81">
        <f ca="1">Valores!$D$4</f>
        <v>2296.75</v>
      </c>
      <c r="R86" s="85">
        <f>Valores!$C$26</f>
        <v>2298.92</v>
      </c>
      <c r="S86" s="88">
        <f>Valores!$C$42</f>
        <v>759.13</v>
      </c>
      <c r="T86" s="80">
        <f>Valores!$C$23</f>
        <v>2221.56</v>
      </c>
      <c r="U86" s="80">
        <f t="shared" ca="1" si="12"/>
        <v>4443.12</v>
      </c>
      <c r="V86" s="80">
        <v>0</v>
      </c>
      <c r="W86" s="80">
        <v>0</v>
      </c>
      <c r="X86" s="115">
        <v>0</v>
      </c>
      <c r="Y86" s="80">
        <f ca="1">X86*Valores!$C$2</f>
        <v>0</v>
      </c>
      <c r="Z86" s="80">
        <v>0</v>
      </c>
      <c r="AA86" s="90">
        <f>Valores!$C$29</f>
        <v>131.68</v>
      </c>
      <c r="AB86" s="80">
        <f t="shared" ca="1" si="15"/>
        <v>0</v>
      </c>
      <c r="AC86" s="80">
        <f>Valores!$C$30</f>
        <v>131.68</v>
      </c>
      <c r="AD86" s="115">
        <v>0</v>
      </c>
      <c r="AE86" s="80">
        <f ca="1">INT(((AD86*Valores!$C$2)*100)+0.5)/100</f>
        <v>0</v>
      </c>
      <c r="AF86" s="80">
        <f>Valores!$C$51</f>
        <v>267.87</v>
      </c>
      <c r="AG86" s="80">
        <f>Valores!$C$52</f>
        <v>76.540000000000006</v>
      </c>
      <c r="AH86" s="80">
        <f ca="1">SUM(G86,I86,K86,M86,N86,O86,P86,Q86,R86,S86,U86,V86,W86,Y86,Z86,AA86,AB86,AC86,AE86,AF86,AG86)*Valores!$C$54</f>
        <v>0</v>
      </c>
      <c r="AI86" s="54">
        <f t="shared" ca="1" si="18"/>
        <v>36573.390000000007</v>
      </c>
      <c r="AJ86" s="81">
        <f>Valores!$C$35</f>
        <v>182.07</v>
      </c>
      <c r="AK86" s="82">
        <f>Valores!$C$8</f>
        <v>204.1</v>
      </c>
      <c r="AL86" s="90">
        <v>0</v>
      </c>
      <c r="AM86" s="82">
        <f ca="1">IF($G$4="SI",SUM(AK86+AL86),AK86)*Valores!$C$54</f>
        <v>0</v>
      </c>
      <c r="AN86" s="186">
        <f t="shared" ca="1" si="19"/>
        <v>386.16999999999996</v>
      </c>
      <c r="AO86" s="154">
        <f ca="1">AI86*-Valores!$C$56</f>
        <v>-4754.5407000000014</v>
      </c>
      <c r="AP86" s="154">
        <f ca="1">AI86*-Valores!$C$57</f>
        <v>-182.86695000000003</v>
      </c>
      <c r="AQ86" s="81">
        <f ca="1">AI86*-Valores!$C$58</f>
        <v>-1645.8025500000003</v>
      </c>
      <c r="AR86" s="81">
        <f ca="1">AI86*-Valores!$C$59</f>
        <v>-987.48153000000025</v>
      </c>
      <c r="AS86" s="81">
        <f ca="1">AI86*-Valores!$C$60</f>
        <v>-109.72017000000002</v>
      </c>
      <c r="AT86" s="54">
        <f t="shared" ca="1" si="16"/>
        <v>30376.3498</v>
      </c>
      <c r="AU86" s="54">
        <f t="shared" ca="1" si="17"/>
        <v>30924.950650000002</v>
      </c>
      <c r="AV86" s="81">
        <f ca="1">AI86*Valores!$C$61</f>
        <v>5851.742400000001</v>
      </c>
      <c r="AW86" s="81">
        <f ca="1">AI86*Valores!$C$62</f>
        <v>1645.8025500000003</v>
      </c>
      <c r="AX86" s="81">
        <f ca="1">AI86*Valores!$C$64</f>
        <v>365.73390000000006</v>
      </c>
      <c r="AY86" s="81">
        <f ca="1">AI86*Valores!$C$65</f>
        <v>1280.0686500000004</v>
      </c>
      <c r="AZ86" s="81">
        <f ca="1">AI86*Valores!$C$66</f>
        <v>219.44034000000005</v>
      </c>
      <c r="BA86" s="81">
        <f t="shared" ca="1" si="20"/>
        <v>1974.9630600000005</v>
      </c>
      <c r="BB86" s="55"/>
      <c r="BC86" s="55">
        <v>25</v>
      </c>
      <c r="BD86" s="52" t="s">
        <v>466</v>
      </c>
    </row>
    <row r="87" spans="1:56" s="9" customFormat="1" ht="11.25" customHeight="1" x14ac:dyDescent="0.15">
      <c r="A87" s="20">
        <v>86</v>
      </c>
      <c r="B87" s="20"/>
      <c r="C87" s="9" t="s">
        <v>156</v>
      </c>
      <c r="E87" s="10" t="s">
        <v>157</v>
      </c>
      <c r="F87" s="123">
        <v>218</v>
      </c>
      <c r="G87" s="7">
        <f ca="1">INT((F87*Valores!$C$2*100)+0.5)/100</f>
        <v>1119.3599999999999</v>
      </c>
      <c r="H87" s="113">
        <f>1997</f>
        <v>1997</v>
      </c>
      <c r="I87" s="77">
        <f ca="1">INT((H87*Valores!$C$2*100)+0.5)/100</f>
        <v>10254</v>
      </c>
      <c r="J87" s="147">
        <v>0</v>
      </c>
      <c r="K87" s="77">
        <f ca="1">INT((J87*Valores!$C$2*100)+0.5)/100</f>
        <v>0</v>
      </c>
      <c r="L87" s="120">
        <v>0</v>
      </c>
      <c r="M87" s="77">
        <f ca="1">INT((L87*Valores!$C$2*100)+0.5)/100</f>
        <v>0</v>
      </c>
      <c r="N87" s="77">
        <f t="shared" ca="1" si="13"/>
        <v>0</v>
      </c>
      <c r="O87" s="77">
        <f t="shared" ca="1" si="14"/>
        <v>12132.49</v>
      </c>
      <c r="P87" s="78">
        <f>Valores!$C$16</f>
        <v>3165.05</v>
      </c>
      <c r="Q87" s="78">
        <f ca="1">Valores!$D$4</f>
        <v>2296.75</v>
      </c>
      <c r="R87" s="61">
        <f>Valores!$C$26</f>
        <v>2298.92</v>
      </c>
      <c r="S87" s="87">
        <f>Valores!$C$42</f>
        <v>759.13</v>
      </c>
      <c r="T87" s="77">
        <f>Valores!$C$23</f>
        <v>2221.56</v>
      </c>
      <c r="U87" s="77">
        <f t="shared" ca="1" si="12"/>
        <v>4443.12</v>
      </c>
      <c r="V87" s="77">
        <v>0</v>
      </c>
      <c r="W87" s="77">
        <v>0</v>
      </c>
      <c r="X87" s="116">
        <v>0</v>
      </c>
      <c r="Y87" s="77">
        <f ca="1">X87*Valores!$C$2</f>
        <v>0</v>
      </c>
      <c r="Z87" s="77">
        <v>0</v>
      </c>
      <c r="AA87" s="89">
        <f>Valores!$C$29</f>
        <v>131.68</v>
      </c>
      <c r="AB87" s="77">
        <f t="shared" ca="1" si="15"/>
        <v>0</v>
      </c>
      <c r="AC87" s="77">
        <f>Valores!$C$30</f>
        <v>131.68</v>
      </c>
      <c r="AD87" s="116">
        <v>0</v>
      </c>
      <c r="AE87" s="77">
        <f ca="1">INT(((AD87*Valores!$C$2)*100)+0.5)/100</f>
        <v>0</v>
      </c>
      <c r="AF87" s="77">
        <f>Valores!$C$51</f>
        <v>267.87</v>
      </c>
      <c r="AG87" s="77">
        <f>Valores!$C$52</f>
        <v>76.540000000000006</v>
      </c>
      <c r="AH87" s="77">
        <f ca="1">SUM(G87,I87,K87,M87,N87,O87,P87,Q87,R87,S87,U87,V87,W87,Y87,Z87,AA87,AB87,AC87,AE87,AF87,AG87)*Valores!$C$54</f>
        <v>0</v>
      </c>
      <c r="AI87" s="15">
        <f t="shared" ca="1" si="18"/>
        <v>37076.590000000004</v>
      </c>
      <c r="AJ87" s="78">
        <f>Valores!$C$35</f>
        <v>182.07</v>
      </c>
      <c r="AK87" s="79">
        <f>Valores!$C$8</f>
        <v>204.1</v>
      </c>
      <c r="AL87" s="89">
        <v>112.25</v>
      </c>
      <c r="AM87" s="79">
        <f ca="1">IF($G$4="SI",SUM(AK87+AL87),AK87)*Valores!$C$54</f>
        <v>0</v>
      </c>
      <c r="AN87" s="12">
        <f t="shared" ca="1" si="19"/>
        <v>498.41999999999996</v>
      </c>
      <c r="AO87" s="153">
        <f ca="1">AI87*-Valores!$C$56</f>
        <v>-4819.9567000000006</v>
      </c>
      <c r="AP87" s="153">
        <f ca="1">AI87*-Valores!$C$57</f>
        <v>-185.38295000000002</v>
      </c>
      <c r="AQ87" s="78">
        <f ca="1">AI87*-Valores!$C$58</f>
        <v>-1668.4465500000001</v>
      </c>
      <c r="AR87" s="78">
        <f ca="1">AI87*-Valores!$C$59</f>
        <v>-1001.0679300000003</v>
      </c>
      <c r="AS87" s="78">
        <f ca="1">AI87*-Valores!$C$60</f>
        <v>-111.22977000000002</v>
      </c>
      <c r="AT87" s="15">
        <f t="shared" ca="1" si="16"/>
        <v>30901.2238</v>
      </c>
      <c r="AU87" s="15">
        <f t="shared" ca="1" si="17"/>
        <v>31457.372650000001</v>
      </c>
      <c r="AV87" s="78">
        <f ca="1">AI87*Valores!$C$61</f>
        <v>5932.2544000000007</v>
      </c>
      <c r="AW87" s="78">
        <f ca="1">AI87*Valores!$C$62</f>
        <v>1668.4465500000001</v>
      </c>
      <c r="AX87" s="78">
        <f ca="1">AI87*Valores!$C$64</f>
        <v>370.76590000000004</v>
      </c>
      <c r="AY87" s="78">
        <f ca="1">AI87*Valores!$C$65</f>
        <v>1297.6806500000002</v>
      </c>
      <c r="AZ87" s="78">
        <f ca="1">AI87*Valores!$C$66</f>
        <v>222.45954000000003</v>
      </c>
      <c r="BA87" s="78">
        <f t="shared" ca="1" si="20"/>
        <v>2002.1358600000003</v>
      </c>
      <c r="BB87" s="20"/>
      <c r="BC87" s="20">
        <v>25</v>
      </c>
      <c r="BD87" s="9" t="s">
        <v>467</v>
      </c>
    </row>
    <row r="88" spans="1:56" s="9" customFormat="1" ht="11.25" customHeight="1" x14ac:dyDescent="0.15">
      <c r="A88" s="20">
        <v>87</v>
      </c>
      <c r="B88" s="20"/>
      <c r="C88" s="9" t="s">
        <v>156</v>
      </c>
      <c r="E88" s="10" t="s">
        <v>515</v>
      </c>
      <c r="F88" s="123">
        <v>218</v>
      </c>
      <c r="G88" s="7">
        <f ca="1">INT((F88*Valores!$C$2*100)+0.5)/100</f>
        <v>1119.3599999999999</v>
      </c>
      <c r="H88" s="113">
        <f>1997</f>
        <v>1997</v>
      </c>
      <c r="I88" s="77">
        <f ca="1">INT((H88*Valores!$C$2*100)+0.5)/100</f>
        <v>10254</v>
      </c>
      <c r="J88" s="147">
        <v>0</v>
      </c>
      <c r="K88" s="77">
        <f ca="1">INT((J88*Valores!$C$2*100)+0.5)/100</f>
        <v>0</v>
      </c>
      <c r="L88" s="120">
        <v>0</v>
      </c>
      <c r="M88" s="77">
        <f ca="1">INT((L88*Valores!$C$2*100)+0.5)/100</f>
        <v>0</v>
      </c>
      <c r="N88" s="77">
        <f ca="1">IF($I$2=0,IF(C88&lt;&gt;"13-930",(SUM(G88,I88,K88,M88,Y88,T88,S88)*$N$2),0),0)</f>
        <v>0</v>
      </c>
      <c r="O88" s="77">
        <f ca="1">SUM(G88,I88,K88,M88,Y88,S88)*$I$2</f>
        <v>12132.49</v>
      </c>
      <c r="P88" s="78">
        <f>Valores!$C$16</f>
        <v>3165.05</v>
      </c>
      <c r="Q88" s="78">
        <f ca="1">Valores!$D$4</f>
        <v>2296.75</v>
      </c>
      <c r="R88" s="61">
        <f>Valores!$C$26</f>
        <v>2298.92</v>
      </c>
      <c r="S88" s="87">
        <f>Valores!$C$42</f>
        <v>759.13</v>
      </c>
      <c r="T88" s="77">
        <f>Valores!$C$23</f>
        <v>2221.56</v>
      </c>
      <c r="U88" s="77">
        <f ca="1">T88*(1+$I$2)</f>
        <v>4443.12</v>
      </c>
      <c r="V88" s="77">
        <v>0</v>
      </c>
      <c r="W88" s="77">
        <v>0</v>
      </c>
      <c r="X88" s="116">
        <v>0</v>
      </c>
      <c r="Y88" s="77">
        <f ca="1">X88*Valores!$C$2</f>
        <v>0</v>
      </c>
      <c r="Z88" s="77">
        <v>0</v>
      </c>
      <c r="AA88" s="89">
        <f>Valores!$C$29</f>
        <v>131.68</v>
      </c>
      <c r="AB88" s="77">
        <f t="shared" ca="1" si="15"/>
        <v>0</v>
      </c>
      <c r="AC88" s="77">
        <f>Valores!$C$30</f>
        <v>131.68</v>
      </c>
      <c r="AD88" s="116">
        <v>19</v>
      </c>
      <c r="AE88" s="77">
        <f ca="1">INT(((AD88*Valores!$C$2)*100)+0.5)/100</f>
        <v>97.56</v>
      </c>
      <c r="AF88" s="77">
        <f>Valores!$C$51</f>
        <v>267.87</v>
      </c>
      <c r="AG88" s="77">
        <f>Valores!$C$52</f>
        <v>76.540000000000006</v>
      </c>
      <c r="AH88" s="77">
        <f ca="1">SUM(G88,I88,K88,M88,N88,O88,P88,Q88,R88,S88,U88,V88,W88,Y88,Z88,AA88,AB88,AC88,AE88,AF88,AG88)*Valores!$C$54</f>
        <v>0</v>
      </c>
      <c r="AI88" s="15">
        <f t="shared" ca="1" si="18"/>
        <v>37174.15</v>
      </c>
      <c r="AJ88" s="78">
        <f>Valores!$C$35</f>
        <v>182.07</v>
      </c>
      <c r="AK88" s="79">
        <f>Valores!$C$8</f>
        <v>204.1</v>
      </c>
      <c r="AL88" s="89">
        <v>112.25</v>
      </c>
      <c r="AM88" s="79">
        <f ca="1">IF($G$4="SI",SUM(AK88+AL88),AK88)*Valores!$C$54</f>
        <v>0</v>
      </c>
      <c r="AN88" s="12">
        <f t="shared" ca="1" si="19"/>
        <v>498.41999999999996</v>
      </c>
      <c r="AO88" s="153">
        <f ca="1">AI88*-Valores!$C$56</f>
        <v>-4832.6395000000002</v>
      </c>
      <c r="AP88" s="153">
        <f ca="1">AI88*-Valores!$C$57</f>
        <v>-185.87075000000002</v>
      </c>
      <c r="AQ88" s="78">
        <f ca="1">AI88*-Valores!$C$58</f>
        <v>-1672.8367499999999</v>
      </c>
      <c r="AR88" s="78">
        <f ca="1">AI88*-Valores!$C$59</f>
        <v>-1003.7020500000002</v>
      </c>
      <c r="AS88" s="78">
        <f ca="1">AI88*-Valores!$C$60</f>
        <v>-111.52245000000001</v>
      </c>
      <c r="AT88" s="15">
        <f t="shared" ca="1" si="16"/>
        <v>30981.222999999994</v>
      </c>
      <c r="AU88" s="15">
        <f t="shared" ca="1" si="17"/>
        <v>31538.835249999996</v>
      </c>
      <c r="AV88" s="78">
        <f ca="1">AI88*Valores!$C$61</f>
        <v>5947.8640000000005</v>
      </c>
      <c r="AW88" s="78">
        <f ca="1">AI88*Valores!$C$62</f>
        <v>1672.8367499999999</v>
      </c>
      <c r="AX88" s="78">
        <f ca="1">AI88*Valores!$C$64</f>
        <v>371.74150000000003</v>
      </c>
      <c r="AY88" s="78">
        <f ca="1">AI88*Valores!$C$65</f>
        <v>1301.0952500000001</v>
      </c>
      <c r="AZ88" s="78">
        <f ca="1">AI88*Valores!$C$66</f>
        <v>223.04490000000001</v>
      </c>
      <c r="BA88" s="78">
        <f t="shared" ca="1" si="20"/>
        <v>2007.4041000000004</v>
      </c>
      <c r="BB88" s="20"/>
      <c r="BC88" s="20">
        <v>25</v>
      </c>
      <c r="BD88" s="9" t="s">
        <v>467</v>
      </c>
    </row>
    <row r="89" spans="1:56" s="9" customFormat="1" ht="11.25" customHeight="1" x14ac:dyDescent="0.15">
      <c r="A89" s="20">
        <v>88</v>
      </c>
      <c r="B89" s="20"/>
      <c r="C89" s="9" t="s">
        <v>158</v>
      </c>
      <c r="E89" s="10" t="s">
        <v>159</v>
      </c>
      <c r="F89" s="123">
        <f>75+143</f>
        <v>218</v>
      </c>
      <c r="G89" s="7">
        <f ca="1">INT((F89*Valores!$C$2*100)+0.5)/100</f>
        <v>1119.3599999999999</v>
      </c>
      <c r="H89" s="113">
        <v>1997</v>
      </c>
      <c r="I89" s="77">
        <f ca="1">INT((H89*Valores!$C$2*100)+0.5)/100</f>
        <v>10254</v>
      </c>
      <c r="J89" s="147">
        <v>0</v>
      </c>
      <c r="K89" s="77">
        <f ca="1">INT((J89*Valores!$C$2*100)+0.5)/100</f>
        <v>0</v>
      </c>
      <c r="L89" s="120">
        <v>0</v>
      </c>
      <c r="M89" s="77">
        <f ca="1">INT((L89*Valores!$C$2*100)+0.5)/100</f>
        <v>0</v>
      </c>
      <c r="N89" s="77">
        <f t="shared" ca="1" si="13"/>
        <v>0</v>
      </c>
      <c r="O89" s="77">
        <f t="shared" ca="1" si="14"/>
        <v>11752.925000000001</v>
      </c>
      <c r="P89" s="78">
        <f>Valores!$C$16</f>
        <v>3165.05</v>
      </c>
      <c r="Q89" s="78">
        <f ca="1">Valores!$D$4</f>
        <v>2296.75</v>
      </c>
      <c r="R89" s="77">
        <f>Valores!$C$26</f>
        <v>2298.92</v>
      </c>
      <c r="S89" s="79">
        <f>Valores!$C$42/2</f>
        <v>379.565</v>
      </c>
      <c r="T89" s="77">
        <f>Valores!$C$23</f>
        <v>2221.56</v>
      </c>
      <c r="U89" s="77">
        <f t="shared" ca="1" si="12"/>
        <v>4443.12</v>
      </c>
      <c r="V89" s="77">
        <v>0</v>
      </c>
      <c r="W89" s="77">
        <v>0</v>
      </c>
      <c r="X89" s="116">
        <v>0</v>
      </c>
      <c r="Y89" s="77">
        <f ca="1">X89*Valores!$C$2</f>
        <v>0</v>
      </c>
      <c r="Z89" s="77">
        <v>0</v>
      </c>
      <c r="AA89" s="89">
        <f>Valores!$C$29</f>
        <v>131.68</v>
      </c>
      <c r="AB89" s="77">
        <f t="shared" ca="1" si="15"/>
        <v>0</v>
      </c>
      <c r="AC89" s="77">
        <f>Valores!$C$30</f>
        <v>131.68</v>
      </c>
      <c r="AD89" s="116">
        <v>0</v>
      </c>
      <c r="AE89" s="77">
        <f ca="1">INT(((AD89*Valores!$C$2)*100)+0.5)/100</f>
        <v>0</v>
      </c>
      <c r="AF89" s="77">
        <f>Valores!$C$51</f>
        <v>267.87</v>
      </c>
      <c r="AG89" s="77">
        <f>Valores!$C$52</f>
        <v>76.540000000000006</v>
      </c>
      <c r="AH89" s="77">
        <f ca="1">SUM(G89,I89,K89,M89,N89,O89,P89,Q89,R89,S89,U89,V89,W89,Y89,Z89,AA89,AB89,AC89,AE89,AF89,AG89)*Valores!$C$54</f>
        <v>0</v>
      </c>
      <c r="AI89" s="15">
        <f t="shared" ca="1" si="18"/>
        <v>36317.460000000014</v>
      </c>
      <c r="AJ89" s="78">
        <f>Valores!$C$35</f>
        <v>182.07</v>
      </c>
      <c r="AK89" s="79">
        <f>Valores!$C$8/2</f>
        <v>102.05</v>
      </c>
      <c r="AL89" s="89">
        <v>0</v>
      </c>
      <c r="AM89" s="79">
        <f ca="1">IF($G$4="SI",SUM(AK89+AL89),AK89)*Valores!$C$54</f>
        <v>0</v>
      </c>
      <c r="AN89" s="12">
        <f t="shared" ca="1" si="19"/>
        <v>284.12</v>
      </c>
      <c r="AO89" s="153">
        <f ca="1">AI89*-Valores!$C$56</f>
        <v>-4721.2698000000019</v>
      </c>
      <c r="AP89" s="153">
        <f ca="1">AI89*-Valores!$C$57</f>
        <v>-181.58730000000008</v>
      </c>
      <c r="AQ89" s="78">
        <f ca="1">AI89*-Valores!$C$58</f>
        <v>-1634.2857000000006</v>
      </c>
      <c r="AR89" s="78">
        <f ca="1">AI89*-Valores!$C$59</f>
        <v>-980.57142000000044</v>
      </c>
      <c r="AS89" s="78">
        <f ca="1">AI89*-Valores!$C$60</f>
        <v>-108.95238000000005</v>
      </c>
      <c r="AT89" s="15">
        <f t="shared" ca="1" si="16"/>
        <v>30064.437200000015</v>
      </c>
      <c r="AU89" s="15">
        <f t="shared" ca="1" si="17"/>
        <v>30609.199100000016</v>
      </c>
      <c r="AV89" s="78">
        <f ca="1">AI89*Valores!$C$61</f>
        <v>5810.7936000000027</v>
      </c>
      <c r="AW89" s="78">
        <f ca="1">AI89*Valores!$C$62</f>
        <v>1634.2857000000006</v>
      </c>
      <c r="AX89" s="78">
        <f ca="1">AI89*Valores!$C$64</f>
        <v>363.17460000000017</v>
      </c>
      <c r="AY89" s="78">
        <f ca="1">AI89*Valores!$C$65</f>
        <v>1271.1111000000005</v>
      </c>
      <c r="AZ89" s="78">
        <f ca="1">AI89*Valores!$C$66</f>
        <v>217.9047600000001</v>
      </c>
      <c r="BA89" s="78">
        <f t="shared" ca="1" si="20"/>
        <v>1961.1428400000007</v>
      </c>
      <c r="BB89" s="20"/>
      <c r="BC89" s="20">
        <v>25</v>
      </c>
      <c r="BD89" s="9" t="s">
        <v>466</v>
      </c>
    </row>
    <row r="90" spans="1:56" s="9" customFormat="1" ht="11.25" customHeight="1" x14ac:dyDescent="0.15">
      <c r="A90" s="20">
        <v>89</v>
      </c>
      <c r="B90" s="20"/>
      <c r="C90" s="9" t="s">
        <v>160</v>
      </c>
      <c r="E90" s="10" t="s">
        <v>161</v>
      </c>
      <c r="F90" s="123">
        <v>187</v>
      </c>
      <c r="G90" s="7">
        <f ca="1">INT((F90*Valores!$C$2*100)+0.5)/100</f>
        <v>960.19</v>
      </c>
      <c r="H90" s="113">
        <v>1704</v>
      </c>
      <c r="I90" s="77">
        <f ca="1">INT((H90*Valores!$C$2*100)+0.5)/100</f>
        <v>8749.5300000000007</v>
      </c>
      <c r="J90" s="147">
        <v>0</v>
      </c>
      <c r="K90" s="77">
        <f ca="1">INT((J90*Valores!$C$2*100)+0.5)/100</f>
        <v>0</v>
      </c>
      <c r="L90" s="120">
        <v>0</v>
      </c>
      <c r="M90" s="77">
        <f ca="1">INT((L90*Valores!$C$2*100)+0.5)/100</f>
        <v>0</v>
      </c>
      <c r="N90" s="77">
        <f t="shared" ca="1" si="13"/>
        <v>0</v>
      </c>
      <c r="O90" s="77">
        <f t="shared" ca="1" si="14"/>
        <v>10468.85</v>
      </c>
      <c r="P90" s="78">
        <f>Valores!$C$16</f>
        <v>3165.05</v>
      </c>
      <c r="Q90" s="78">
        <f ca="1">Valores!$D$4</f>
        <v>2296.75</v>
      </c>
      <c r="R90" s="77">
        <f>Valores!$C$26</f>
        <v>2298.92</v>
      </c>
      <c r="S90" s="79">
        <f>Valores!$C$42</f>
        <v>759.13</v>
      </c>
      <c r="T90" s="77">
        <f>Valores!$C$23</f>
        <v>2221.56</v>
      </c>
      <c r="U90" s="77">
        <f t="shared" ca="1" si="12"/>
        <v>4443.12</v>
      </c>
      <c r="V90" s="77">
        <v>0</v>
      </c>
      <c r="W90" s="77">
        <v>0</v>
      </c>
      <c r="X90" s="116">
        <v>0</v>
      </c>
      <c r="Y90" s="77">
        <f ca="1">X90*Valores!$C$2</f>
        <v>0</v>
      </c>
      <c r="Z90" s="77">
        <v>0</v>
      </c>
      <c r="AA90" s="89">
        <f>Valores!$C$29</f>
        <v>131.68</v>
      </c>
      <c r="AB90" s="77">
        <f t="shared" ca="1" si="15"/>
        <v>0</v>
      </c>
      <c r="AC90" s="77">
        <f>Valores!$C$30</f>
        <v>131.68</v>
      </c>
      <c r="AD90" s="116">
        <v>0</v>
      </c>
      <c r="AE90" s="77">
        <f ca="1">INT(((AD90*Valores!$C$2)*100)+0.5)/100</f>
        <v>0</v>
      </c>
      <c r="AF90" s="77">
        <f>Valores!$C$51</f>
        <v>267.87</v>
      </c>
      <c r="AG90" s="77">
        <f>Valores!$C$52</f>
        <v>76.540000000000006</v>
      </c>
      <c r="AH90" s="77">
        <f ca="1">SUM(G90,I90,K90,M90,N90,O90,P90,Q90,R90,S90,U90,V90,W90,Y90,Z90,AA90,AB90,AC90,AE90,AF90,AG90)*Valores!$C$54</f>
        <v>0</v>
      </c>
      <c r="AI90" s="15">
        <f t="shared" ca="1" si="18"/>
        <v>33749.310000000005</v>
      </c>
      <c r="AJ90" s="78">
        <f>Valores!$C$35</f>
        <v>182.07</v>
      </c>
      <c r="AK90" s="79">
        <f>Valores!$C$8</f>
        <v>204.1</v>
      </c>
      <c r="AL90" s="89">
        <v>112.25</v>
      </c>
      <c r="AM90" s="79">
        <f ca="1">IF($G$4="SI",SUM(AK90+AL90),AK90)*Valores!$C$54</f>
        <v>0</v>
      </c>
      <c r="AN90" s="12">
        <f t="shared" ca="1" si="19"/>
        <v>498.41999999999996</v>
      </c>
      <c r="AO90" s="153">
        <f ca="1">AI90*-Valores!$C$56</f>
        <v>-4387.4103000000005</v>
      </c>
      <c r="AP90" s="153">
        <f ca="1">AI90*-Valores!$C$57</f>
        <v>-168.74655000000004</v>
      </c>
      <c r="AQ90" s="78">
        <f ca="1">AI90*-Valores!$C$58</f>
        <v>-1518.7189500000002</v>
      </c>
      <c r="AR90" s="78">
        <f ca="1">AI90*-Valores!$C$59</f>
        <v>-911.2313700000002</v>
      </c>
      <c r="AS90" s="78">
        <f ca="1">AI90*-Valores!$C$60</f>
        <v>-101.24793000000001</v>
      </c>
      <c r="AT90" s="15">
        <f t="shared" ca="1" si="16"/>
        <v>28172.854200000002</v>
      </c>
      <c r="AU90" s="15">
        <f t="shared" ca="1" si="17"/>
        <v>28679.093849999997</v>
      </c>
      <c r="AV90" s="78">
        <f ca="1">AI90*Valores!$C$61</f>
        <v>5399.8896000000013</v>
      </c>
      <c r="AW90" s="78">
        <f ca="1">AI90*Valores!$C$62</f>
        <v>1518.7189500000002</v>
      </c>
      <c r="AX90" s="78">
        <f ca="1">AI90*Valores!$C$64</f>
        <v>337.49310000000008</v>
      </c>
      <c r="AY90" s="78">
        <f ca="1">AI90*Valores!$C$65</f>
        <v>1181.2258500000003</v>
      </c>
      <c r="AZ90" s="78">
        <f ca="1">AI90*Valores!$C$66</f>
        <v>202.49586000000002</v>
      </c>
      <c r="BA90" s="78">
        <f t="shared" ca="1" si="20"/>
        <v>1822.4627400000004</v>
      </c>
      <c r="BB90" s="20"/>
      <c r="BC90" s="20">
        <v>25</v>
      </c>
      <c r="BD90" s="9" t="s">
        <v>467</v>
      </c>
    </row>
    <row r="91" spans="1:56" s="9" customFormat="1" ht="11.25" customHeight="1" x14ac:dyDescent="0.15">
      <c r="A91" s="55">
        <v>90</v>
      </c>
      <c r="B91" s="55" t="s">
        <v>462</v>
      </c>
      <c r="C91" s="52" t="s">
        <v>160</v>
      </c>
      <c r="D91" s="52"/>
      <c r="E91" s="53" t="s">
        <v>516</v>
      </c>
      <c r="F91" s="124">
        <v>187</v>
      </c>
      <c r="G91" s="129">
        <f ca="1">INT((F91*Valores!$C$2*100)+0.5)/100</f>
        <v>960.19</v>
      </c>
      <c r="H91" s="114">
        <v>1704</v>
      </c>
      <c r="I91" s="80">
        <f ca="1">INT((H91*Valores!$C$2*100)+0.5)/100</f>
        <v>8749.5300000000007</v>
      </c>
      <c r="J91" s="148">
        <v>0</v>
      </c>
      <c r="K91" s="80">
        <f ca="1">INT((J91*Valores!$C$2*100)+0.5)/100</f>
        <v>0</v>
      </c>
      <c r="L91" s="121">
        <v>0</v>
      </c>
      <c r="M91" s="80">
        <f ca="1">INT((L91*Valores!$C$2*100)+0.5)/100</f>
        <v>0</v>
      </c>
      <c r="N91" s="80">
        <f ca="1">IF($I$2=0,IF(C91&lt;&gt;"13-930",(SUM(G91,I91,K91,M91,Y91,T91,S91)*$N$2),0),0)</f>
        <v>0</v>
      </c>
      <c r="O91" s="80">
        <f ca="1">SUM(G91,I91,K91,M91,Y91,S91)*$I$2</f>
        <v>10468.85</v>
      </c>
      <c r="P91" s="81">
        <f>Valores!$C$16</f>
        <v>3165.05</v>
      </c>
      <c r="Q91" s="81">
        <f ca="1">Valores!$D$4</f>
        <v>2296.75</v>
      </c>
      <c r="R91" s="80">
        <f>Valores!$C$26</f>
        <v>2298.92</v>
      </c>
      <c r="S91" s="82">
        <f>Valores!$C$42</f>
        <v>759.13</v>
      </c>
      <c r="T91" s="80">
        <f>Valores!$C$23</f>
        <v>2221.56</v>
      </c>
      <c r="U91" s="80">
        <f ca="1">T91*(1+$I$2)</f>
        <v>4443.12</v>
      </c>
      <c r="V91" s="80">
        <v>0</v>
      </c>
      <c r="W91" s="80">
        <v>0</v>
      </c>
      <c r="X91" s="115">
        <v>0</v>
      </c>
      <c r="Y91" s="80">
        <f ca="1">X91*Valores!$C$2</f>
        <v>0</v>
      </c>
      <c r="Z91" s="80">
        <v>0</v>
      </c>
      <c r="AA91" s="90">
        <f>Valores!$C$29</f>
        <v>131.68</v>
      </c>
      <c r="AB91" s="80">
        <f t="shared" ca="1" si="15"/>
        <v>0</v>
      </c>
      <c r="AC91" s="80">
        <f>Valores!$C$30</f>
        <v>131.68</v>
      </c>
      <c r="AD91" s="115">
        <v>19</v>
      </c>
      <c r="AE91" s="80">
        <f ca="1">INT(((AD91*Valores!$C$2)*100)+0.5)/100</f>
        <v>97.56</v>
      </c>
      <c r="AF91" s="80">
        <f>Valores!$C$51</f>
        <v>267.87</v>
      </c>
      <c r="AG91" s="80">
        <f>Valores!$C$52</f>
        <v>76.540000000000006</v>
      </c>
      <c r="AH91" s="80">
        <f ca="1">SUM(G91,I91,K91,M91,N91,O91,P91,Q91,R91,S91,U91,V91,W91,Y91,Z91,AA91,AB91,AC91,AE91,AF91,AG91)*Valores!$C$54</f>
        <v>0</v>
      </c>
      <c r="AI91" s="54">
        <f t="shared" ca="1" si="18"/>
        <v>33846.870000000003</v>
      </c>
      <c r="AJ91" s="81">
        <f>Valores!$C$35</f>
        <v>182.07</v>
      </c>
      <c r="AK91" s="82">
        <f>Valores!$C$8</f>
        <v>204.1</v>
      </c>
      <c r="AL91" s="90">
        <v>112.25</v>
      </c>
      <c r="AM91" s="82">
        <f ca="1">IF($G$4="SI",SUM(AK91+AL91),AK91)*Valores!$C$54</f>
        <v>0</v>
      </c>
      <c r="AN91" s="186">
        <f t="shared" ca="1" si="19"/>
        <v>498.41999999999996</v>
      </c>
      <c r="AO91" s="154">
        <f ca="1">AI91*-Valores!$C$56</f>
        <v>-4400.0931</v>
      </c>
      <c r="AP91" s="154">
        <f ca="1">AI91*-Valores!$C$57</f>
        <v>-169.23435000000001</v>
      </c>
      <c r="AQ91" s="81">
        <f ca="1">AI91*-Valores!$C$58</f>
        <v>-1523.10915</v>
      </c>
      <c r="AR91" s="81">
        <f ca="1">AI91*-Valores!$C$59</f>
        <v>-913.86549000000014</v>
      </c>
      <c r="AS91" s="81">
        <f ca="1">AI91*-Valores!$C$60</f>
        <v>-101.54061000000002</v>
      </c>
      <c r="AT91" s="54">
        <f t="shared" ca="1" si="16"/>
        <v>28252.8534</v>
      </c>
      <c r="AU91" s="54">
        <f t="shared" ca="1" si="17"/>
        <v>28760.55645</v>
      </c>
      <c r="AV91" s="81">
        <f ca="1">AI91*Valores!$C$61</f>
        <v>5415.4992000000002</v>
      </c>
      <c r="AW91" s="81">
        <f ca="1">AI91*Valores!$C$62</f>
        <v>1523.10915</v>
      </c>
      <c r="AX91" s="81">
        <f ca="1">AI91*Valores!$C$64</f>
        <v>338.46870000000001</v>
      </c>
      <c r="AY91" s="81">
        <f ca="1">AI91*Valores!$C$65</f>
        <v>1184.6404500000001</v>
      </c>
      <c r="AZ91" s="81">
        <f ca="1">AI91*Valores!$C$66</f>
        <v>203.08122000000003</v>
      </c>
      <c r="BA91" s="81">
        <f t="shared" ca="1" si="20"/>
        <v>1827.7309800000003</v>
      </c>
      <c r="BB91" s="55"/>
      <c r="BC91" s="55">
        <v>25</v>
      </c>
      <c r="BD91" s="52" t="s">
        <v>467</v>
      </c>
    </row>
    <row r="92" spans="1:56" s="9" customFormat="1" ht="11.25" customHeight="1" x14ac:dyDescent="0.15">
      <c r="A92" s="20">
        <v>91</v>
      </c>
      <c r="B92" s="20"/>
      <c r="C92" s="9" t="s">
        <v>162</v>
      </c>
      <c r="E92" s="10" t="s">
        <v>163</v>
      </c>
      <c r="F92" s="123">
        <v>161</v>
      </c>
      <c r="G92" s="7">
        <f ca="1">INT((F92*Valores!$C$2*100)+0.5)/100</f>
        <v>826.69</v>
      </c>
      <c r="H92" s="113">
        <f>1480</f>
        <v>1480</v>
      </c>
      <c r="I92" s="77">
        <f ca="1">INT((H92*Valores!$C$2*100)+0.5)/100</f>
        <v>7599.36</v>
      </c>
      <c r="J92" s="147">
        <v>0</v>
      </c>
      <c r="K92" s="77">
        <f ca="1">INT((J92*Valores!$C$2*100)+0.5)/100</f>
        <v>0</v>
      </c>
      <c r="L92" s="120">
        <v>0</v>
      </c>
      <c r="M92" s="77">
        <f ca="1">INT((L92*Valores!$C$2*100)+0.5)/100</f>
        <v>0</v>
      </c>
      <c r="N92" s="77">
        <f t="shared" ca="1" si="13"/>
        <v>0</v>
      </c>
      <c r="O92" s="77">
        <f t="shared" ca="1" si="14"/>
        <v>9185.1799999999985</v>
      </c>
      <c r="P92" s="78">
        <f>Valores!$C$16</f>
        <v>3165.05</v>
      </c>
      <c r="Q92" s="78">
        <f ca="1">Valores!$D$4</f>
        <v>2296.75</v>
      </c>
      <c r="R92" s="61">
        <f>Valores!$C$26</f>
        <v>2298.92</v>
      </c>
      <c r="S92" s="87">
        <f>Valores!$C$42</f>
        <v>759.13</v>
      </c>
      <c r="T92" s="77">
        <f>Valores!$C$23</f>
        <v>2221.56</v>
      </c>
      <c r="U92" s="77">
        <f t="shared" ca="1" si="12"/>
        <v>4443.12</v>
      </c>
      <c r="V92" s="77">
        <v>0</v>
      </c>
      <c r="W92" s="77">
        <v>0</v>
      </c>
      <c r="X92" s="116">
        <v>0</v>
      </c>
      <c r="Y92" s="77">
        <f ca="1">X92*Valores!$C$2</f>
        <v>0</v>
      </c>
      <c r="Z92" s="77">
        <v>0</v>
      </c>
      <c r="AA92" s="89">
        <f>Valores!$C$29</f>
        <v>131.68</v>
      </c>
      <c r="AB92" s="77">
        <f t="shared" ca="1" si="15"/>
        <v>0</v>
      </c>
      <c r="AC92" s="77">
        <f>Valores!$C$30</f>
        <v>131.68</v>
      </c>
      <c r="AD92" s="116">
        <v>0</v>
      </c>
      <c r="AE92" s="77">
        <f ca="1">INT(((AD92*Valores!$C$2)*100)+0.5)/100</f>
        <v>0</v>
      </c>
      <c r="AF92" s="77">
        <f>Valores!$C$51</f>
        <v>267.87</v>
      </c>
      <c r="AG92" s="77">
        <f>Valores!$C$52</f>
        <v>76.540000000000006</v>
      </c>
      <c r="AH92" s="77">
        <f ca="1">SUM(G92,I92,K92,M92,N92,O92,P92,Q92,R92,S92,U92,V92,W92,Y92,Z92,AA92,AB92,AC92,AE92,AF92,AG92)*Valores!$C$54</f>
        <v>0</v>
      </c>
      <c r="AI92" s="15">
        <f t="shared" ca="1" si="18"/>
        <v>31181.969999999998</v>
      </c>
      <c r="AJ92" s="78">
        <f>Valores!$C$35</f>
        <v>182.07</v>
      </c>
      <c r="AK92" s="79">
        <f>Valores!$C$8</f>
        <v>204.1</v>
      </c>
      <c r="AL92" s="89">
        <v>112.25</v>
      </c>
      <c r="AM92" s="79">
        <f ca="1">IF($G$4="SI",SUM(AK92+AL92),AK92)*Valores!$C$54</f>
        <v>0</v>
      </c>
      <c r="AN92" s="12">
        <f t="shared" ca="1" si="19"/>
        <v>498.41999999999996</v>
      </c>
      <c r="AO92" s="153">
        <f ca="1">AI92*-Valores!$C$56</f>
        <v>-4053.6560999999997</v>
      </c>
      <c r="AP92" s="153">
        <f ca="1">AI92*-Valores!$C$57</f>
        <v>-155.90984999999998</v>
      </c>
      <c r="AQ92" s="78">
        <f ca="1">AI92*-Valores!$C$58</f>
        <v>-1403.1886499999998</v>
      </c>
      <c r="AR92" s="78">
        <f ca="1">AI92*-Valores!$C$59</f>
        <v>-841.91318999999999</v>
      </c>
      <c r="AS92" s="78">
        <f ca="1">AI92*-Valores!$C$60</f>
        <v>-93.545909999999992</v>
      </c>
      <c r="AT92" s="15">
        <f t="shared" ca="1" si="16"/>
        <v>26067.635399999996</v>
      </c>
      <c r="AU92" s="15">
        <f t="shared" ca="1" si="17"/>
        <v>26535.364949999996</v>
      </c>
      <c r="AV92" s="78">
        <f ca="1">AI92*Valores!$C$61</f>
        <v>4989.1151999999993</v>
      </c>
      <c r="AW92" s="78">
        <f ca="1">AI92*Valores!$C$62</f>
        <v>1403.1886499999998</v>
      </c>
      <c r="AX92" s="78">
        <f ca="1">AI92*Valores!$C$64</f>
        <v>311.81969999999995</v>
      </c>
      <c r="AY92" s="78">
        <f ca="1">AI92*Valores!$C$65</f>
        <v>1091.36895</v>
      </c>
      <c r="AZ92" s="78">
        <f ca="1">AI92*Valores!$C$66</f>
        <v>187.09181999999998</v>
      </c>
      <c r="BA92" s="78">
        <f t="shared" ca="1" si="20"/>
        <v>1683.82638</v>
      </c>
      <c r="BB92" s="20"/>
      <c r="BC92" s="20">
        <v>25</v>
      </c>
      <c r="BD92" s="9" t="s">
        <v>467</v>
      </c>
    </row>
    <row r="93" spans="1:56" s="9" customFormat="1" ht="11.25" customHeight="1" x14ac:dyDescent="0.15">
      <c r="A93" s="20">
        <v>92</v>
      </c>
      <c r="B93" s="20"/>
      <c r="C93" s="9" t="s">
        <v>162</v>
      </c>
      <c r="E93" s="10" t="s">
        <v>517</v>
      </c>
      <c r="F93" s="123">
        <v>161</v>
      </c>
      <c r="G93" s="7">
        <f ca="1">INT((F93*Valores!$C$2*100)+0.5)/100</f>
        <v>826.69</v>
      </c>
      <c r="H93" s="113">
        <f>1480</f>
        <v>1480</v>
      </c>
      <c r="I93" s="77">
        <f ca="1">INT((H93*Valores!$C$2*100)+0.5)/100</f>
        <v>7599.36</v>
      </c>
      <c r="J93" s="147">
        <v>0</v>
      </c>
      <c r="K93" s="77">
        <f ca="1">INT((J93*Valores!$C$2*100)+0.5)/100</f>
        <v>0</v>
      </c>
      <c r="L93" s="120">
        <v>0</v>
      </c>
      <c r="M93" s="77">
        <f ca="1">INT((L93*Valores!$C$2*100)+0.5)/100</f>
        <v>0</v>
      </c>
      <c r="N93" s="77">
        <f ca="1">IF($I$2=0,IF(C93&lt;&gt;"13-930",(SUM(G93,I93,K93,M93,Y93,T93,S93)*$N$2),0),0)</f>
        <v>0</v>
      </c>
      <c r="O93" s="77">
        <f ca="1">SUM(G93,I93,K93,M93,Y93,S93)*$I$2</f>
        <v>9185.1799999999985</v>
      </c>
      <c r="P93" s="78">
        <f>Valores!$C$16</f>
        <v>3165.05</v>
      </c>
      <c r="Q93" s="78">
        <f ca="1">Valores!$D$4</f>
        <v>2296.75</v>
      </c>
      <c r="R93" s="61">
        <f>Valores!$C$26</f>
        <v>2298.92</v>
      </c>
      <c r="S93" s="87">
        <f>Valores!$C$42</f>
        <v>759.13</v>
      </c>
      <c r="T93" s="77">
        <f>Valores!$C$23</f>
        <v>2221.56</v>
      </c>
      <c r="U93" s="77">
        <f ca="1">T93*(1+$I$2)</f>
        <v>4443.12</v>
      </c>
      <c r="V93" s="77">
        <v>0</v>
      </c>
      <c r="W93" s="77">
        <v>0</v>
      </c>
      <c r="X93" s="116">
        <v>0</v>
      </c>
      <c r="Y93" s="77">
        <f ca="1">X93*Valores!$C$2</f>
        <v>0</v>
      </c>
      <c r="Z93" s="77">
        <v>0</v>
      </c>
      <c r="AA93" s="89">
        <f>Valores!$C$29</f>
        <v>131.68</v>
      </c>
      <c r="AB93" s="77">
        <f t="shared" ca="1" si="15"/>
        <v>0</v>
      </c>
      <c r="AC93" s="77">
        <f>Valores!$C$30</f>
        <v>131.68</v>
      </c>
      <c r="AD93" s="116">
        <v>19</v>
      </c>
      <c r="AE93" s="77">
        <f ca="1">INT(((AD93*Valores!$C$2)*100)+0.5)/100</f>
        <v>97.56</v>
      </c>
      <c r="AF93" s="77">
        <f>Valores!$C$51</f>
        <v>267.87</v>
      </c>
      <c r="AG93" s="77">
        <f>Valores!$C$52</f>
        <v>76.540000000000006</v>
      </c>
      <c r="AH93" s="77">
        <f ca="1">SUM(G93,I93,K93,M93,N93,O93,P93,Q93,R93,S93,U93,V93,W93,Y93,Z93,AA93,AB93,AC93,AE93,AF93,AG93)*Valores!$C$54</f>
        <v>0</v>
      </c>
      <c r="AI93" s="15">
        <f t="shared" ca="1" si="18"/>
        <v>31279.53</v>
      </c>
      <c r="AJ93" s="78">
        <f>Valores!$C$35</f>
        <v>182.07</v>
      </c>
      <c r="AK93" s="79">
        <f>Valores!$C$8</f>
        <v>204.1</v>
      </c>
      <c r="AL93" s="89">
        <v>112.25</v>
      </c>
      <c r="AM93" s="79">
        <f ca="1">IF($G$4="SI",SUM(AK93+AL93),AK93)*Valores!$C$54</f>
        <v>0</v>
      </c>
      <c r="AN93" s="12">
        <f t="shared" ca="1" si="19"/>
        <v>498.41999999999996</v>
      </c>
      <c r="AO93" s="153">
        <f ca="1">AI93*-Valores!$C$56</f>
        <v>-4066.3389000000002</v>
      </c>
      <c r="AP93" s="153">
        <f ca="1">AI93*-Valores!$C$57</f>
        <v>-156.39765</v>
      </c>
      <c r="AQ93" s="78">
        <f ca="1">AI93*-Valores!$C$58</f>
        <v>-1407.5788499999999</v>
      </c>
      <c r="AR93" s="78">
        <f ca="1">AI93*-Valores!$C$59</f>
        <v>-844.54731000000004</v>
      </c>
      <c r="AS93" s="78">
        <f ca="1">AI93*-Valores!$C$60</f>
        <v>-93.838589999999996</v>
      </c>
      <c r="AT93" s="15">
        <f t="shared" ca="1" si="16"/>
        <v>26147.634600000001</v>
      </c>
      <c r="AU93" s="15">
        <f t="shared" ca="1" si="17"/>
        <v>26616.827549999998</v>
      </c>
      <c r="AV93" s="78">
        <f ca="1">AI93*Valores!$C$61</f>
        <v>5004.7248</v>
      </c>
      <c r="AW93" s="78">
        <f ca="1">AI93*Valores!$C$62</f>
        <v>1407.5788499999999</v>
      </c>
      <c r="AX93" s="78">
        <f ca="1">AI93*Valores!$C$64</f>
        <v>312.7953</v>
      </c>
      <c r="AY93" s="78">
        <f ca="1">AI93*Valores!$C$65</f>
        <v>1094.7835500000001</v>
      </c>
      <c r="AZ93" s="78">
        <f ca="1">AI93*Valores!$C$66</f>
        <v>187.67717999999999</v>
      </c>
      <c r="BA93" s="78">
        <f t="shared" ca="1" si="20"/>
        <v>1689.0946200000001</v>
      </c>
      <c r="BB93" s="20"/>
      <c r="BC93" s="20">
        <v>25</v>
      </c>
      <c r="BD93" s="9" t="s">
        <v>467</v>
      </c>
    </row>
    <row r="94" spans="1:56" s="9" customFormat="1" ht="11.25" customHeight="1" x14ac:dyDescent="0.15">
      <c r="A94" s="20">
        <v>93</v>
      </c>
      <c r="B94" s="20"/>
      <c r="C94" s="9" t="s">
        <v>164</v>
      </c>
      <c r="E94" s="10" t="s">
        <v>165</v>
      </c>
      <c r="F94" s="123">
        <v>179</v>
      </c>
      <c r="G94" s="7">
        <f ca="1">INT((F94*Valores!$C$2*100)+0.5)/100</f>
        <v>919.11</v>
      </c>
      <c r="H94" s="113">
        <v>1712</v>
      </c>
      <c r="I94" s="77">
        <f ca="1">INT((H94*Valores!$C$2*100)+0.5)/100</f>
        <v>8790.61</v>
      </c>
      <c r="J94" s="147">
        <v>0</v>
      </c>
      <c r="K94" s="77">
        <f ca="1">INT((J94*Valores!$C$2*100)+0.5)/100</f>
        <v>0</v>
      </c>
      <c r="L94" s="120">
        <v>0</v>
      </c>
      <c r="M94" s="77">
        <f ca="1">INT((L94*Valores!$C$2*100)+0.5)/100</f>
        <v>0</v>
      </c>
      <c r="N94" s="77">
        <f t="shared" ca="1" si="13"/>
        <v>0</v>
      </c>
      <c r="O94" s="77">
        <f t="shared" ca="1" si="14"/>
        <v>10468.85</v>
      </c>
      <c r="P94" s="78">
        <f>Valores!$C$16</f>
        <v>3165.05</v>
      </c>
      <c r="Q94" s="78">
        <f ca="1">Valores!$D$4</f>
        <v>2296.75</v>
      </c>
      <c r="R94" s="61">
        <f>Valores!$C$26</f>
        <v>2298.92</v>
      </c>
      <c r="S94" s="87">
        <f>Valores!$C$42</f>
        <v>759.13</v>
      </c>
      <c r="T94" s="77">
        <f>Valores!$C$23</f>
        <v>2221.56</v>
      </c>
      <c r="U94" s="77">
        <f t="shared" ca="1" si="12"/>
        <v>4443.12</v>
      </c>
      <c r="V94" s="77">
        <v>0</v>
      </c>
      <c r="W94" s="77">
        <v>0</v>
      </c>
      <c r="X94" s="116">
        <v>0</v>
      </c>
      <c r="Y94" s="77">
        <f ca="1">X94*Valores!$C$2</f>
        <v>0</v>
      </c>
      <c r="Z94" s="77">
        <v>0</v>
      </c>
      <c r="AA94" s="89">
        <f>Valores!$C$29</f>
        <v>131.68</v>
      </c>
      <c r="AB94" s="77">
        <f t="shared" ca="1" si="15"/>
        <v>0</v>
      </c>
      <c r="AC94" s="77">
        <f>Valores!$C$30</f>
        <v>131.68</v>
      </c>
      <c r="AD94" s="116">
        <v>0</v>
      </c>
      <c r="AE94" s="77">
        <f ca="1">INT(((AD94*Valores!$C$2)*100)+0.5)/100</f>
        <v>0</v>
      </c>
      <c r="AF94" s="77">
        <f>Valores!$C$51</f>
        <v>267.87</v>
      </c>
      <c r="AG94" s="77">
        <f>Valores!$C$52</f>
        <v>76.540000000000006</v>
      </c>
      <c r="AH94" s="77">
        <f ca="1">SUM(G94,I94,K94,M94,N94,O94,P94,Q94,R94,S94,U94,V94,W94,Y94,Z94,AA94,AB94,AC94,AE94,AF94,AG94)*Valores!$C$54</f>
        <v>0</v>
      </c>
      <c r="AI94" s="15">
        <f t="shared" ca="1" si="18"/>
        <v>33749.310000000005</v>
      </c>
      <c r="AJ94" s="78">
        <f>Valores!$C$35</f>
        <v>182.07</v>
      </c>
      <c r="AK94" s="79">
        <f>Valores!$C$8</f>
        <v>204.1</v>
      </c>
      <c r="AL94" s="89">
        <v>112.25</v>
      </c>
      <c r="AM94" s="79">
        <f ca="1">IF($G$4="SI",SUM(AK94+AL94),AK94)*Valores!$C$54</f>
        <v>0</v>
      </c>
      <c r="AN94" s="12">
        <f t="shared" ca="1" si="19"/>
        <v>498.41999999999996</v>
      </c>
      <c r="AO94" s="153">
        <f ca="1">AI94*-Valores!$C$56</f>
        <v>-4387.4103000000005</v>
      </c>
      <c r="AP94" s="153">
        <f ca="1">AI94*-Valores!$C$57</f>
        <v>-168.74655000000004</v>
      </c>
      <c r="AQ94" s="78">
        <f ca="1">AI94*-Valores!$C$58</f>
        <v>-1518.7189500000002</v>
      </c>
      <c r="AR94" s="78">
        <f ca="1">AI94*-Valores!$C$59</f>
        <v>-911.2313700000002</v>
      </c>
      <c r="AS94" s="78">
        <f ca="1">AI94*-Valores!$C$60</f>
        <v>-101.24793000000001</v>
      </c>
      <c r="AT94" s="15">
        <f t="shared" ca="1" si="16"/>
        <v>28172.854200000002</v>
      </c>
      <c r="AU94" s="15">
        <f t="shared" ca="1" si="17"/>
        <v>28679.093849999997</v>
      </c>
      <c r="AV94" s="78">
        <f ca="1">AI94*Valores!$C$61</f>
        <v>5399.8896000000013</v>
      </c>
      <c r="AW94" s="78">
        <f ca="1">AI94*Valores!$C$62</f>
        <v>1518.7189500000002</v>
      </c>
      <c r="AX94" s="78">
        <f ca="1">AI94*Valores!$C$64</f>
        <v>337.49310000000008</v>
      </c>
      <c r="AY94" s="78">
        <f ca="1">AI94*Valores!$C$65</f>
        <v>1181.2258500000003</v>
      </c>
      <c r="AZ94" s="78">
        <f ca="1">AI94*Valores!$C$66</f>
        <v>202.49586000000002</v>
      </c>
      <c r="BA94" s="78">
        <f t="shared" ca="1" si="20"/>
        <v>1822.4627400000004</v>
      </c>
      <c r="BB94" s="20"/>
      <c r="BC94" s="55">
        <v>25</v>
      </c>
      <c r="BD94" s="9" t="s">
        <v>467</v>
      </c>
    </row>
    <row r="95" spans="1:56" s="9" customFormat="1" ht="11.25" customHeight="1" x14ac:dyDescent="0.15">
      <c r="A95" s="20">
        <v>94</v>
      </c>
      <c r="B95" s="20"/>
      <c r="C95" s="9" t="s">
        <v>166</v>
      </c>
      <c r="E95" s="10" t="s">
        <v>167</v>
      </c>
      <c r="F95" s="123">
        <v>64</v>
      </c>
      <c r="G95" s="7">
        <f ca="1">INT((F95*Valores!$C$2*100)+0.5)/100</f>
        <v>328.62</v>
      </c>
      <c r="H95" s="113">
        <v>2086</v>
      </c>
      <c r="I95" s="77">
        <f ca="1">INT((H95*Valores!$C$2*100)+0.5)/100</f>
        <v>10710.98</v>
      </c>
      <c r="J95" s="147">
        <v>0</v>
      </c>
      <c r="K95" s="77">
        <f ca="1">INT((J95*Valores!$C$2*100)+0.5)/100</f>
        <v>0</v>
      </c>
      <c r="L95" s="120">
        <v>0</v>
      </c>
      <c r="M95" s="77">
        <f ca="1">INT((L95*Valores!$C$2*100)+0.5)/100</f>
        <v>0</v>
      </c>
      <c r="N95" s="77">
        <f t="shared" ca="1" si="13"/>
        <v>0</v>
      </c>
      <c r="O95" s="77">
        <f t="shared" ca="1" si="14"/>
        <v>11798.73</v>
      </c>
      <c r="P95" s="78">
        <f>Valores!$C$16</f>
        <v>3165.05</v>
      </c>
      <c r="Q95" s="78">
        <f ca="1">Valores!$D$4</f>
        <v>2296.75</v>
      </c>
      <c r="R95" s="61">
        <f>Valores!$C$26</f>
        <v>2298.92</v>
      </c>
      <c r="S95" s="87">
        <f>Valores!$C$42</f>
        <v>759.13</v>
      </c>
      <c r="T95" s="77">
        <f>Valores!$C$23</f>
        <v>2221.56</v>
      </c>
      <c r="U95" s="77">
        <f t="shared" ca="1" si="12"/>
        <v>4443.12</v>
      </c>
      <c r="V95" s="77">
        <v>0</v>
      </c>
      <c r="W95" s="77">
        <v>0</v>
      </c>
      <c r="X95" s="116">
        <v>0</v>
      </c>
      <c r="Y95" s="77">
        <f ca="1">X95*Valores!$C$2</f>
        <v>0</v>
      </c>
      <c r="Z95" s="77">
        <v>0</v>
      </c>
      <c r="AA95" s="89">
        <f>Valores!$C$29</f>
        <v>131.68</v>
      </c>
      <c r="AB95" s="77">
        <f t="shared" ca="1" si="15"/>
        <v>0</v>
      </c>
      <c r="AC95" s="77">
        <f>Valores!$C$30</f>
        <v>131.68</v>
      </c>
      <c r="AD95" s="116">
        <v>0</v>
      </c>
      <c r="AE95" s="77">
        <f ca="1">INT(((AD95*Valores!$C$2)*100)+0.5)/100</f>
        <v>0</v>
      </c>
      <c r="AF95" s="77">
        <f>Valores!$C$51</f>
        <v>267.87</v>
      </c>
      <c r="AG95" s="77">
        <f>Valores!$C$52</f>
        <v>76.540000000000006</v>
      </c>
      <c r="AH95" s="77">
        <f ca="1">SUM(G95,I95,K95,M95,N95,O95,P95,Q95,R95,S95,U95,V95,W95,Y95,Z95,AA95,AB95,AC95,AE95,AF95,AG95)*Valores!$C$54</f>
        <v>0</v>
      </c>
      <c r="AI95" s="15">
        <f t="shared" ca="1" si="18"/>
        <v>36409.070000000007</v>
      </c>
      <c r="AJ95" s="78">
        <f>Valores!$C$35</f>
        <v>182.07</v>
      </c>
      <c r="AK95" s="79">
        <f>Valores!$C$8</f>
        <v>204.1</v>
      </c>
      <c r="AL95" s="89">
        <v>0</v>
      </c>
      <c r="AM95" s="79">
        <f ca="1">IF($G$4="SI",SUM(AK95+AL95),AK95)*Valores!$C$54</f>
        <v>0</v>
      </c>
      <c r="AN95" s="12">
        <f t="shared" ca="1" si="19"/>
        <v>386.16999999999996</v>
      </c>
      <c r="AO95" s="153">
        <f ca="1">AI95*-Valores!$C$56</f>
        <v>-4733.1791000000012</v>
      </c>
      <c r="AP95" s="153">
        <f ca="1">AI95*-Valores!$C$57</f>
        <v>-182.04535000000004</v>
      </c>
      <c r="AQ95" s="78">
        <f ca="1">AI95*-Valores!$C$58</f>
        <v>-1638.4081500000002</v>
      </c>
      <c r="AR95" s="78">
        <f ca="1">AI95*-Valores!$C$59</f>
        <v>-983.04489000000035</v>
      </c>
      <c r="AS95" s="78">
        <f ca="1">AI95*-Valores!$C$60</f>
        <v>-109.22721000000003</v>
      </c>
      <c r="AT95" s="15">
        <f t="shared" ca="1" si="16"/>
        <v>30241.607400000001</v>
      </c>
      <c r="AU95" s="15">
        <f t="shared" ca="1" si="17"/>
        <v>30787.743450000005</v>
      </c>
      <c r="AV95" s="78">
        <f ca="1">AI95*Valores!$C$61</f>
        <v>5825.4512000000013</v>
      </c>
      <c r="AW95" s="78">
        <f ca="1">AI95*Valores!$C$62</f>
        <v>1638.4081500000002</v>
      </c>
      <c r="AX95" s="78">
        <f ca="1">AI95*Valores!$C$64</f>
        <v>364.09070000000008</v>
      </c>
      <c r="AY95" s="78">
        <f ca="1">AI95*Valores!$C$65</f>
        <v>1274.3174500000005</v>
      </c>
      <c r="AZ95" s="78">
        <f ca="1">AI95*Valores!$C$66</f>
        <v>218.45442000000006</v>
      </c>
      <c r="BA95" s="78">
        <f t="shared" ca="1" si="20"/>
        <v>1966.0897800000007</v>
      </c>
      <c r="BB95" s="20"/>
      <c r="BC95" s="20">
        <v>25</v>
      </c>
      <c r="BD95" s="9" t="s">
        <v>467</v>
      </c>
    </row>
    <row r="96" spans="1:56" s="9" customFormat="1" ht="11.25" customHeight="1" x14ac:dyDescent="0.15">
      <c r="A96" s="55">
        <v>95</v>
      </c>
      <c r="B96" s="55" t="s">
        <v>462</v>
      </c>
      <c r="C96" s="52" t="s">
        <v>168</v>
      </c>
      <c r="D96" s="52"/>
      <c r="E96" s="53" t="s">
        <v>169</v>
      </c>
      <c r="F96" s="124">
        <v>89</v>
      </c>
      <c r="G96" s="129">
        <f ca="1">INT((F96*Valores!$C$2*100)+0.5)/100</f>
        <v>456.99</v>
      </c>
      <c r="H96" s="114">
        <v>2481</v>
      </c>
      <c r="I96" s="80">
        <f ca="1">INT((H96*Valores!$C$2*100)+0.5)/100</f>
        <v>12739.19</v>
      </c>
      <c r="J96" s="148">
        <v>0</v>
      </c>
      <c r="K96" s="80">
        <f ca="1">INT((J96*Valores!$C$2*100)+0.5)/100</f>
        <v>0</v>
      </c>
      <c r="L96" s="121">
        <v>0</v>
      </c>
      <c r="M96" s="80">
        <f ca="1">INT((L96*Valores!$C$2*100)+0.5)/100</f>
        <v>0</v>
      </c>
      <c r="N96" s="80">
        <f t="shared" ca="1" si="13"/>
        <v>0</v>
      </c>
      <c r="O96" s="80">
        <f t="shared" ca="1" si="14"/>
        <v>13955.31</v>
      </c>
      <c r="P96" s="81">
        <f>Valores!$C$15</f>
        <v>3144.64</v>
      </c>
      <c r="Q96" s="81">
        <f ca="1">Valores!$D$4</f>
        <v>2296.75</v>
      </c>
      <c r="R96" s="80">
        <v>0</v>
      </c>
      <c r="S96" s="82">
        <f>Valores!$C$42</f>
        <v>759.13</v>
      </c>
      <c r="T96" s="80">
        <f>Valores!$C$23</f>
        <v>2221.56</v>
      </c>
      <c r="U96" s="80">
        <f t="shared" ca="1" si="12"/>
        <v>4443.12</v>
      </c>
      <c r="V96" s="80">
        <v>0</v>
      </c>
      <c r="W96" s="80">
        <v>0</v>
      </c>
      <c r="X96" s="115">
        <v>0</v>
      </c>
      <c r="Y96" s="80">
        <f ca="1">X96*Valores!$C$2</f>
        <v>0</v>
      </c>
      <c r="Z96" s="80">
        <v>0</v>
      </c>
      <c r="AA96" s="90">
        <f>Valores!$C$29</f>
        <v>131.68</v>
      </c>
      <c r="AB96" s="80">
        <f t="shared" ca="1" si="15"/>
        <v>0</v>
      </c>
      <c r="AC96" s="80">
        <f>Valores!$C$30</f>
        <v>131.68</v>
      </c>
      <c r="AD96" s="115">
        <v>0</v>
      </c>
      <c r="AE96" s="80">
        <f ca="1">INT(((AD96*Valores!$C$2)*100)+0.5)/100</f>
        <v>0</v>
      </c>
      <c r="AF96" s="80">
        <f>Valores!$C$51</f>
        <v>267.87</v>
      </c>
      <c r="AG96" s="80">
        <f>Valores!$C$52</f>
        <v>76.540000000000006</v>
      </c>
      <c r="AH96" s="80">
        <f ca="1">SUM(G96,I96,K96,M96,N96,O96,P96,Q96,R96,S96,U96,V96,W96,Y96,Z96,AA96,AB96,AC96,AE96,AF96,AG96)*Valores!$C$54</f>
        <v>0</v>
      </c>
      <c r="AI96" s="54">
        <f t="shared" ca="1" si="18"/>
        <v>38402.9</v>
      </c>
      <c r="AJ96" s="81">
        <f>Valores!$C$35</f>
        <v>182.07</v>
      </c>
      <c r="AK96" s="82">
        <f>Valores!$C$8</f>
        <v>204.1</v>
      </c>
      <c r="AL96" s="90">
        <v>0</v>
      </c>
      <c r="AM96" s="82">
        <f ca="1">IF($G$4="SI",SUM(AK96+AL96),AK96)*Valores!$C$54</f>
        <v>0</v>
      </c>
      <c r="AN96" s="186">
        <f t="shared" ca="1" si="19"/>
        <v>386.16999999999996</v>
      </c>
      <c r="AO96" s="154">
        <f ca="1">AI96*-Valores!$C$56</f>
        <v>-4992.3770000000004</v>
      </c>
      <c r="AP96" s="154">
        <f ca="1">AI96*-Valores!$C$57</f>
        <v>-192.0145</v>
      </c>
      <c r="AQ96" s="81">
        <f ca="1">AI96*-Valores!$C$58</f>
        <v>-1728.1305</v>
      </c>
      <c r="AR96" s="81">
        <f ca="1">AI96*-Valores!$C$59</f>
        <v>-1036.8783000000001</v>
      </c>
      <c r="AS96" s="81">
        <f ca="1">AI96*-Valores!$C$60</f>
        <v>-115.20870000000001</v>
      </c>
      <c r="AT96" s="54">
        <f t="shared" ca="1" si="16"/>
        <v>31876.548000000003</v>
      </c>
      <c r="AU96" s="54">
        <f t="shared" ca="1" si="17"/>
        <v>32452.591500000006</v>
      </c>
      <c r="AV96" s="81">
        <f ca="1">AI96*Valores!$C$61</f>
        <v>6144.4639999999999</v>
      </c>
      <c r="AW96" s="81">
        <f ca="1">AI96*Valores!$C$62</f>
        <v>1728.1305</v>
      </c>
      <c r="AX96" s="81">
        <f ca="1">AI96*Valores!$C$64</f>
        <v>384.029</v>
      </c>
      <c r="AY96" s="81">
        <f ca="1">AI96*Valores!$C$65</f>
        <v>1344.1015000000002</v>
      </c>
      <c r="AZ96" s="81">
        <f ca="1">AI96*Valores!$C$66</f>
        <v>230.41740000000001</v>
      </c>
      <c r="BA96" s="81">
        <f t="shared" ca="1" si="20"/>
        <v>2073.7566000000002</v>
      </c>
      <c r="BB96" s="55"/>
      <c r="BC96" s="55">
        <v>25</v>
      </c>
      <c r="BD96" s="52" t="s">
        <v>466</v>
      </c>
    </row>
    <row r="97" spans="1:56" s="9" customFormat="1" ht="11.25" customHeight="1" x14ac:dyDescent="0.15">
      <c r="A97" s="20">
        <v>96</v>
      </c>
      <c r="B97" s="20"/>
      <c r="C97" s="9" t="s">
        <v>170</v>
      </c>
      <c r="E97" s="10" t="s">
        <v>171</v>
      </c>
      <c r="F97" s="123">
        <v>89</v>
      </c>
      <c r="G97" s="7">
        <f ca="1">INT((F97*Valores!$C$2*100)+0.5)/100</f>
        <v>456.99</v>
      </c>
      <c r="H97" s="113">
        <v>2381</v>
      </c>
      <c r="I97" s="77">
        <f ca="1">INT((H97*Valores!$C$2*100)+0.5)/100</f>
        <v>12225.72</v>
      </c>
      <c r="J97" s="147">
        <v>0</v>
      </c>
      <c r="K97" s="77">
        <f ca="1">INT((J97*Valores!$C$2*100)+0.5)/100</f>
        <v>0</v>
      </c>
      <c r="L97" s="120">
        <v>0</v>
      </c>
      <c r="M97" s="77">
        <f ca="1">INT((L97*Valores!$C$2*100)+0.5)/100</f>
        <v>0</v>
      </c>
      <c r="N97" s="77">
        <f t="shared" ca="1" si="13"/>
        <v>0</v>
      </c>
      <c r="O97" s="77">
        <f t="shared" ca="1" si="14"/>
        <v>13441.839999999998</v>
      </c>
      <c r="P97" s="78">
        <f>Valores!$C$20</f>
        <v>2991.57</v>
      </c>
      <c r="Q97" s="78">
        <f ca="1">Valores!$D$4</f>
        <v>2296.75</v>
      </c>
      <c r="R97" s="77">
        <f>Valores!$C$26</f>
        <v>2298.92</v>
      </c>
      <c r="S97" s="79">
        <f>Valores!$C$42</f>
        <v>759.13</v>
      </c>
      <c r="T97" s="77">
        <f>Valores!$C$23</f>
        <v>2221.56</v>
      </c>
      <c r="U97" s="77">
        <f t="shared" ca="1" si="12"/>
        <v>4443.12</v>
      </c>
      <c r="V97" s="77">
        <v>0</v>
      </c>
      <c r="W97" s="77">
        <v>0</v>
      </c>
      <c r="X97" s="116">
        <v>0</v>
      </c>
      <c r="Y97" s="77">
        <f ca="1">X97*Valores!$C$2</f>
        <v>0</v>
      </c>
      <c r="Z97" s="77">
        <v>0</v>
      </c>
      <c r="AA97" s="89">
        <f>Valores!$C$29</f>
        <v>131.68</v>
      </c>
      <c r="AB97" s="77">
        <f t="shared" ca="1" si="15"/>
        <v>0</v>
      </c>
      <c r="AC97" s="77">
        <f>Valores!$C$30</f>
        <v>131.68</v>
      </c>
      <c r="AD97" s="116">
        <v>0</v>
      </c>
      <c r="AE97" s="77">
        <f ca="1">INT(((AD97*Valores!$C$2)*100)+0.5)/100</f>
        <v>0</v>
      </c>
      <c r="AF97" s="77">
        <f>Valores!$C$51</f>
        <v>267.87</v>
      </c>
      <c r="AG97" s="77">
        <f>Valores!$C$52</f>
        <v>76.540000000000006</v>
      </c>
      <c r="AH97" s="77">
        <f ca="1">SUM(G97,I97,K97,M97,N97,O97,P97,Q97,R97,S97,U97,V97,W97,Y97,Z97,AA97,AB97,AC97,AE97,AF97,AG97)*Valores!$C$54</f>
        <v>0</v>
      </c>
      <c r="AI97" s="15">
        <f t="shared" ca="1" si="18"/>
        <v>39521.81</v>
      </c>
      <c r="AJ97" s="78">
        <f>Valores!$C$35</f>
        <v>182.07</v>
      </c>
      <c r="AK97" s="79">
        <f>Valores!$C$8</f>
        <v>204.1</v>
      </c>
      <c r="AL97" s="89">
        <v>0</v>
      </c>
      <c r="AM97" s="79">
        <f ca="1">IF($G$4="SI",SUM(AK97+AL97),AK97)*Valores!$C$54</f>
        <v>0</v>
      </c>
      <c r="AN97" s="12">
        <f t="shared" ca="1" si="19"/>
        <v>386.16999999999996</v>
      </c>
      <c r="AO97" s="153">
        <f ca="1">AI97*-Valores!$C$56</f>
        <v>-5137.8352999999997</v>
      </c>
      <c r="AP97" s="153">
        <f ca="1">AI97*-Valores!$C$57</f>
        <v>-197.60905</v>
      </c>
      <c r="AQ97" s="78">
        <f ca="1">AI97*-Valores!$C$58</f>
        <v>-1778.4814499999998</v>
      </c>
      <c r="AR97" s="78">
        <f ca="1">AI97*-Valores!$C$59</f>
        <v>-1067.08887</v>
      </c>
      <c r="AS97" s="78">
        <f ca="1">AI97*-Valores!$C$60</f>
        <v>-118.56542999999999</v>
      </c>
      <c r="AT97" s="15">
        <f t="shared" ca="1" si="16"/>
        <v>32794.054199999999</v>
      </c>
      <c r="AU97" s="15">
        <f t="shared" ca="1" si="17"/>
        <v>33386.881349999996</v>
      </c>
      <c r="AV97" s="78">
        <f ca="1">AI97*Valores!$C$61</f>
        <v>6323.4895999999999</v>
      </c>
      <c r="AW97" s="78">
        <f ca="1">AI97*Valores!$C$62</f>
        <v>1778.4814499999998</v>
      </c>
      <c r="AX97" s="78">
        <f ca="1">AI97*Valores!$C$64</f>
        <v>395.21809999999999</v>
      </c>
      <c r="AY97" s="78">
        <f ca="1">AI97*Valores!$C$65</f>
        <v>1383.2633499999999</v>
      </c>
      <c r="AZ97" s="78">
        <f ca="1">AI97*Valores!$C$66</f>
        <v>237.13085999999998</v>
      </c>
      <c r="BA97" s="78">
        <f t="shared" ca="1" si="20"/>
        <v>2134.1777400000001</v>
      </c>
      <c r="BB97" s="20"/>
      <c r="BC97" s="20">
        <v>25</v>
      </c>
      <c r="BD97" s="9" t="s">
        <v>467</v>
      </c>
    </row>
    <row r="98" spans="1:56" s="9" customFormat="1" ht="11.25" customHeight="1" x14ac:dyDescent="0.15">
      <c r="A98" s="20">
        <v>97</v>
      </c>
      <c r="B98" s="20"/>
      <c r="C98" s="9" t="s">
        <v>172</v>
      </c>
      <c r="E98" s="10" t="s">
        <v>173</v>
      </c>
      <c r="F98" s="123">
        <v>89</v>
      </c>
      <c r="G98" s="7">
        <f ca="1">INT((F98*Valores!$C$2*100)+0.5)/100</f>
        <v>456.99</v>
      </c>
      <c r="H98" s="113">
        <v>1768</v>
      </c>
      <c r="I98" s="77">
        <f ca="1">INT((H98*Valores!$C$2*100)+0.5)/100</f>
        <v>9078.15</v>
      </c>
      <c r="J98" s="147">
        <v>0</v>
      </c>
      <c r="K98" s="77">
        <f ca="1">INT((J98*Valores!$C$2*100)+0.5)/100</f>
        <v>0</v>
      </c>
      <c r="L98" s="120">
        <v>0</v>
      </c>
      <c r="M98" s="77">
        <f ca="1">INT((L98*Valores!$C$2*100)+0.5)/100</f>
        <v>0</v>
      </c>
      <c r="N98" s="77">
        <f t="shared" ca="1" si="13"/>
        <v>0</v>
      </c>
      <c r="O98" s="77">
        <f t="shared" ca="1" si="14"/>
        <v>10294.269999999999</v>
      </c>
      <c r="P98" s="78">
        <f>Valores!$C$20</f>
        <v>2991.57</v>
      </c>
      <c r="Q98" s="78">
        <f ca="1">Valores!$D$4</f>
        <v>2296.75</v>
      </c>
      <c r="R98" s="61">
        <f>Valores!$C$26</f>
        <v>2298.92</v>
      </c>
      <c r="S98" s="87">
        <f>Valores!$C$42</f>
        <v>759.13</v>
      </c>
      <c r="T98" s="77">
        <f>Valores!$C$23</f>
        <v>2221.56</v>
      </c>
      <c r="U98" s="77">
        <f t="shared" ca="1" si="12"/>
        <v>4443.12</v>
      </c>
      <c r="V98" s="77">
        <v>0</v>
      </c>
      <c r="W98" s="77">
        <v>0</v>
      </c>
      <c r="X98" s="116">
        <v>0</v>
      </c>
      <c r="Y98" s="77">
        <f ca="1">X98*Valores!$C$2</f>
        <v>0</v>
      </c>
      <c r="Z98" s="77">
        <v>0</v>
      </c>
      <c r="AA98" s="89">
        <f>Valores!$C$29</f>
        <v>131.68</v>
      </c>
      <c r="AB98" s="77">
        <f t="shared" ca="1" si="15"/>
        <v>0</v>
      </c>
      <c r="AC98" s="77">
        <f>Valores!$C$30</f>
        <v>131.68</v>
      </c>
      <c r="AD98" s="116">
        <v>0</v>
      </c>
      <c r="AE98" s="77">
        <f ca="1">INT(((AD98*Valores!$C$2)*100)+0.5)/100</f>
        <v>0</v>
      </c>
      <c r="AF98" s="77">
        <f>Valores!$C$51</f>
        <v>267.87</v>
      </c>
      <c r="AG98" s="77">
        <f>Valores!$C$52</f>
        <v>76.540000000000006</v>
      </c>
      <c r="AH98" s="77">
        <f ca="1">SUM(G98,I98,K98,M98,N98,O98,P98,Q98,R98,S98,U98,V98,W98,Y98,Z98,AA98,AB98,AC98,AE98,AF98,AG98)*Valores!$C$54</f>
        <v>0</v>
      </c>
      <c r="AI98" s="15">
        <f t="shared" ca="1" si="18"/>
        <v>33226.67</v>
      </c>
      <c r="AJ98" s="78">
        <f>Valores!$C$35</f>
        <v>182.07</v>
      </c>
      <c r="AK98" s="79">
        <f>Valores!$C$8</f>
        <v>204.1</v>
      </c>
      <c r="AL98" s="89">
        <v>0</v>
      </c>
      <c r="AM98" s="79">
        <f ca="1">IF($G$4="SI",SUM(AK98+AL98),AK98)*Valores!$C$54</f>
        <v>0</v>
      </c>
      <c r="AN98" s="12">
        <f t="shared" ca="1" si="19"/>
        <v>386.16999999999996</v>
      </c>
      <c r="AO98" s="153">
        <f ca="1">AI98*-Valores!$C$56</f>
        <v>-4319.4670999999998</v>
      </c>
      <c r="AP98" s="153">
        <f ca="1">AI98*-Valores!$C$57</f>
        <v>-166.13335000000001</v>
      </c>
      <c r="AQ98" s="78">
        <f ca="1">AI98*-Valores!$C$58</f>
        <v>-1495.2001499999999</v>
      </c>
      <c r="AR98" s="78">
        <f ca="1">AI98*-Valores!$C$59</f>
        <v>-897.12009</v>
      </c>
      <c r="AS98" s="78">
        <f ca="1">AI98*-Valores!$C$60</f>
        <v>-99.680009999999996</v>
      </c>
      <c r="AT98" s="15">
        <f t="shared" ca="1" si="16"/>
        <v>27632.039400000001</v>
      </c>
      <c r="AU98" s="15">
        <f t="shared" ca="1" si="17"/>
        <v>28130.439450000002</v>
      </c>
      <c r="AV98" s="78">
        <f ca="1">AI98*Valores!$C$61</f>
        <v>5316.2672000000002</v>
      </c>
      <c r="AW98" s="78">
        <f ca="1">AI98*Valores!$C$62</f>
        <v>1495.2001499999999</v>
      </c>
      <c r="AX98" s="78">
        <f ca="1">AI98*Valores!$C$64</f>
        <v>332.26670000000001</v>
      </c>
      <c r="AY98" s="78">
        <f ca="1">AI98*Valores!$C$65</f>
        <v>1162.93345</v>
      </c>
      <c r="AZ98" s="78">
        <f ca="1">AI98*Valores!$C$66</f>
        <v>199.36001999999999</v>
      </c>
      <c r="BA98" s="78">
        <f t="shared" ca="1" si="20"/>
        <v>1794.24018</v>
      </c>
      <c r="BB98" s="20"/>
      <c r="BC98" s="20">
        <v>25</v>
      </c>
      <c r="BD98" s="9" t="s">
        <v>467</v>
      </c>
    </row>
    <row r="99" spans="1:56" s="9" customFormat="1" ht="11.25" customHeight="1" x14ac:dyDescent="0.15">
      <c r="A99" s="20">
        <v>98</v>
      </c>
      <c r="B99" s="20"/>
      <c r="C99" s="9" t="s">
        <v>174</v>
      </c>
      <c r="E99" s="10" t="s">
        <v>175</v>
      </c>
      <c r="F99" s="123">
        <v>89</v>
      </c>
      <c r="G99" s="7">
        <f ca="1">INT((F99*Valores!$C$2*100)+0.5)/100</f>
        <v>456.99</v>
      </c>
      <c r="H99" s="113">
        <v>1768</v>
      </c>
      <c r="I99" s="77">
        <f ca="1">INT((H99*Valores!$C$2*100)+0.5)/100</f>
        <v>9078.15</v>
      </c>
      <c r="J99" s="147">
        <v>0</v>
      </c>
      <c r="K99" s="77">
        <f ca="1">INT((J99*Valores!$C$2*100)+0.5)/100</f>
        <v>0</v>
      </c>
      <c r="L99" s="120">
        <v>0</v>
      </c>
      <c r="M99" s="77">
        <f ca="1">INT((L99*Valores!$C$2*100)+0.5)/100</f>
        <v>0</v>
      </c>
      <c r="N99" s="77">
        <f t="shared" ca="1" si="13"/>
        <v>0</v>
      </c>
      <c r="O99" s="77">
        <f t="shared" ca="1" si="14"/>
        <v>10294.269999999999</v>
      </c>
      <c r="P99" s="78">
        <f>Valores!$C$15</f>
        <v>3144.64</v>
      </c>
      <c r="Q99" s="78">
        <f ca="1">Valores!$D$4</f>
        <v>2296.75</v>
      </c>
      <c r="R99" s="61">
        <f>Valores!$C$26</f>
        <v>2298.92</v>
      </c>
      <c r="S99" s="87">
        <f>Valores!$C$42</f>
        <v>759.13</v>
      </c>
      <c r="T99" s="77">
        <f>Valores!$C$23</f>
        <v>2221.56</v>
      </c>
      <c r="U99" s="77">
        <f t="shared" ca="1" si="12"/>
        <v>4443.12</v>
      </c>
      <c r="V99" s="77">
        <v>0</v>
      </c>
      <c r="W99" s="77">
        <v>0</v>
      </c>
      <c r="X99" s="116">
        <v>0</v>
      </c>
      <c r="Y99" s="77">
        <f ca="1">X99*Valores!$C$2</f>
        <v>0</v>
      </c>
      <c r="Z99" s="77">
        <v>0</v>
      </c>
      <c r="AA99" s="89">
        <f>Valores!$C$29</f>
        <v>131.68</v>
      </c>
      <c r="AB99" s="77">
        <f t="shared" ca="1" si="15"/>
        <v>0</v>
      </c>
      <c r="AC99" s="77">
        <f>Valores!$C$30</f>
        <v>131.68</v>
      </c>
      <c r="AD99" s="116">
        <v>0</v>
      </c>
      <c r="AE99" s="77">
        <f ca="1">INT(((AD99*Valores!$C$2)*100)+0.5)/100</f>
        <v>0</v>
      </c>
      <c r="AF99" s="77">
        <f>Valores!$C$51</f>
        <v>267.87</v>
      </c>
      <c r="AG99" s="77">
        <f>Valores!$C$52</f>
        <v>76.540000000000006</v>
      </c>
      <c r="AH99" s="77">
        <f ca="1">SUM(G99,I99,K99,M99,N99,O99,P99,Q99,R99,S99,U99,V99,W99,Y99,Z99,AA99,AB99,AC99,AE99,AF99,AG99)*Valores!$C$54</f>
        <v>0</v>
      </c>
      <c r="AI99" s="15">
        <f t="shared" ca="1" si="18"/>
        <v>33379.74</v>
      </c>
      <c r="AJ99" s="78">
        <f>Valores!$C$35</f>
        <v>182.07</v>
      </c>
      <c r="AK99" s="79">
        <f>Valores!$C$8</f>
        <v>204.1</v>
      </c>
      <c r="AL99" s="89">
        <v>112.25</v>
      </c>
      <c r="AM99" s="79">
        <f ca="1">IF($G$4="SI",SUM(AK99+AL99),AK99)*Valores!$C$54</f>
        <v>0</v>
      </c>
      <c r="AN99" s="12">
        <f t="shared" ca="1" si="19"/>
        <v>498.41999999999996</v>
      </c>
      <c r="AO99" s="153">
        <f ca="1">AI99*-Valores!$C$56</f>
        <v>-4339.3661999999995</v>
      </c>
      <c r="AP99" s="153">
        <f ca="1">AI99*-Valores!$C$57</f>
        <v>-166.89869999999999</v>
      </c>
      <c r="AQ99" s="78">
        <f ca="1">AI99*-Valores!$C$58</f>
        <v>-1502.0882999999999</v>
      </c>
      <c r="AR99" s="78">
        <f ca="1">AI99*-Valores!$C$59</f>
        <v>-901.25298000000009</v>
      </c>
      <c r="AS99" s="78">
        <f ca="1">AI99*-Valores!$C$60</f>
        <v>-100.13921999999999</v>
      </c>
      <c r="AT99" s="15">
        <f t="shared" ca="1" si="16"/>
        <v>27869.806799999998</v>
      </c>
      <c r="AU99" s="15">
        <f t="shared" ca="1" si="17"/>
        <v>28370.502899999999</v>
      </c>
      <c r="AV99" s="78">
        <f ca="1">AI99*Valores!$C$61</f>
        <v>5340.7583999999997</v>
      </c>
      <c r="AW99" s="78">
        <f ca="1">AI99*Valores!$C$62</f>
        <v>1502.0882999999999</v>
      </c>
      <c r="AX99" s="78">
        <f ca="1">AI99*Valores!$C$64</f>
        <v>333.79739999999998</v>
      </c>
      <c r="AY99" s="78">
        <f ca="1">AI99*Valores!$C$65</f>
        <v>1168.2909</v>
      </c>
      <c r="AZ99" s="78">
        <f ca="1">AI99*Valores!$C$66</f>
        <v>200.27843999999999</v>
      </c>
      <c r="BA99" s="78">
        <f t="shared" ca="1" si="20"/>
        <v>1802.50596</v>
      </c>
      <c r="BB99" s="20"/>
      <c r="BC99" s="55"/>
      <c r="BD99" s="9" t="s">
        <v>467</v>
      </c>
    </row>
    <row r="100" spans="1:56" s="9" customFormat="1" ht="11.25" customHeight="1" x14ac:dyDescent="0.15">
      <c r="A100" s="20">
        <v>99</v>
      </c>
      <c r="B100" s="20"/>
      <c r="C100" s="9" t="s">
        <v>176</v>
      </c>
      <c r="E100" s="10" t="s">
        <v>177</v>
      </c>
      <c r="F100" s="123">
        <v>89</v>
      </c>
      <c r="G100" s="7">
        <f ca="1">INT((F100*Valores!$C$2*100)+0.5)/100</f>
        <v>456.99</v>
      </c>
      <c r="H100" s="113">
        <v>2211</v>
      </c>
      <c r="I100" s="77">
        <f ca="1">INT((H100*Valores!$C$2*100)+0.5)/100</f>
        <v>11352.82</v>
      </c>
      <c r="J100" s="147">
        <v>0</v>
      </c>
      <c r="K100" s="77">
        <f ca="1">INT((J100*Valores!$C$2*100)+0.5)/100</f>
        <v>0</v>
      </c>
      <c r="L100" s="120">
        <v>0</v>
      </c>
      <c r="M100" s="77">
        <f ca="1">INT((L100*Valores!$C$2*100)+0.5)/100</f>
        <v>0</v>
      </c>
      <c r="N100" s="77">
        <f t="shared" ca="1" si="13"/>
        <v>0</v>
      </c>
      <c r="O100" s="77">
        <f t="shared" ca="1" si="14"/>
        <v>12568.939999999999</v>
      </c>
      <c r="P100" s="78">
        <f>Valores!$C$15</f>
        <v>3144.64</v>
      </c>
      <c r="Q100" s="78">
        <f ca="1">Valores!$D$4</f>
        <v>2296.75</v>
      </c>
      <c r="R100" s="61">
        <f>Valores!$C$26</f>
        <v>2298.92</v>
      </c>
      <c r="S100" s="87">
        <f>Valores!$C$42</f>
        <v>759.13</v>
      </c>
      <c r="T100" s="77">
        <f>Valores!$C$23</f>
        <v>2221.56</v>
      </c>
      <c r="U100" s="77">
        <f t="shared" ca="1" si="12"/>
        <v>4443.12</v>
      </c>
      <c r="V100" s="77">
        <v>0</v>
      </c>
      <c r="W100" s="77">
        <v>0</v>
      </c>
      <c r="X100" s="116">
        <v>0</v>
      </c>
      <c r="Y100" s="77">
        <f ca="1">X100*Valores!$C$2</f>
        <v>0</v>
      </c>
      <c r="Z100" s="77">
        <v>0</v>
      </c>
      <c r="AA100" s="89">
        <f>Valores!$C$29</f>
        <v>131.68</v>
      </c>
      <c r="AB100" s="77">
        <f t="shared" ca="1" si="15"/>
        <v>0</v>
      </c>
      <c r="AC100" s="77">
        <f>Valores!$C$30</f>
        <v>131.68</v>
      </c>
      <c r="AD100" s="116">
        <v>0</v>
      </c>
      <c r="AE100" s="77">
        <f ca="1">INT(((AD100*Valores!$C$2)*100)+0.5)/100</f>
        <v>0</v>
      </c>
      <c r="AF100" s="77">
        <f>Valores!$C$51</f>
        <v>267.87</v>
      </c>
      <c r="AG100" s="77">
        <f>Valores!$C$52</f>
        <v>76.540000000000006</v>
      </c>
      <c r="AH100" s="77">
        <f ca="1">SUM(G100,I100,K100,M100,N100,O100,P100,Q100,R100,S100,U100,V100,W100,Y100,Z100,AA100,AB100,AC100,AE100,AF100,AG100)*Valores!$C$54</f>
        <v>0</v>
      </c>
      <c r="AI100" s="15">
        <f t="shared" ca="1" si="18"/>
        <v>37929.08</v>
      </c>
      <c r="AJ100" s="78">
        <f>Valores!$C$35</f>
        <v>182.07</v>
      </c>
      <c r="AK100" s="79">
        <f>Valores!$C$8</f>
        <v>204.1</v>
      </c>
      <c r="AL100" s="89">
        <v>0</v>
      </c>
      <c r="AM100" s="79">
        <f ca="1">IF($G$4="SI",SUM(AK100+AL100),AK100)*Valores!$C$54</f>
        <v>0</v>
      </c>
      <c r="AN100" s="12">
        <f t="shared" ca="1" si="19"/>
        <v>386.16999999999996</v>
      </c>
      <c r="AO100" s="153">
        <f ca="1">AI100*-Valores!$C$56</f>
        <v>-4930.7804000000006</v>
      </c>
      <c r="AP100" s="153">
        <f ca="1">AI100*-Valores!$C$57</f>
        <v>-189.64540000000002</v>
      </c>
      <c r="AQ100" s="78">
        <f ca="1">AI100*-Valores!$C$58</f>
        <v>-1706.8086000000001</v>
      </c>
      <c r="AR100" s="78">
        <f ca="1">AI100*-Valores!$C$59</f>
        <v>-1024.0851600000001</v>
      </c>
      <c r="AS100" s="78">
        <f ca="1">AI100*-Valores!$C$60</f>
        <v>-113.78724000000001</v>
      </c>
      <c r="AT100" s="15">
        <f t="shared" ca="1" si="16"/>
        <v>31488.015600000002</v>
      </c>
      <c r="AU100" s="15">
        <f t="shared" ca="1" si="17"/>
        <v>32056.951799999995</v>
      </c>
      <c r="AV100" s="78">
        <f ca="1">AI100*Valores!$C$61</f>
        <v>6068.6528000000008</v>
      </c>
      <c r="AW100" s="78">
        <f ca="1">AI100*Valores!$C$62</f>
        <v>1706.8086000000001</v>
      </c>
      <c r="AX100" s="78">
        <f ca="1">AI100*Valores!$C$64</f>
        <v>379.29080000000005</v>
      </c>
      <c r="AY100" s="78">
        <f ca="1">AI100*Valores!$C$65</f>
        <v>1327.5178000000001</v>
      </c>
      <c r="AZ100" s="78">
        <f ca="1">AI100*Valores!$C$66</f>
        <v>227.57448000000002</v>
      </c>
      <c r="BA100" s="78">
        <f t="shared" ca="1" si="20"/>
        <v>2048.1703200000002</v>
      </c>
      <c r="BB100" s="20"/>
      <c r="BC100" s="20"/>
      <c r="BD100" s="9" t="s">
        <v>467</v>
      </c>
    </row>
    <row r="101" spans="1:56" s="9" customFormat="1" ht="11.25" customHeight="1" x14ac:dyDescent="0.15">
      <c r="A101" s="55">
        <v>100</v>
      </c>
      <c r="B101" s="55" t="s">
        <v>462</v>
      </c>
      <c r="C101" s="52" t="s">
        <v>178</v>
      </c>
      <c r="D101" s="52"/>
      <c r="E101" s="53" t="s">
        <v>179</v>
      </c>
      <c r="F101" s="124">
        <v>89</v>
      </c>
      <c r="G101" s="129">
        <f ca="1">INT((F101*Valores!$C$2*100)+0.5)/100</f>
        <v>456.99</v>
      </c>
      <c r="H101" s="114">
        <v>1956</v>
      </c>
      <c r="I101" s="80">
        <f ca="1">INT((H101*Valores!$C$2*100)+0.5)/100</f>
        <v>10043.469999999999</v>
      </c>
      <c r="J101" s="148">
        <v>0</v>
      </c>
      <c r="K101" s="80">
        <f ca="1">INT((J101*Valores!$C$2*100)+0.5)/100</f>
        <v>0</v>
      </c>
      <c r="L101" s="121">
        <v>0</v>
      </c>
      <c r="M101" s="80">
        <f ca="1">INT((L101*Valores!$C$2*100)+0.5)/100</f>
        <v>0</v>
      </c>
      <c r="N101" s="80">
        <f t="shared" ca="1" si="13"/>
        <v>0</v>
      </c>
      <c r="O101" s="80">
        <f t="shared" ca="1" si="14"/>
        <v>11259.589999999998</v>
      </c>
      <c r="P101" s="81">
        <f>Valores!$C$20</f>
        <v>2991.57</v>
      </c>
      <c r="Q101" s="81">
        <f ca="1">Valores!$D$4</f>
        <v>2296.75</v>
      </c>
      <c r="R101" s="80">
        <v>0</v>
      </c>
      <c r="S101" s="82">
        <f>Valores!$C$42</f>
        <v>759.13</v>
      </c>
      <c r="T101" s="80">
        <f>Valores!$C$23</f>
        <v>2221.56</v>
      </c>
      <c r="U101" s="80">
        <f t="shared" ca="1" si="12"/>
        <v>4443.12</v>
      </c>
      <c r="V101" s="80">
        <v>0</v>
      </c>
      <c r="W101" s="80">
        <v>0</v>
      </c>
      <c r="X101" s="115">
        <v>0</v>
      </c>
      <c r="Y101" s="80">
        <f ca="1">X101*Valores!$C$2</f>
        <v>0</v>
      </c>
      <c r="Z101" s="80">
        <v>0</v>
      </c>
      <c r="AA101" s="90">
        <f>Valores!$C$29</f>
        <v>131.68</v>
      </c>
      <c r="AB101" s="80">
        <f t="shared" ca="1" si="15"/>
        <v>0</v>
      </c>
      <c r="AC101" s="80">
        <f>Valores!$C$30</f>
        <v>131.68</v>
      </c>
      <c r="AD101" s="115">
        <v>0</v>
      </c>
      <c r="AE101" s="80">
        <f ca="1">INT(((AD101*Valores!$C$2)*100)+0.5)/100</f>
        <v>0</v>
      </c>
      <c r="AF101" s="80">
        <f>Valores!$C$51</f>
        <v>267.87</v>
      </c>
      <c r="AG101" s="80">
        <f>Valores!$C$52</f>
        <v>76.540000000000006</v>
      </c>
      <c r="AH101" s="80">
        <f ca="1">SUM(G101,I101,K101,M101,N101,O101,P101,Q101,R101,S101,U101,V101,W101,Y101,Z101,AA101,AB101,AC101,AE101,AF101,AG101)*Valores!$C$54</f>
        <v>0</v>
      </c>
      <c r="AI101" s="54">
        <f t="shared" ca="1" si="18"/>
        <v>32858.39</v>
      </c>
      <c r="AJ101" s="81">
        <f>Valores!$C$35</f>
        <v>182.07</v>
      </c>
      <c r="AK101" s="82">
        <f>Valores!$C$8</f>
        <v>204.1</v>
      </c>
      <c r="AL101" s="90">
        <v>0</v>
      </c>
      <c r="AM101" s="82">
        <f ca="1">IF($G$4="SI",SUM(AK101+AL101),AK101)*Valores!$C$54</f>
        <v>0</v>
      </c>
      <c r="AN101" s="186">
        <f t="shared" ca="1" si="19"/>
        <v>386.16999999999996</v>
      </c>
      <c r="AO101" s="154">
        <f ca="1">AI101*-Valores!$C$56</f>
        <v>-4271.5906999999997</v>
      </c>
      <c r="AP101" s="154">
        <f ca="1">AI101*-Valores!$C$57</f>
        <v>-164.29195000000001</v>
      </c>
      <c r="AQ101" s="81">
        <f ca="1">AI101*-Valores!$C$58</f>
        <v>-1478.6275499999999</v>
      </c>
      <c r="AR101" s="81">
        <f ca="1">AI101*-Valores!$C$59</f>
        <v>-887.17653000000007</v>
      </c>
      <c r="AS101" s="81">
        <f ca="1">AI101*-Valores!$C$60</f>
        <v>-98.57517</v>
      </c>
      <c r="AT101" s="54">
        <f t="shared" ca="1" si="16"/>
        <v>27330.049799999997</v>
      </c>
      <c r="AU101" s="54">
        <f t="shared" ca="1" si="17"/>
        <v>27822.925649999997</v>
      </c>
      <c r="AV101" s="81">
        <f ca="1">AI101*Valores!$C$61</f>
        <v>5257.3424000000005</v>
      </c>
      <c r="AW101" s="81">
        <f ca="1">AI101*Valores!$C$62</f>
        <v>1478.6275499999999</v>
      </c>
      <c r="AX101" s="81">
        <f ca="1">AI101*Valores!$C$64</f>
        <v>328.58390000000003</v>
      </c>
      <c r="AY101" s="81">
        <f ca="1">AI101*Valores!$C$65</f>
        <v>1150.0436500000001</v>
      </c>
      <c r="AZ101" s="81">
        <f ca="1">AI101*Valores!$C$66</f>
        <v>197.15034</v>
      </c>
      <c r="BA101" s="81">
        <f t="shared" ca="1" si="20"/>
        <v>1774.3530600000001</v>
      </c>
      <c r="BB101" s="55"/>
      <c r="BC101" s="55"/>
      <c r="BD101" s="52" t="s">
        <v>466</v>
      </c>
    </row>
    <row r="102" spans="1:56" s="9" customFormat="1" ht="11.25" customHeight="1" x14ac:dyDescent="0.15">
      <c r="A102" s="20">
        <v>101</v>
      </c>
      <c r="B102" s="20"/>
      <c r="C102" s="9" t="s">
        <v>180</v>
      </c>
      <c r="E102" s="10" t="s">
        <v>181</v>
      </c>
      <c r="F102" s="123">
        <v>89</v>
      </c>
      <c r="G102" s="7">
        <f ca="1">INT((F102*Valores!$C$2*100)+0.5)/100</f>
        <v>456.99</v>
      </c>
      <c r="H102" s="113">
        <v>1267</v>
      </c>
      <c r="I102" s="77">
        <f ca="1">INT((H102*Valores!$C$2*100)+0.5)/100</f>
        <v>6505.66</v>
      </c>
      <c r="J102" s="147">
        <v>0</v>
      </c>
      <c r="K102" s="77">
        <f ca="1">INT((J102*Valores!$C$2*100)+0.5)/100</f>
        <v>0</v>
      </c>
      <c r="L102" s="120">
        <v>0</v>
      </c>
      <c r="M102" s="77">
        <f ca="1">INT((L102*Valores!$C$2*100)+0.5)/100</f>
        <v>0</v>
      </c>
      <c r="N102" s="77">
        <f t="shared" ca="1" si="13"/>
        <v>0</v>
      </c>
      <c r="O102" s="77">
        <f t="shared" ca="1" si="14"/>
        <v>7721.78</v>
      </c>
      <c r="P102" s="78">
        <f>Valores!$C$20</f>
        <v>2991.57</v>
      </c>
      <c r="Q102" s="78">
        <f ca="1">Valores!$D$4</f>
        <v>2296.75</v>
      </c>
      <c r="R102" s="77">
        <v>0</v>
      </c>
      <c r="S102" s="79">
        <f>Valores!$C$42</f>
        <v>759.13</v>
      </c>
      <c r="T102" s="77">
        <f>Valores!$C$23</f>
        <v>2221.56</v>
      </c>
      <c r="U102" s="77">
        <f t="shared" ca="1" si="12"/>
        <v>4443.12</v>
      </c>
      <c r="V102" s="77">
        <v>0</v>
      </c>
      <c r="W102" s="77">
        <v>0</v>
      </c>
      <c r="X102" s="116">
        <v>0</v>
      </c>
      <c r="Y102" s="77">
        <f ca="1">X102*Valores!$C$2</f>
        <v>0</v>
      </c>
      <c r="Z102" s="77">
        <v>0</v>
      </c>
      <c r="AA102" s="89">
        <f>Valores!$C$29</f>
        <v>131.68</v>
      </c>
      <c r="AB102" s="77">
        <f t="shared" ca="1" si="15"/>
        <v>0</v>
      </c>
      <c r="AC102" s="77">
        <f>Valores!$C$30</f>
        <v>131.68</v>
      </c>
      <c r="AD102" s="116">
        <v>0</v>
      </c>
      <c r="AE102" s="77">
        <f ca="1">INT(((AD102*Valores!$C$2)*100)+0.5)/100</f>
        <v>0</v>
      </c>
      <c r="AF102" s="77">
        <f>Valores!$C$51</f>
        <v>267.87</v>
      </c>
      <c r="AG102" s="77">
        <f>Valores!$C$52</f>
        <v>76.540000000000006</v>
      </c>
      <c r="AH102" s="77">
        <f ca="1">SUM(G102,I102,K102,M102,N102,O102,P102,Q102,R102,S102,U102,V102,W102,Y102,Z102,AA102,AB102,AC102,AE102,AF102,AG102)*Valores!$C$54</f>
        <v>0</v>
      </c>
      <c r="AI102" s="15">
        <f t="shared" ca="1" si="18"/>
        <v>25782.77</v>
      </c>
      <c r="AJ102" s="78">
        <f>Valores!$C$35</f>
        <v>182.07</v>
      </c>
      <c r="AK102" s="79">
        <f>Valores!$C$8</f>
        <v>204.1</v>
      </c>
      <c r="AL102" s="89">
        <v>0</v>
      </c>
      <c r="AM102" s="79">
        <f ca="1">IF($G$4="SI",SUM(AK102+AL102),AK102)*Valores!$C$54</f>
        <v>0</v>
      </c>
      <c r="AN102" s="12">
        <f t="shared" ca="1" si="19"/>
        <v>386.16999999999996</v>
      </c>
      <c r="AO102" s="153">
        <f ca="1">AI102*-Valores!$C$56</f>
        <v>-3351.7601</v>
      </c>
      <c r="AP102" s="153">
        <f ca="1">AI102*-Valores!$C$57</f>
        <v>-128.91385</v>
      </c>
      <c r="AQ102" s="78">
        <f ca="1">AI102*-Valores!$C$58</f>
        <v>-1160.2246499999999</v>
      </c>
      <c r="AR102" s="78">
        <f ca="1">AI102*-Valores!$C$59</f>
        <v>-696.13479000000007</v>
      </c>
      <c r="AS102" s="78">
        <f ca="1">AI102*-Valores!$C$60</f>
        <v>-77.348309999999998</v>
      </c>
      <c r="AT102" s="15">
        <f t="shared" ca="1" si="16"/>
        <v>21528.041399999998</v>
      </c>
      <c r="AU102" s="15">
        <f t="shared" ca="1" si="17"/>
        <v>21914.782949999997</v>
      </c>
      <c r="AV102" s="78">
        <f ca="1">AI102*Valores!$C$61</f>
        <v>4125.2431999999999</v>
      </c>
      <c r="AW102" s="78">
        <f ca="1">AI102*Valores!$C$62</f>
        <v>1160.2246499999999</v>
      </c>
      <c r="AX102" s="78">
        <f ca="1">AI102*Valores!$C$64</f>
        <v>257.82769999999999</v>
      </c>
      <c r="AY102" s="78">
        <f ca="1">AI102*Valores!$C$65</f>
        <v>902.39695000000006</v>
      </c>
      <c r="AZ102" s="78">
        <f ca="1">AI102*Valores!$C$66</f>
        <v>154.69662</v>
      </c>
      <c r="BA102" s="78">
        <f t="shared" ca="1" si="20"/>
        <v>1392.2695800000001</v>
      </c>
      <c r="BB102" s="20"/>
      <c r="BC102" s="20"/>
      <c r="BD102" s="9" t="s">
        <v>466</v>
      </c>
    </row>
    <row r="103" spans="1:56" s="9" customFormat="1" ht="11.25" customHeight="1" x14ac:dyDescent="0.15">
      <c r="A103" s="20">
        <v>102</v>
      </c>
      <c r="B103" s="20"/>
      <c r="C103" s="9" t="s">
        <v>182</v>
      </c>
      <c r="E103" s="10" t="s">
        <v>183</v>
      </c>
      <c r="F103" s="123">
        <v>67</v>
      </c>
      <c r="G103" s="7">
        <f ca="1">INT((F103*Valores!$C$2*100)+0.5)/100</f>
        <v>344.02</v>
      </c>
      <c r="H103" s="113">
        <v>2108</v>
      </c>
      <c r="I103" s="77">
        <f ca="1">INT((H103*Valores!$C$2*100)+0.5)/100</f>
        <v>10823.95</v>
      </c>
      <c r="J103" s="147">
        <v>0</v>
      </c>
      <c r="K103" s="77">
        <f ca="1">INT((J103*Valores!$C$2*100)+0.5)/100</f>
        <v>0</v>
      </c>
      <c r="L103" s="120">
        <v>0</v>
      </c>
      <c r="M103" s="77">
        <f ca="1">INT((L103*Valores!$C$2*100)+0.5)/100</f>
        <v>0</v>
      </c>
      <c r="N103" s="77">
        <f t="shared" ca="1" si="13"/>
        <v>0</v>
      </c>
      <c r="O103" s="77">
        <f t="shared" ca="1" si="14"/>
        <v>11737.310000000001</v>
      </c>
      <c r="P103" s="78">
        <f>Valores!$C$20</f>
        <v>2991.57</v>
      </c>
      <c r="Q103" s="78">
        <f ca="1">Valores!$D$4</f>
        <v>2296.75</v>
      </c>
      <c r="R103" s="77">
        <v>0</v>
      </c>
      <c r="S103" s="79">
        <f>Valores!$C$40</f>
        <v>569.34</v>
      </c>
      <c r="T103" s="61">
        <f>Valores!$C$24</f>
        <v>2190.94</v>
      </c>
      <c r="U103" s="77">
        <f t="shared" ca="1" si="12"/>
        <v>4381.88</v>
      </c>
      <c r="V103" s="77">
        <v>0</v>
      </c>
      <c r="W103" s="77">
        <v>0</v>
      </c>
      <c r="X103" s="116">
        <v>0</v>
      </c>
      <c r="Y103" s="77">
        <f ca="1">X103*Valores!$C$2</f>
        <v>0</v>
      </c>
      <c r="Z103" s="77">
        <v>0</v>
      </c>
      <c r="AA103" s="89">
        <f>Valores!$C$29</f>
        <v>131.68</v>
      </c>
      <c r="AB103" s="77">
        <f t="shared" ca="1" si="15"/>
        <v>0</v>
      </c>
      <c r="AC103" s="77">
        <f>Valores!$C$30</f>
        <v>131.68</v>
      </c>
      <c r="AD103" s="116">
        <v>0</v>
      </c>
      <c r="AE103" s="77">
        <f ca="1">INT(((AD103*Valores!$C$2)*100)+0.5)/100</f>
        <v>0</v>
      </c>
      <c r="AF103" s="77">
        <f>Valores!$C$51</f>
        <v>267.87</v>
      </c>
      <c r="AG103" s="77">
        <f>Valores!$C$52</f>
        <v>76.540000000000006</v>
      </c>
      <c r="AH103" s="77">
        <f ca="1">SUM(G103,I103,K103,M103,N103,O103,P103,Q103,R103,S103,U103,V103,W103,Y103,Z103,AA103,AB103,AC103,AE103,AF103,AG103)*Valores!$C$54</f>
        <v>0</v>
      </c>
      <c r="AI103" s="15">
        <f t="shared" ca="1" si="18"/>
        <v>33752.590000000004</v>
      </c>
      <c r="AJ103" s="78">
        <f>Valores!$C$35</f>
        <v>182.07</v>
      </c>
      <c r="AK103" s="79">
        <f>Valores!$C$6</f>
        <v>153.07</v>
      </c>
      <c r="AL103" s="89">
        <v>112.25</v>
      </c>
      <c r="AM103" s="79">
        <f ca="1">IF($G$4="SI",SUM(AK103+AL103),AK103)*Valores!$C$54</f>
        <v>0</v>
      </c>
      <c r="AN103" s="12">
        <f t="shared" ca="1" si="19"/>
        <v>447.39</v>
      </c>
      <c r="AO103" s="153">
        <f ca="1">AI103*-Valores!$C$56</f>
        <v>-4387.8367000000007</v>
      </c>
      <c r="AP103" s="153">
        <f ca="1">AI103*-Valores!$C$57</f>
        <v>-168.76295000000002</v>
      </c>
      <c r="AQ103" s="78">
        <f ca="1">AI103*-Valores!$C$58</f>
        <v>-1518.8665500000002</v>
      </c>
      <c r="AR103" s="78">
        <f ca="1">AI103*-Valores!$C$59</f>
        <v>-911.31993000000023</v>
      </c>
      <c r="AS103" s="78">
        <f ca="1">AI103*-Valores!$C$60</f>
        <v>-101.25777000000001</v>
      </c>
      <c r="AT103" s="15">
        <f t="shared" ca="1" si="16"/>
        <v>28124.513800000008</v>
      </c>
      <c r="AU103" s="15">
        <f t="shared" ca="1" si="17"/>
        <v>28630.802650000009</v>
      </c>
      <c r="AV103" s="78">
        <f ca="1">AI103*Valores!$C$61</f>
        <v>5400.4144000000006</v>
      </c>
      <c r="AW103" s="78">
        <f ca="1">AI103*Valores!$C$62</f>
        <v>1518.8665500000002</v>
      </c>
      <c r="AX103" s="78">
        <f ca="1">AI103*Valores!$C$64</f>
        <v>337.52590000000004</v>
      </c>
      <c r="AY103" s="78">
        <f ca="1">AI103*Valores!$C$65</f>
        <v>1181.3406500000003</v>
      </c>
      <c r="AZ103" s="78">
        <f ca="1">AI103*Valores!$C$66</f>
        <v>202.51554000000002</v>
      </c>
      <c r="BA103" s="78">
        <f t="shared" ca="1" si="20"/>
        <v>1822.6398600000002</v>
      </c>
      <c r="BB103" s="20"/>
      <c r="BC103" s="20">
        <v>30</v>
      </c>
      <c r="BD103" s="9" t="s">
        <v>467</v>
      </c>
    </row>
    <row r="104" spans="1:56" s="9" customFormat="1" ht="11.25" customHeight="1" x14ac:dyDescent="0.15">
      <c r="A104" s="20">
        <v>103</v>
      </c>
      <c r="B104" s="20"/>
      <c r="C104" s="9" t="s">
        <v>184</v>
      </c>
      <c r="E104" s="10" t="s">
        <v>185</v>
      </c>
      <c r="F104" s="123">
        <v>45</v>
      </c>
      <c r="G104" s="7">
        <f ca="1">INT((F104*Valores!$C$2*100)+0.5)/100</f>
        <v>231.06</v>
      </c>
      <c r="H104" s="113">
        <v>1502</v>
      </c>
      <c r="I104" s="77">
        <f ca="1">INT((H104*Valores!$C$2*100)+0.5)/100</f>
        <v>7712.32</v>
      </c>
      <c r="J104" s="147">
        <v>0</v>
      </c>
      <c r="K104" s="77">
        <f ca="1">INT((J104*Valores!$C$2*100)+0.5)/100</f>
        <v>0</v>
      </c>
      <c r="L104" s="120">
        <v>0</v>
      </c>
      <c r="M104" s="77">
        <f ca="1">INT((L104*Valores!$C$2*100)+0.5)/100</f>
        <v>0</v>
      </c>
      <c r="N104" s="77">
        <f t="shared" ca="1" si="13"/>
        <v>0</v>
      </c>
      <c r="O104" s="77">
        <f t="shared" ca="1" si="14"/>
        <v>8512.7199999999993</v>
      </c>
      <c r="P104" s="78">
        <f>Valores!$C$20</f>
        <v>2991.57</v>
      </c>
      <c r="Q104" s="78">
        <f ca="1">Valores!$D$4</f>
        <v>2296.75</v>
      </c>
      <c r="R104" s="77">
        <v>0</v>
      </c>
      <c r="S104" s="79">
        <f>Valores!$C$40</f>
        <v>569.34</v>
      </c>
      <c r="T104" s="61">
        <f>Valores!$C$24</f>
        <v>2190.94</v>
      </c>
      <c r="U104" s="77">
        <f t="shared" ca="1" si="12"/>
        <v>4381.88</v>
      </c>
      <c r="V104" s="77">
        <v>0</v>
      </c>
      <c r="W104" s="77">
        <v>0</v>
      </c>
      <c r="X104" s="116">
        <v>0</v>
      </c>
      <c r="Y104" s="77">
        <f ca="1">X104*Valores!$C$2</f>
        <v>0</v>
      </c>
      <c r="Z104" s="77">
        <v>0</v>
      </c>
      <c r="AA104" s="89">
        <f>Valores!$C$29</f>
        <v>131.68</v>
      </c>
      <c r="AB104" s="77">
        <f t="shared" ca="1" si="15"/>
        <v>0</v>
      </c>
      <c r="AC104" s="77">
        <f>Valores!$C$30</f>
        <v>131.68</v>
      </c>
      <c r="AD104" s="116">
        <v>0</v>
      </c>
      <c r="AE104" s="77">
        <f ca="1">INT(((AD104*Valores!$C$2)*100)+0.5)/100</f>
        <v>0</v>
      </c>
      <c r="AF104" s="77">
        <f>Valores!$C$51</f>
        <v>267.87</v>
      </c>
      <c r="AG104" s="77">
        <f>Valores!$C$52</f>
        <v>76.540000000000006</v>
      </c>
      <c r="AH104" s="77">
        <f ca="1">SUM(G104,I104,K104,M104,N104,O104,P104,Q104,R104,S104,U104,V104,W104,Y104,Z104,AA104,AB104,AC104,AE104,AF104,AG104)*Valores!$C$54</f>
        <v>0</v>
      </c>
      <c r="AI104" s="15">
        <f t="shared" ca="1" si="18"/>
        <v>27303.41</v>
      </c>
      <c r="AJ104" s="78">
        <f>Valores!$C$35</f>
        <v>182.07</v>
      </c>
      <c r="AK104" s="79">
        <f>Valores!$C$6</f>
        <v>153.07</v>
      </c>
      <c r="AL104" s="89">
        <v>112.25</v>
      </c>
      <c r="AM104" s="79">
        <f ca="1">IF($G$4="SI",SUM(AK104+AL104),AK104)*Valores!$C$54</f>
        <v>0</v>
      </c>
      <c r="AN104" s="12">
        <f t="shared" ca="1" si="19"/>
        <v>447.39</v>
      </c>
      <c r="AO104" s="153">
        <f ca="1">AI104*-Valores!$C$56</f>
        <v>-3549.4432999999999</v>
      </c>
      <c r="AP104" s="153">
        <f ca="1">AI104*-Valores!$C$57</f>
        <v>-136.51705000000001</v>
      </c>
      <c r="AQ104" s="78">
        <f ca="1">AI104*-Valores!$C$58</f>
        <v>-1228.65345</v>
      </c>
      <c r="AR104" s="78">
        <f ca="1">AI104*-Valores!$C$59</f>
        <v>-737.19207000000006</v>
      </c>
      <c r="AS104" s="78">
        <f ca="1">AI104*-Valores!$C$60</f>
        <v>-81.910229999999999</v>
      </c>
      <c r="AT104" s="15">
        <f t="shared" ca="1" si="16"/>
        <v>22836.1862</v>
      </c>
      <c r="AU104" s="15">
        <f t="shared" ca="1" si="17"/>
        <v>23245.737349999999</v>
      </c>
      <c r="AV104" s="78">
        <f ca="1">AI104*Valores!$C$61</f>
        <v>4368.5456000000004</v>
      </c>
      <c r="AW104" s="78">
        <f ca="1">AI104*Valores!$C$62</f>
        <v>1228.65345</v>
      </c>
      <c r="AX104" s="78">
        <f ca="1">AI104*Valores!$C$64</f>
        <v>273.03410000000002</v>
      </c>
      <c r="AY104" s="78">
        <f ca="1">AI104*Valores!$C$65</f>
        <v>955.61935000000005</v>
      </c>
      <c r="AZ104" s="78">
        <f ca="1">AI104*Valores!$C$66</f>
        <v>163.82046</v>
      </c>
      <c r="BA104" s="78">
        <f t="shared" ca="1" si="20"/>
        <v>1474.3841400000001</v>
      </c>
      <c r="BB104" s="20"/>
      <c r="BC104" s="55"/>
      <c r="BD104" s="9" t="s">
        <v>467</v>
      </c>
    </row>
    <row r="105" spans="1:56" s="9" customFormat="1" ht="11.25" customHeight="1" x14ac:dyDescent="0.15">
      <c r="A105" s="20">
        <v>104</v>
      </c>
      <c r="B105" s="20"/>
      <c r="C105" s="9" t="s">
        <v>186</v>
      </c>
      <c r="E105" s="10" t="s">
        <v>187</v>
      </c>
      <c r="F105" s="123">
        <v>61</v>
      </c>
      <c r="G105" s="7">
        <f ca="1">INT((F105*Valores!$C$2*100)+0.5)/100</f>
        <v>313.22000000000003</v>
      </c>
      <c r="H105" s="113">
        <v>2114</v>
      </c>
      <c r="I105" s="77">
        <f ca="1">INT((H105*Valores!$C$2*100)+0.5)/100</f>
        <v>10854.76</v>
      </c>
      <c r="J105" s="147">
        <v>0</v>
      </c>
      <c r="K105" s="77">
        <f ca="1">INT((J105*Valores!$C$2*100)+0.5)/100</f>
        <v>0</v>
      </c>
      <c r="L105" s="120">
        <v>0</v>
      </c>
      <c r="M105" s="77">
        <f ca="1">INT((L105*Valores!$C$2*100)+0.5)/100</f>
        <v>0</v>
      </c>
      <c r="N105" s="77">
        <f t="shared" ca="1" si="13"/>
        <v>0</v>
      </c>
      <c r="O105" s="77">
        <f t="shared" ca="1" si="14"/>
        <v>11737.32</v>
      </c>
      <c r="P105" s="78">
        <f>Valores!$C$20</f>
        <v>2991.57</v>
      </c>
      <c r="Q105" s="78">
        <f ca="1">Valores!$D$4</f>
        <v>2296.75</v>
      </c>
      <c r="R105" s="77">
        <v>0</v>
      </c>
      <c r="S105" s="79">
        <f>Valores!$C$40</f>
        <v>569.34</v>
      </c>
      <c r="T105" s="61">
        <f>Valores!$C$24</f>
        <v>2190.94</v>
      </c>
      <c r="U105" s="77">
        <f t="shared" ca="1" si="12"/>
        <v>4381.88</v>
      </c>
      <c r="V105" s="77">
        <v>0</v>
      </c>
      <c r="W105" s="77">
        <v>0</v>
      </c>
      <c r="X105" s="116">
        <v>0</v>
      </c>
      <c r="Y105" s="77">
        <f ca="1">X105*Valores!$C$2</f>
        <v>0</v>
      </c>
      <c r="Z105" s="77">
        <v>0</v>
      </c>
      <c r="AA105" s="89">
        <f>Valores!$C$29</f>
        <v>131.68</v>
      </c>
      <c r="AB105" s="77">
        <f t="shared" ca="1" si="15"/>
        <v>0</v>
      </c>
      <c r="AC105" s="77">
        <f>Valores!$C$30</f>
        <v>131.68</v>
      </c>
      <c r="AD105" s="116">
        <v>0</v>
      </c>
      <c r="AE105" s="77">
        <f ca="1">INT(((AD105*Valores!$C$2)*100)+0.5)/100</f>
        <v>0</v>
      </c>
      <c r="AF105" s="77">
        <f>Valores!$C$51</f>
        <v>267.87</v>
      </c>
      <c r="AG105" s="77">
        <f>Valores!$C$52</f>
        <v>76.540000000000006</v>
      </c>
      <c r="AH105" s="77">
        <f ca="1">SUM(G105,I105,K105,M105,N105,O105,P105,Q105,R105,S105,U105,V105,W105,Y105,Z105,AA105,AB105,AC105,AE105,AF105,AG105)*Valores!$C$54</f>
        <v>0</v>
      </c>
      <c r="AI105" s="15">
        <f t="shared" ca="1" si="18"/>
        <v>33752.61</v>
      </c>
      <c r="AJ105" s="78">
        <f>Valores!$C$35</f>
        <v>182.07</v>
      </c>
      <c r="AK105" s="79">
        <f>Valores!$C$6</f>
        <v>153.07</v>
      </c>
      <c r="AL105" s="89">
        <v>112.25</v>
      </c>
      <c r="AM105" s="79">
        <f ca="1">IF($G$4="SI",SUM(AK105+AL105),AK105)*Valores!$C$54</f>
        <v>0</v>
      </c>
      <c r="AN105" s="12">
        <f t="shared" ca="1" si="19"/>
        <v>447.39</v>
      </c>
      <c r="AO105" s="153">
        <f ca="1">AI105*-Valores!$C$56</f>
        <v>-4387.8393000000005</v>
      </c>
      <c r="AP105" s="153">
        <f ca="1">AI105*-Valores!$C$57</f>
        <v>-168.76304999999999</v>
      </c>
      <c r="AQ105" s="78">
        <f ca="1">AI105*-Valores!$C$58</f>
        <v>-1518.86745</v>
      </c>
      <c r="AR105" s="78">
        <f ca="1">AI105*-Valores!$C$59</f>
        <v>-911.32047000000011</v>
      </c>
      <c r="AS105" s="78">
        <f ca="1">AI105*-Valores!$C$60</f>
        <v>-101.25783</v>
      </c>
      <c r="AT105" s="15">
        <f t="shared" ca="1" si="16"/>
        <v>28124.530199999997</v>
      </c>
      <c r="AU105" s="15">
        <f t="shared" ca="1" si="17"/>
        <v>28630.819350000002</v>
      </c>
      <c r="AV105" s="78">
        <f ca="1">AI105*Valores!$C$61</f>
        <v>5400.4175999999998</v>
      </c>
      <c r="AW105" s="78">
        <f ca="1">AI105*Valores!$C$62</f>
        <v>1518.86745</v>
      </c>
      <c r="AX105" s="78">
        <f ca="1">AI105*Valores!$C$64</f>
        <v>337.52609999999999</v>
      </c>
      <c r="AY105" s="78">
        <f ca="1">AI105*Valores!$C$65</f>
        <v>1181.3413500000001</v>
      </c>
      <c r="AZ105" s="78">
        <f ca="1">AI105*Valores!$C$66</f>
        <v>202.51566</v>
      </c>
      <c r="BA105" s="78">
        <f t="shared" ca="1" si="20"/>
        <v>1822.6409400000002</v>
      </c>
      <c r="BB105" s="20"/>
      <c r="BC105" s="20">
        <v>30</v>
      </c>
      <c r="BD105" s="9" t="s">
        <v>467</v>
      </c>
    </row>
    <row r="106" spans="1:56" s="9" customFormat="1" ht="11.25" customHeight="1" x14ac:dyDescent="0.15">
      <c r="A106" s="55">
        <v>105</v>
      </c>
      <c r="B106" s="55" t="s">
        <v>462</v>
      </c>
      <c r="C106" s="52" t="s">
        <v>188</v>
      </c>
      <c r="D106" s="52"/>
      <c r="E106" s="53" t="s">
        <v>189</v>
      </c>
      <c r="F106" s="124">
        <v>59</v>
      </c>
      <c r="G106" s="129">
        <f ca="1">INT((F106*Valores!$C$2*100)+0.5)/100</f>
        <v>302.95</v>
      </c>
      <c r="H106" s="114">
        <v>2013</v>
      </c>
      <c r="I106" s="80">
        <f ca="1">INT((H106*Valores!$C$2*100)+0.5)/100</f>
        <v>10336.15</v>
      </c>
      <c r="J106" s="148">
        <v>0</v>
      </c>
      <c r="K106" s="80">
        <f ca="1">INT((J106*Valores!$C$2*100)+0.5)/100</f>
        <v>0</v>
      </c>
      <c r="L106" s="121">
        <v>0</v>
      </c>
      <c r="M106" s="80">
        <f ca="1">INT((L106*Valores!$C$2*100)+0.5)/100</f>
        <v>0</v>
      </c>
      <c r="N106" s="80">
        <f t="shared" ca="1" si="13"/>
        <v>0</v>
      </c>
      <c r="O106" s="80">
        <f t="shared" ca="1" si="14"/>
        <v>11208.44</v>
      </c>
      <c r="P106" s="81">
        <f>Valores!$C$20</f>
        <v>2991.57</v>
      </c>
      <c r="Q106" s="81">
        <f ca="1">Valores!$D$4</f>
        <v>2296.75</v>
      </c>
      <c r="R106" s="80">
        <v>0</v>
      </c>
      <c r="S106" s="82">
        <f>Valores!$C$40</f>
        <v>569.34</v>
      </c>
      <c r="T106" s="85">
        <f>Valores!$C$24</f>
        <v>2190.94</v>
      </c>
      <c r="U106" s="80">
        <f t="shared" ca="1" si="12"/>
        <v>4381.88</v>
      </c>
      <c r="V106" s="80">
        <v>0</v>
      </c>
      <c r="W106" s="80">
        <v>0</v>
      </c>
      <c r="X106" s="115">
        <v>0</v>
      </c>
      <c r="Y106" s="80">
        <f ca="1">X106*Valores!$C$2</f>
        <v>0</v>
      </c>
      <c r="Z106" s="80">
        <v>0</v>
      </c>
      <c r="AA106" s="90">
        <f>Valores!$C$29</f>
        <v>131.68</v>
      </c>
      <c r="AB106" s="80">
        <f t="shared" ca="1" si="15"/>
        <v>0</v>
      </c>
      <c r="AC106" s="80">
        <f>Valores!$C$30</f>
        <v>131.68</v>
      </c>
      <c r="AD106" s="115">
        <v>0</v>
      </c>
      <c r="AE106" s="80">
        <f ca="1">INT(((AD106*Valores!$C$2)*100)+0.5)/100</f>
        <v>0</v>
      </c>
      <c r="AF106" s="80">
        <f>Valores!$C$51</f>
        <v>267.87</v>
      </c>
      <c r="AG106" s="80">
        <f>Valores!$C$52</f>
        <v>76.540000000000006</v>
      </c>
      <c r="AH106" s="80">
        <f ca="1">SUM(G106,I106,K106,M106,N106,O106,P106,Q106,R106,S106,U106,V106,W106,Y106,Z106,AA106,AB106,AC106,AE106,AF106,AG106)*Valores!$C$54</f>
        <v>0</v>
      </c>
      <c r="AI106" s="54">
        <f t="shared" ca="1" si="18"/>
        <v>32694.850000000002</v>
      </c>
      <c r="AJ106" s="81">
        <f>Valores!$C$35</f>
        <v>182.07</v>
      </c>
      <c r="AK106" s="82">
        <f>Valores!$C$6</f>
        <v>153.07</v>
      </c>
      <c r="AL106" s="90">
        <v>112.25</v>
      </c>
      <c r="AM106" s="82">
        <f ca="1">IF($G$4="SI",SUM(AK106+AL106),AK106)*Valores!$C$54</f>
        <v>0</v>
      </c>
      <c r="AN106" s="186">
        <f t="shared" ca="1" si="19"/>
        <v>447.39</v>
      </c>
      <c r="AO106" s="154">
        <f ca="1">AI106*-Valores!$C$56</f>
        <v>-4250.3305</v>
      </c>
      <c r="AP106" s="154">
        <f ca="1">AI106*-Valores!$C$57</f>
        <v>-163.47425000000001</v>
      </c>
      <c r="AQ106" s="81">
        <f ca="1">AI106*-Valores!$C$58</f>
        <v>-1471.2682500000001</v>
      </c>
      <c r="AR106" s="81">
        <f ca="1">AI106*-Valores!$C$59</f>
        <v>-882.76095000000021</v>
      </c>
      <c r="AS106" s="81">
        <f ca="1">AI106*-Valores!$C$60</f>
        <v>-98.084550000000007</v>
      </c>
      <c r="AT106" s="54">
        <f t="shared" ca="1" si="16"/>
        <v>27257.167000000005</v>
      </c>
      <c r="AU106" s="54">
        <f t="shared" ca="1" si="17"/>
        <v>27747.589750000006</v>
      </c>
      <c r="AV106" s="81">
        <f ca="1">AI106*Valores!$C$61</f>
        <v>5231.1760000000004</v>
      </c>
      <c r="AW106" s="81">
        <f ca="1">AI106*Valores!$C$62</f>
        <v>1471.2682500000001</v>
      </c>
      <c r="AX106" s="81">
        <f ca="1">AI106*Valores!$C$64</f>
        <v>326.94850000000002</v>
      </c>
      <c r="AY106" s="81">
        <f ca="1">AI106*Valores!$C$65</f>
        <v>1144.3197500000001</v>
      </c>
      <c r="AZ106" s="81">
        <f ca="1">AI106*Valores!$C$66</f>
        <v>196.16910000000001</v>
      </c>
      <c r="BA106" s="81">
        <f t="shared" ca="1" si="20"/>
        <v>1765.5219000000004</v>
      </c>
      <c r="BB106" s="55"/>
      <c r="BC106" s="55">
        <v>30</v>
      </c>
      <c r="BD106" s="52" t="s">
        <v>467</v>
      </c>
    </row>
    <row r="107" spans="1:56" s="9" customFormat="1" ht="11.25" customHeight="1" x14ac:dyDescent="0.15">
      <c r="A107" s="20">
        <v>106</v>
      </c>
      <c r="B107" s="20"/>
      <c r="C107" s="9" t="s">
        <v>190</v>
      </c>
      <c r="E107" s="10" t="s">
        <v>191</v>
      </c>
      <c r="F107" s="123">
        <v>56</v>
      </c>
      <c r="G107" s="7">
        <f ca="1">INT((F107*Valores!$C$2*100)+0.5)/100</f>
        <v>287.54000000000002</v>
      </c>
      <c r="H107" s="113">
        <v>1720</v>
      </c>
      <c r="I107" s="77">
        <f ca="1">INT((H107*Valores!$C$2*100)+0.5)/100</f>
        <v>8831.68</v>
      </c>
      <c r="J107" s="147">
        <v>0</v>
      </c>
      <c r="K107" s="77">
        <f ca="1">INT((J107*Valores!$C$2*100)+0.5)/100</f>
        <v>0</v>
      </c>
      <c r="L107" s="120">
        <v>0</v>
      </c>
      <c r="M107" s="77">
        <f ca="1">INT((L107*Valores!$C$2*100)+0.5)/100</f>
        <v>0</v>
      </c>
      <c r="N107" s="77">
        <f t="shared" ca="1" si="13"/>
        <v>0</v>
      </c>
      <c r="O107" s="77">
        <f t="shared" ca="1" si="14"/>
        <v>9688.5600000000013</v>
      </c>
      <c r="P107" s="78">
        <f>Valores!$C$20</f>
        <v>2991.57</v>
      </c>
      <c r="Q107" s="78">
        <f ca="1">Valores!$D$4</f>
        <v>2296.75</v>
      </c>
      <c r="R107" s="77">
        <v>0</v>
      </c>
      <c r="S107" s="79">
        <f>Valores!$C$40</f>
        <v>569.34</v>
      </c>
      <c r="T107" s="61">
        <f>Valores!$C$24</f>
        <v>2190.94</v>
      </c>
      <c r="U107" s="77">
        <f t="shared" ca="1" si="12"/>
        <v>4381.88</v>
      </c>
      <c r="V107" s="77">
        <v>0</v>
      </c>
      <c r="W107" s="77">
        <v>0</v>
      </c>
      <c r="X107" s="116">
        <v>0</v>
      </c>
      <c r="Y107" s="77">
        <f ca="1">X107*Valores!$C$2</f>
        <v>0</v>
      </c>
      <c r="Z107" s="77">
        <v>0</v>
      </c>
      <c r="AA107" s="89">
        <f>Valores!$C$29</f>
        <v>131.68</v>
      </c>
      <c r="AB107" s="77">
        <f t="shared" ca="1" si="15"/>
        <v>0</v>
      </c>
      <c r="AC107" s="77">
        <f>Valores!$C$30</f>
        <v>131.68</v>
      </c>
      <c r="AD107" s="116">
        <v>0</v>
      </c>
      <c r="AE107" s="77">
        <f ca="1">INT(((AD107*Valores!$C$2)*100)+0.5)/100</f>
        <v>0</v>
      </c>
      <c r="AF107" s="77">
        <f>Valores!$C$51</f>
        <v>267.87</v>
      </c>
      <c r="AG107" s="77">
        <f>Valores!$C$52</f>
        <v>76.540000000000006</v>
      </c>
      <c r="AH107" s="77">
        <f ca="1">SUM(G107,I107,K107,M107,N107,O107,P107,Q107,R107,S107,U107,V107,W107,Y107,Z107,AA107,AB107,AC107,AE107,AF107,AG107)*Valores!$C$54</f>
        <v>0</v>
      </c>
      <c r="AI107" s="15">
        <f t="shared" ca="1" si="18"/>
        <v>29655.090000000004</v>
      </c>
      <c r="AJ107" s="78">
        <f>Valores!$C$35</f>
        <v>182.07</v>
      </c>
      <c r="AK107" s="79">
        <f>Valores!$C$6</f>
        <v>153.07</v>
      </c>
      <c r="AL107" s="89">
        <v>112.25</v>
      </c>
      <c r="AM107" s="79">
        <f ca="1">IF($G$4="SI",SUM(AK107+AL107),AK107)*Valores!$C$54</f>
        <v>0</v>
      </c>
      <c r="AN107" s="12">
        <f t="shared" ca="1" si="19"/>
        <v>447.39</v>
      </c>
      <c r="AO107" s="153">
        <f ca="1">AI107*-Valores!$C$56</f>
        <v>-3855.1617000000006</v>
      </c>
      <c r="AP107" s="153">
        <f ca="1">AI107*-Valores!$C$57</f>
        <v>-148.27545000000003</v>
      </c>
      <c r="AQ107" s="78">
        <f ca="1">AI107*-Valores!$C$58</f>
        <v>-1334.4790500000001</v>
      </c>
      <c r="AR107" s="78">
        <f ca="1">AI107*-Valores!$C$59</f>
        <v>-800.68743000000018</v>
      </c>
      <c r="AS107" s="78">
        <f ca="1">AI107*-Valores!$C$60</f>
        <v>-88.965270000000018</v>
      </c>
      <c r="AT107" s="15">
        <f t="shared" ca="1" si="16"/>
        <v>24764.5638</v>
      </c>
      <c r="AU107" s="15">
        <f t="shared" ca="1" si="17"/>
        <v>25209.390149999999</v>
      </c>
      <c r="AV107" s="78">
        <f ca="1">AI107*Valores!$C$61</f>
        <v>4744.8144000000011</v>
      </c>
      <c r="AW107" s="78">
        <f ca="1">AI107*Valores!$C$62</f>
        <v>1334.4790500000001</v>
      </c>
      <c r="AX107" s="78">
        <f ca="1">AI107*Valores!$C$64</f>
        <v>296.55090000000007</v>
      </c>
      <c r="AY107" s="78">
        <f ca="1">AI107*Valores!$C$65</f>
        <v>1037.9281500000002</v>
      </c>
      <c r="AZ107" s="78">
        <f ca="1">AI107*Valores!$C$66</f>
        <v>177.93054000000004</v>
      </c>
      <c r="BA107" s="78">
        <f t="shared" ca="1" si="20"/>
        <v>1601.3748600000004</v>
      </c>
      <c r="BB107" s="20"/>
      <c r="BC107" s="20">
        <v>30</v>
      </c>
      <c r="BD107" s="9" t="s">
        <v>467</v>
      </c>
    </row>
    <row r="108" spans="1:56" s="9" customFormat="1" ht="11.25" customHeight="1" x14ac:dyDescent="0.15">
      <c r="A108" s="20">
        <v>107</v>
      </c>
      <c r="B108" s="20"/>
      <c r="C108" s="9" t="s">
        <v>192</v>
      </c>
      <c r="E108" s="10" t="s">
        <v>193</v>
      </c>
      <c r="F108" s="123">
        <v>45</v>
      </c>
      <c r="G108" s="7">
        <f ca="1">INT((F108*Valores!$C$2*100)+0.5)/100</f>
        <v>231.06</v>
      </c>
      <c r="H108" s="113">
        <v>1502</v>
      </c>
      <c r="I108" s="77">
        <f ca="1">INT((H108*Valores!$C$2*100)+0.5)/100</f>
        <v>7712.32</v>
      </c>
      <c r="J108" s="147">
        <v>0</v>
      </c>
      <c r="K108" s="77">
        <f ca="1">INT((J108*Valores!$C$2*100)+0.5)/100</f>
        <v>0</v>
      </c>
      <c r="L108" s="120">
        <v>0</v>
      </c>
      <c r="M108" s="77">
        <f ca="1">INT((L108*Valores!$C$2*100)+0.5)/100</f>
        <v>0</v>
      </c>
      <c r="N108" s="77">
        <f t="shared" ca="1" si="13"/>
        <v>0</v>
      </c>
      <c r="O108" s="77">
        <f t="shared" ca="1" si="14"/>
        <v>8512.7199999999993</v>
      </c>
      <c r="P108" s="78">
        <f>Valores!$C$20</f>
        <v>2991.57</v>
      </c>
      <c r="Q108" s="78">
        <f ca="1">Valores!$D$4</f>
        <v>2296.75</v>
      </c>
      <c r="R108" s="77">
        <v>0</v>
      </c>
      <c r="S108" s="79">
        <f>Valores!$C$40</f>
        <v>569.34</v>
      </c>
      <c r="T108" s="61">
        <f>Valores!$C$24</f>
        <v>2190.94</v>
      </c>
      <c r="U108" s="77">
        <f t="shared" ca="1" si="12"/>
        <v>4381.88</v>
      </c>
      <c r="V108" s="77">
        <v>0</v>
      </c>
      <c r="W108" s="77">
        <v>0</v>
      </c>
      <c r="X108" s="116">
        <v>0</v>
      </c>
      <c r="Y108" s="77">
        <f ca="1">X108*Valores!$C$2</f>
        <v>0</v>
      </c>
      <c r="Z108" s="77">
        <v>0</v>
      </c>
      <c r="AA108" s="89">
        <f>Valores!$C$29</f>
        <v>131.68</v>
      </c>
      <c r="AB108" s="77">
        <f t="shared" ca="1" si="15"/>
        <v>0</v>
      </c>
      <c r="AC108" s="77">
        <f>Valores!$C$30</f>
        <v>131.68</v>
      </c>
      <c r="AD108" s="116">
        <v>0</v>
      </c>
      <c r="AE108" s="77">
        <f ca="1">INT(((AD108*Valores!$C$2)*100)+0.5)/100</f>
        <v>0</v>
      </c>
      <c r="AF108" s="77">
        <f>Valores!$C$51</f>
        <v>267.87</v>
      </c>
      <c r="AG108" s="77">
        <f>Valores!$C$52</f>
        <v>76.540000000000006</v>
      </c>
      <c r="AH108" s="77">
        <f ca="1">SUM(G108,I108,K108,M108,N108,O108,P108,Q108,R108,S108,U108,V108,W108,Y108,Z108,AA108,AB108,AC108,AE108,AF108,AG108)*Valores!$C$54</f>
        <v>0</v>
      </c>
      <c r="AI108" s="15">
        <f t="shared" ca="1" si="18"/>
        <v>27303.41</v>
      </c>
      <c r="AJ108" s="78">
        <f>Valores!$C$35</f>
        <v>182.07</v>
      </c>
      <c r="AK108" s="79">
        <f>Valores!$C$6</f>
        <v>153.07</v>
      </c>
      <c r="AL108" s="89">
        <v>112.25</v>
      </c>
      <c r="AM108" s="79">
        <f ca="1">IF($G$4="SI",SUM(AK108+AL108),AK108)*Valores!$C$54</f>
        <v>0</v>
      </c>
      <c r="AN108" s="12">
        <f t="shared" ca="1" si="19"/>
        <v>447.39</v>
      </c>
      <c r="AO108" s="153">
        <f ca="1">AI108*-Valores!$C$56</f>
        <v>-3549.4432999999999</v>
      </c>
      <c r="AP108" s="153">
        <f ca="1">AI108*-Valores!$C$57</f>
        <v>-136.51705000000001</v>
      </c>
      <c r="AQ108" s="78">
        <f ca="1">AI108*-Valores!$C$58</f>
        <v>-1228.65345</v>
      </c>
      <c r="AR108" s="78">
        <f ca="1">AI108*-Valores!$C$59</f>
        <v>-737.19207000000006</v>
      </c>
      <c r="AS108" s="78">
        <f ca="1">AI108*-Valores!$C$60</f>
        <v>-81.910229999999999</v>
      </c>
      <c r="AT108" s="15">
        <f t="shared" ca="1" si="16"/>
        <v>22836.1862</v>
      </c>
      <c r="AU108" s="15">
        <f t="shared" ca="1" si="17"/>
        <v>23245.737349999999</v>
      </c>
      <c r="AV108" s="78">
        <f ca="1">AI108*Valores!$C$61</f>
        <v>4368.5456000000004</v>
      </c>
      <c r="AW108" s="78">
        <f ca="1">AI108*Valores!$C$62</f>
        <v>1228.65345</v>
      </c>
      <c r="AX108" s="78">
        <f ca="1">AI108*Valores!$C$64</f>
        <v>273.03410000000002</v>
      </c>
      <c r="AY108" s="78">
        <f ca="1">AI108*Valores!$C$65</f>
        <v>955.61935000000005</v>
      </c>
      <c r="AZ108" s="78">
        <f ca="1">AI108*Valores!$C$66</f>
        <v>163.82046</v>
      </c>
      <c r="BA108" s="78">
        <f t="shared" ca="1" si="20"/>
        <v>1474.3841400000001</v>
      </c>
      <c r="BB108" s="20"/>
      <c r="BC108" s="20">
        <v>30</v>
      </c>
      <c r="BD108" s="9" t="s">
        <v>467</v>
      </c>
    </row>
    <row r="109" spans="1:56" s="9" customFormat="1" ht="11.25" customHeight="1" x14ac:dyDescent="0.15">
      <c r="A109" s="20">
        <v>108</v>
      </c>
      <c r="B109" s="20"/>
      <c r="C109" s="9" t="s">
        <v>194</v>
      </c>
      <c r="E109" s="10" t="s">
        <v>195</v>
      </c>
      <c r="F109" s="123">
        <v>45</v>
      </c>
      <c r="G109" s="7">
        <f ca="1">INT((F109*Valores!$C$2*100)+0.5)/100</f>
        <v>231.06</v>
      </c>
      <c r="H109" s="113">
        <v>1139</v>
      </c>
      <c r="I109" s="77">
        <f ca="1">INT((H109*Valores!$C$2*100)+0.5)/100</f>
        <v>5848.42</v>
      </c>
      <c r="J109" s="147">
        <v>0</v>
      </c>
      <c r="K109" s="77">
        <f ca="1">INT((J109*Valores!$C$2*100)+0.5)/100</f>
        <v>0</v>
      </c>
      <c r="L109" s="120">
        <v>0</v>
      </c>
      <c r="M109" s="77">
        <f ca="1">INT((L109*Valores!$C$2*100)+0.5)/100</f>
        <v>0</v>
      </c>
      <c r="N109" s="77">
        <f t="shared" ca="1" si="13"/>
        <v>0</v>
      </c>
      <c r="O109" s="77">
        <f t="shared" ca="1" si="14"/>
        <v>6648.8200000000006</v>
      </c>
      <c r="P109" s="78">
        <f>Valores!$C$20</f>
        <v>2991.57</v>
      </c>
      <c r="Q109" s="78">
        <f ca="1">Valores!$D$4</f>
        <v>2296.75</v>
      </c>
      <c r="R109" s="77">
        <v>0</v>
      </c>
      <c r="S109" s="79">
        <f>Valores!$C$40</f>
        <v>569.34</v>
      </c>
      <c r="T109" s="61">
        <f>Valores!$C$24</f>
        <v>2190.94</v>
      </c>
      <c r="U109" s="77">
        <f t="shared" ca="1" si="12"/>
        <v>4381.88</v>
      </c>
      <c r="V109" s="77">
        <v>0</v>
      </c>
      <c r="W109" s="77">
        <v>0</v>
      </c>
      <c r="X109" s="116">
        <v>0</v>
      </c>
      <c r="Y109" s="77">
        <f ca="1">X109*Valores!$C$2</f>
        <v>0</v>
      </c>
      <c r="Z109" s="77">
        <v>0</v>
      </c>
      <c r="AA109" s="89">
        <f>Valores!$C$29</f>
        <v>131.68</v>
      </c>
      <c r="AB109" s="77">
        <f t="shared" ca="1" si="15"/>
        <v>0</v>
      </c>
      <c r="AC109" s="77">
        <f>Valores!$C$30</f>
        <v>131.68</v>
      </c>
      <c r="AD109" s="116">
        <v>0</v>
      </c>
      <c r="AE109" s="77">
        <f ca="1">INT(((AD109*Valores!$C$2)*100)+0.5)/100</f>
        <v>0</v>
      </c>
      <c r="AF109" s="77">
        <f>Valores!$C$51</f>
        <v>267.87</v>
      </c>
      <c r="AG109" s="77">
        <f>Valores!$C$52</f>
        <v>76.540000000000006</v>
      </c>
      <c r="AH109" s="77">
        <f ca="1">SUM(G109,I109,K109,M109,N109,O109,P109,Q109,R109,S109,U109,V109,W109,Y109,Z109,AA109,AB109,AC109,AE109,AF109,AG109)*Valores!$C$54</f>
        <v>0</v>
      </c>
      <c r="AI109" s="15">
        <f t="shared" ca="1" si="18"/>
        <v>23575.610000000004</v>
      </c>
      <c r="AJ109" s="78">
        <f>Valores!$C$35</f>
        <v>182.07</v>
      </c>
      <c r="AK109" s="79">
        <f>Valores!$C$6</f>
        <v>153.07</v>
      </c>
      <c r="AL109" s="89">
        <v>112.25</v>
      </c>
      <c r="AM109" s="79">
        <f ca="1">IF($G$4="SI",SUM(AK109+AL109),AK109)*Valores!$C$54</f>
        <v>0</v>
      </c>
      <c r="AN109" s="12">
        <f t="shared" ca="1" si="19"/>
        <v>447.39</v>
      </c>
      <c r="AO109" s="153">
        <f ca="1">AI109*-Valores!$C$56</f>
        <v>-3064.8293000000008</v>
      </c>
      <c r="AP109" s="153">
        <f ca="1">AI109*-Valores!$C$57</f>
        <v>-117.87805000000003</v>
      </c>
      <c r="AQ109" s="78">
        <f ca="1">AI109*-Valores!$C$58</f>
        <v>-1060.90245</v>
      </c>
      <c r="AR109" s="78">
        <f ca="1">AI109*-Valores!$C$59</f>
        <v>-636.54147000000023</v>
      </c>
      <c r="AS109" s="78">
        <f ca="1">AI109*-Valores!$C$60</f>
        <v>-70.726830000000021</v>
      </c>
      <c r="AT109" s="15">
        <f t="shared" ca="1" si="16"/>
        <v>19779.390200000002</v>
      </c>
      <c r="AU109" s="15">
        <f t="shared" ca="1" si="17"/>
        <v>20133.024350000003</v>
      </c>
      <c r="AV109" s="78">
        <f ca="1">AI109*Valores!$C$61</f>
        <v>3772.097600000001</v>
      </c>
      <c r="AW109" s="78">
        <f ca="1">AI109*Valores!$C$62</f>
        <v>1060.90245</v>
      </c>
      <c r="AX109" s="78">
        <f ca="1">AI109*Valores!$C$64</f>
        <v>235.75610000000006</v>
      </c>
      <c r="AY109" s="78">
        <f ca="1">AI109*Valores!$C$65</f>
        <v>825.14635000000021</v>
      </c>
      <c r="AZ109" s="78">
        <f ca="1">AI109*Valores!$C$66</f>
        <v>141.45366000000004</v>
      </c>
      <c r="BA109" s="78">
        <f t="shared" ca="1" si="20"/>
        <v>1273.0829400000005</v>
      </c>
      <c r="BB109" s="20"/>
      <c r="BC109" s="55">
        <v>30</v>
      </c>
      <c r="BD109" s="9" t="s">
        <v>467</v>
      </c>
    </row>
    <row r="110" spans="1:56" s="9" customFormat="1" ht="11.25" customHeight="1" x14ac:dyDescent="0.15">
      <c r="A110" s="20">
        <v>109</v>
      </c>
      <c r="B110" s="20"/>
      <c r="C110" s="9" t="s">
        <v>196</v>
      </c>
      <c r="E110" s="10" t="s">
        <v>197</v>
      </c>
      <c r="F110" s="123">
        <v>46</v>
      </c>
      <c r="G110" s="7">
        <f ca="1">INT((F110*Valores!$C$2*100)+0.5)/100</f>
        <v>236.2</v>
      </c>
      <c r="H110" s="113">
        <v>1102</v>
      </c>
      <c r="I110" s="77">
        <f ca="1">INT((H110*Valores!$C$2*100)+0.5)/100</f>
        <v>5658.44</v>
      </c>
      <c r="J110" s="147">
        <v>0</v>
      </c>
      <c r="K110" s="77">
        <f ca="1">INT((J110*Valores!$C$2*100)+0.5)/100</f>
        <v>0</v>
      </c>
      <c r="L110" s="120">
        <v>0</v>
      </c>
      <c r="M110" s="77">
        <f ca="1">INT((L110*Valores!$C$2*100)+0.5)/100</f>
        <v>0</v>
      </c>
      <c r="N110" s="77">
        <f t="shared" ca="1" si="13"/>
        <v>0</v>
      </c>
      <c r="O110" s="77">
        <f t="shared" ca="1" si="14"/>
        <v>6463.98</v>
      </c>
      <c r="P110" s="78">
        <f>Valores!$C$20</f>
        <v>2991.57</v>
      </c>
      <c r="Q110" s="78">
        <f ca="1">Valores!$D$4</f>
        <v>2296.75</v>
      </c>
      <c r="R110" s="77">
        <v>0</v>
      </c>
      <c r="S110" s="79">
        <f>Valores!$C$40</f>
        <v>569.34</v>
      </c>
      <c r="T110" s="61">
        <f>Valores!$C$24</f>
        <v>2190.94</v>
      </c>
      <c r="U110" s="77">
        <f t="shared" ca="1" si="12"/>
        <v>4381.88</v>
      </c>
      <c r="V110" s="77">
        <v>0</v>
      </c>
      <c r="W110" s="77">
        <v>0</v>
      </c>
      <c r="X110" s="116">
        <v>0</v>
      </c>
      <c r="Y110" s="77">
        <f ca="1">X110*Valores!$C$2</f>
        <v>0</v>
      </c>
      <c r="Z110" s="77">
        <v>0</v>
      </c>
      <c r="AA110" s="89">
        <f>Valores!$C$29</f>
        <v>131.68</v>
      </c>
      <c r="AB110" s="77">
        <f t="shared" ca="1" si="15"/>
        <v>0</v>
      </c>
      <c r="AC110" s="77">
        <f>Valores!$C$30</f>
        <v>131.68</v>
      </c>
      <c r="AD110" s="116">
        <v>0</v>
      </c>
      <c r="AE110" s="77">
        <f ca="1">INT(((AD110*Valores!$C$2)*100)+0.5)/100</f>
        <v>0</v>
      </c>
      <c r="AF110" s="77">
        <f>Valores!$C$51</f>
        <v>267.87</v>
      </c>
      <c r="AG110" s="77">
        <f>Valores!$C$52</f>
        <v>76.540000000000006</v>
      </c>
      <c r="AH110" s="77">
        <f ca="1">SUM(G110,I110,K110,M110,N110,O110,P110,Q110,R110,S110,U110,V110,W110,Y110,Z110,AA110,AB110,AC110,AE110,AF110,AG110)*Valores!$C$54</f>
        <v>0</v>
      </c>
      <c r="AI110" s="15">
        <f t="shared" ca="1" si="18"/>
        <v>23205.93</v>
      </c>
      <c r="AJ110" s="78">
        <f>Valores!$C$35</f>
        <v>182.07</v>
      </c>
      <c r="AK110" s="79">
        <f>Valores!$C$6</f>
        <v>153.07</v>
      </c>
      <c r="AL110" s="89">
        <v>112.25</v>
      </c>
      <c r="AM110" s="79">
        <f ca="1">IF($G$4="SI",SUM(AK110+AL110),AK110)*Valores!$C$54</f>
        <v>0</v>
      </c>
      <c r="AN110" s="12">
        <f t="shared" ca="1" si="19"/>
        <v>447.39</v>
      </c>
      <c r="AO110" s="153">
        <f ca="1">AI110*-Valores!$C$56</f>
        <v>-3016.7709</v>
      </c>
      <c r="AP110" s="153">
        <f ca="1">AI110*-Valores!$C$57</f>
        <v>-116.02965</v>
      </c>
      <c r="AQ110" s="78">
        <f ca="1">AI110*-Valores!$C$58</f>
        <v>-1044.26685</v>
      </c>
      <c r="AR110" s="78">
        <f ca="1">AI110*-Valores!$C$59</f>
        <v>-626.56011000000012</v>
      </c>
      <c r="AS110" s="78">
        <f ca="1">AI110*-Valores!$C$60</f>
        <v>-69.617789999999999</v>
      </c>
      <c r="AT110" s="15">
        <f t="shared" ca="1" si="16"/>
        <v>19476.2526</v>
      </c>
      <c r="AU110" s="15">
        <f t="shared" ca="1" si="17"/>
        <v>19824.341550000001</v>
      </c>
      <c r="AV110" s="78">
        <f ca="1">AI110*Valores!$C$61</f>
        <v>3712.9488000000001</v>
      </c>
      <c r="AW110" s="78">
        <f ca="1">AI110*Valores!$C$62</f>
        <v>1044.26685</v>
      </c>
      <c r="AX110" s="78">
        <f ca="1">AI110*Valores!$C$64</f>
        <v>232.05930000000001</v>
      </c>
      <c r="AY110" s="78">
        <f ca="1">AI110*Valores!$C$65</f>
        <v>812.20755000000008</v>
      </c>
      <c r="AZ110" s="78">
        <f ca="1">AI110*Valores!$C$66</f>
        <v>139.23558</v>
      </c>
      <c r="BA110" s="78">
        <f t="shared" ca="1" si="20"/>
        <v>1253.12022</v>
      </c>
      <c r="BB110" s="20"/>
      <c r="BC110" s="20">
        <v>30</v>
      </c>
      <c r="BD110" s="9" t="s">
        <v>467</v>
      </c>
    </row>
    <row r="111" spans="1:56" s="9" customFormat="1" ht="11.25" customHeight="1" x14ac:dyDescent="0.15">
      <c r="A111" s="55">
        <v>110</v>
      </c>
      <c r="B111" s="55" t="s">
        <v>462</v>
      </c>
      <c r="C111" s="52" t="s">
        <v>198</v>
      </c>
      <c r="D111" s="52"/>
      <c r="E111" s="53" t="s">
        <v>199</v>
      </c>
      <c r="F111" s="124">
        <v>66</v>
      </c>
      <c r="G111" s="129">
        <f ca="1">INT((F111*Valores!$C$2*100)+0.5)/100</f>
        <v>338.89</v>
      </c>
      <c r="H111" s="114">
        <v>1911</v>
      </c>
      <c r="I111" s="80">
        <f ca="1">INT((H111*Valores!$C$2*100)+0.5)/100</f>
        <v>9812.41</v>
      </c>
      <c r="J111" s="148">
        <v>0</v>
      </c>
      <c r="K111" s="80">
        <f ca="1">INT((J111*Valores!$C$2*100)+0.5)/100</f>
        <v>0</v>
      </c>
      <c r="L111" s="121">
        <v>0</v>
      </c>
      <c r="M111" s="80">
        <f ca="1">INT((L111*Valores!$C$2*100)+0.5)/100</f>
        <v>0</v>
      </c>
      <c r="N111" s="80">
        <f t="shared" ca="1" si="13"/>
        <v>0</v>
      </c>
      <c r="O111" s="80">
        <f t="shared" ca="1" si="14"/>
        <v>10720.64</v>
      </c>
      <c r="P111" s="81">
        <f>Valores!$C$20</f>
        <v>2991.57</v>
      </c>
      <c r="Q111" s="81">
        <f ca="1">Valores!$D$4</f>
        <v>2296.75</v>
      </c>
      <c r="R111" s="85">
        <f>Valores!$C$26</f>
        <v>2298.92</v>
      </c>
      <c r="S111" s="88">
        <f>Valores!$C$40</f>
        <v>569.34</v>
      </c>
      <c r="T111" s="85">
        <f>Valores!$C$24</f>
        <v>2190.94</v>
      </c>
      <c r="U111" s="80">
        <f t="shared" ca="1" si="12"/>
        <v>4381.88</v>
      </c>
      <c r="V111" s="80">
        <v>0</v>
      </c>
      <c r="W111" s="80">
        <v>0</v>
      </c>
      <c r="X111" s="115">
        <v>0</v>
      </c>
      <c r="Y111" s="80">
        <f ca="1">X111*Valores!$C$2</f>
        <v>0</v>
      </c>
      <c r="Z111" s="80">
        <v>0</v>
      </c>
      <c r="AA111" s="90">
        <f>Valores!$C$29</f>
        <v>131.68</v>
      </c>
      <c r="AB111" s="80">
        <f t="shared" ca="1" si="15"/>
        <v>0</v>
      </c>
      <c r="AC111" s="80">
        <f>Valores!$C$30</f>
        <v>131.68</v>
      </c>
      <c r="AD111" s="115">
        <v>94</v>
      </c>
      <c r="AE111" s="80">
        <f ca="1">INT(((AD111*Valores!$C$2)*100)+0.5)/100</f>
        <v>482.66</v>
      </c>
      <c r="AF111" s="80">
        <f>Valores!$C$51</f>
        <v>267.87</v>
      </c>
      <c r="AG111" s="80">
        <f>Valores!$C$52</f>
        <v>76.540000000000006</v>
      </c>
      <c r="AH111" s="80">
        <f ca="1">SUM(G111,I111,K111,M111,N111,O111,P111,Q111,R111,S111,U111,V111,W111,Y111,Z111,AA111,AB111,AC111,AE111,AF111,AG111)*Valores!$C$54</f>
        <v>0</v>
      </c>
      <c r="AI111" s="54">
        <f t="shared" ca="1" si="18"/>
        <v>34500.83</v>
      </c>
      <c r="AJ111" s="81">
        <f>Valores!$C$35</f>
        <v>182.07</v>
      </c>
      <c r="AK111" s="82">
        <f>Valores!$C$6</f>
        <v>153.07</v>
      </c>
      <c r="AL111" s="90">
        <v>112.25</v>
      </c>
      <c r="AM111" s="82">
        <f ca="1">IF($G$4="SI",SUM(AK111+AL111),AK111)*Valores!$C$54</f>
        <v>0</v>
      </c>
      <c r="AN111" s="186">
        <f t="shared" ca="1" si="19"/>
        <v>447.39</v>
      </c>
      <c r="AO111" s="154">
        <f ca="1">AI111*-Valores!$C$56</f>
        <v>-4485.1079</v>
      </c>
      <c r="AP111" s="154">
        <f ca="1">AI111*-Valores!$C$57</f>
        <v>-172.50415000000001</v>
      </c>
      <c r="AQ111" s="81">
        <f ca="1">AI111*-Valores!$C$58</f>
        <v>-1552.5373500000001</v>
      </c>
      <c r="AR111" s="81">
        <f ca="1">AI111*-Valores!$C$59</f>
        <v>-931.52241000000015</v>
      </c>
      <c r="AS111" s="81">
        <f ca="1">AI111*-Valores!$C$60</f>
        <v>-103.50249000000001</v>
      </c>
      <c r="AT111" s="54">
        <f t="shared" ca="1" si="16"/>
        <v>28738.070600000003</v>
      </c>
      <c r="AU111" s="54">
        <f t="shared" ca="1" si="17"/>
        <v>29255.583050000005</v>
      </c>
      <c r="AV111" s="81">
        <f ca="1">AI111*Valores!$C$61</f>
        <v>5520.1328000000003</v>
      </c>
      <c r="AW111" s="81">
        <f ca="1">AI111*Valores!$C$62</f>
        <v>1552.5373500000001</v>
      </c>
      <c r="AX111" s="81">
        <f ca="1">AI111*Valores!$C$64</f>
        <v>345.00830000000002</v>
      </c>
      <c r="AY111" s="81">
        <f ca="1">AI111*Valores!$C$65</f>
        <v>1207.5290500000001</v>
      </c>
      <c r="AZ111" s="81">
        <f ca="1">AI111*Valores!$C$66</f>
        <v>207.00498000000002</v>
      </c>
      <c r="BA111" s="81">
        <f t="shared" ca="1" si="20"/>
        <v>1863.0448200000001</v>
      </c>
      <c r="BB111" s="55"/>
      <c r="BC111" s="55">
        <v>25</v>
      </c>
      <c r="BD111" s="52" t="s">
        <v>467</v>
      </c>
    </row>
    <row r="112" spans="1:56" s="9" customFormat="1" ht="11.25" customHeight="1" x14ac:dyDescent="0.15">
      <c r="A112" s="20">
        <v>111</v>
      </c>
      <c r="B112" s="20"/>
      <c r="C112" s="9" t="s">
        <v>200</v>
      </c>
      <c r="E112" s="10" t="s">
        <v>201</v>
      </c>
      <c r="F112" s="123">
        <v>61</v>
      </c>
      <c r="G112" s="7">
        <f ca="1">INT((F112*Valores!$C$2*100)+0.5)/100</f>
        <v>313.22000000000003</v>
      </c>
      <c r="H112" s="113">
        <v>1545</v>
      </c>
      <c r="I112" s="77">
        <f ca="1">INT((H112*Valores!$C$2*100)+0.5)/100</f>
        <v>7933.11</v>
      </c>
      <c r="J112" s="147">
        <v>0</v>
      </c>
      <c r="K112" s="77">
        <f ca="1">INT((J112*Valores!$C$2*100)+0.5)/100</f>
        <v>0</v>
      </c>
      <c r="L112" s="120">
        <v>0</v>
      </c>
      <c r="M112" s="77">
        <f ca="1">INT((L112*Valores!$C$2*100)+0.5)/100</f>
        <v>0</v>
      </c>
      <c r="N112" s="77">
        <f t="shared" ca="1" si="13"/>
        <v>0</v>
      </c>
      <c r="O112" s="77">
        <f t="shared" ca="1" si="14"/>
        <v>8815.67</v>
      </c>
      <c r="P112" s="78">
        <f>Valores!$C$20</f>
        <v>2991.57</v>
      </c>
      <c r="Q112" s="78">
        <f ca="1">Valores!$D$4</f>
        <v>2296.75</v>
      </c>
      <c r="R112" s="77">
        <f>Valores!$C$26</f>
        <v>2298.92</v>
      </c>
      <c r="S112" s="79">
        <f>Valores!$C$40</f>
        <v>569.34</v>
      </c>
      <c r="T112" s="61">
        <f>Valores!$C$24</f>
        <v>2190.94</v>
      </c>
      <c r="U112" s="77">
        <f t="shared" ca="1" si="12"/>
        <v>4381.88</v>
      </c>
      <c r="V112" s="77">
        <v>0</v>
      </c>
      <c r="W112" s="77">
        <v>0</v>
      </c>
      <c r="X112" s="116">
        <v>0</v>
      </c>
      <c r="Y112" s="77">
        <f ca="1">X112*Valores!$C$2</f>
        <v>0</v>
      </c>
      <c r="Z112" s="77">
        <v>0</v>
      </c>
      <c r="AA112" s="89">
        <f>Valores!$C$29</f>
        <v>131.68</v>
      </c>
      <c r="AB112" s="77">
        <f t="shared" ca="1" si="15"/>
        <v>0</v>
      </c>
      <c r="AC112" s="77">
        <f>Valores!$C$30</f>
        <v>131.68</v>
      </c>
      <c r="AD112" s="116">
        <v>94</v>
      </c>
      <c r="AE112" s="77">
        <f ca="1">INT(((AD112*Valores!$C$2)*100)+0.5)/100</f>
        <v>482.66</v>
      </c>
      <c r="AF112" s="77">
        <f>Valores!$C$51</f>
        <v>267.87</v>
      </c>
      <c r="AG112" s="77">
        <f>Valores!$C$52</f>
        <v>76.540000000000006</v>
      </c>
      <c r="AH112" s="77">
        <f ca="1">SUM(G112,I112,K112,M112,N112,O112,P112,Q112,R112,S112,U112,V112,W112,Y112,Z112,AA112,AB112,AC112,AE112,AF112,AG112)*Valores!$C$54</f>
        <v>0</v>
      </c>
      <c r="AI112" s="15">
        <f t="shared" ca="1" si="18"/>
        <v>30690.89</v>
      </c>
      <c r="AJ112" s="78">
        <f>Valores!$C$35</f>
        <v>182.07</v>
      </c>
      <c r="AK112" s="79">
        <f>Valores!$C$6</f>
        <v>153.07</v>
      </c>
      <c r="AL112" s="89">
        <v>0</v>
      </c>
      <c r="AM112" s="79">
        <f ca="1">IF($G$4="SI",SUM(AK112+AL112),AK112)*Valores!$C$54</f>
        <v>0</v>
      </c>
      <c r="AN112" s="12">
        <f t="shared" ca="1" si="19"/>
        <v>335.14</v>
      </c>
      <c r="AO112" s="153">
        <f ca="1">AI112*-Valores!$C$56</f>
        <v>-3989.8157000000001</v>
      </c>
      <c r="AP112" s="153">
        <f ca="1">AI112*-Valores!$C$57</f>
        <v>-153.45445000000001</v>
      </c>
      <c r="AQ112" s="78">
        <f ca="1">AI112*-Valores!$C$58</f>
        <v>-1381.09005</v>
      </c>
      <c r="AR112" s="78">
        <f ca="1">AI112*-Valores!$C$59</f>
        <v>-828.65403000000003</v>
      </c>
      <c r="AS112" s="78">
        <f ca="1">AI112*-Valores!$C$60</f>
        <v>-92.072670000000002</v>
      </c>
      <c r="AT112" s="15">
        <f t="shared" ca="1" si="16"/>
        <v>25501.6698</v>
      </c>
      <c r="AU112" s="15">
        <f t="shared" ca="1" si="17"/>
        <v>25962.033149999996</v>
      </c>
      <c r="AV112" s="78">
        <f ca="1">AI112*Valores!$C$61</f>
        <v>4910.5424000000003</v>
      </c>
      <c r="AW112" s="78">
        <f ca="1">AI112*Valores!$C$62</f>
        <v>1381.09005</v>
      </c>
      <c r="AX112" s="78">
        <f ca="1">AI112*Valores!$C$64</f>
        <v>306.90890000000002</v>
      </c>
      <c r="AY112" s="78">
        <f ca="1">AI112*Valores!$C$65</f>
        <v>1074.1811500000001</v>
      </c>
      <c r="AZ112" s="78">
        <f ca="1">AI112*Valores!$C$66</f>
        <v>184.14534</v>
      </c>
      <c r="BA112" s="78">
        <f t="shared" ca="1" si="20"/>
        <v>1657.3080600000001</v>
      </c>
      <c r="BB112" s="20"/>
      <c r="BC112" s="20">
        <v>25</v>
      </c>
      <c r="BD112" s="9" t="s">
        <v>466</v>
      </c>
    </row>
    <row r="113" spans="1:56" s="9" customFormat="1" ht="11.25" customHeight="1" x14ac:dyDescent="0.15">
      <c r="A113" s="20">
        <v>112</v>
      </c>
      <c r="B113" s="20"/>
      <c r="C113" s="9" t="s">
        <v>202</v>
      </c>
      <c r="E113" s="10" t="s">
        <v>203</v>
      </c>
      <c r="F113" s="123">
        <f>75+143</f>
        <v>218</v>
      </c>
      <c r="G113" s="7">
        <f ca="1">INT((F113*Valores!$C$2*100)+0.5)/100</f>
        <v>1119.3599999999999</v>
      </c>
      <c r="H113" s="113">
        <v>2100</v>
      </c>
      <c r="I113" s="77">
        <f ca="1">INT((H113*Valores!$C$2*100)+0.5)/100</f>
        <v>10782.87</v>
      </c>
      <c r="J113" s="147">
        <v>0</v>
      </c>
      <c r="K113" s="77">
        <f ca="1">INT((J113*Valores!$C$2*100)+0.5)/100</f>
        <v>0</v>
      </c>
      <c r="L113" s="120">
        <v>0</v>
      </c>
      <c r="M113" s="77">
        <f ca="1">INT((L113*Valores!$C$2*100)+0.5)/100</f>
        <v>0</v>
      </c>
      <c r="N113" s="77">
        <f t="shared" ca="1" si="13"/>
        <v>0</v>
      </c>
      <c r="O113" s="77">
        <f t="shared" ca="1" si="14"/>
        <v>12471.570000000002</v>
      </c>
      <c r="P113" s="78">
        <f>Valores!$C$20</f>
        <v>2991.57</v>
      </c>
      <c r="Q113" s="78">
        <f ca="1">Valores!$D$4</f>
        <v>2296.75</v>
      </c>
      <c r="R113" s="61">
        <f>Valores!$C$26</f>
        <v>2298.92</v>
      </c>
      <c r="S113" s="87">
        <f>Valores!$C$40</f>
        <v>569.34</v>
      </c>
      <c r="T113" s="61">
        <f>Valores!$C$24</f>
        <v>2190.94</v>
      </c>
      <c r="U113" s="77">
        <f t="shared" ref="U113:U176" ca="1" si="21">T113*(1+$I$2)</f>
        <v>4381.88</v>
      </c>
      <c r="V113" s="77">
        <v>0</v>
      </c>
      <c r="W113" s="77">
        <v>0</v>
      </c>
      <c r="X113" s="116">
        <v>0</v>
      </c>
      <c r="Y113" s="77">
        <f ca="1">X113*Valores!$C$2</f>
        <v>0</v>
      </c>
      <c r="Z113" s="77">
        <v>0</v>
      </c>
      <c r="AA113" s="89">
        <f>Valores!$C$29</f>
        <v>131.68</v>
      </c>
      <c r="AB113" s="77">
        <f t="shared" ca="1" si="15"/>
        <v>0</v>
      </c>
      <c r="AC113" s="77">
        <f>Valores!$C$30</f>
        <v>131.68</v>
      </c>
      <c r="AD113" s="116">
        <v>0</v>
      </c>
      <c r="AE113" s="77">
        <f ca="1">INT(((AD113*Valores!$C$2)*100)+0.5)/100</f>
        <v>0</v>
      </c>
      <c r="AF113" s="77">
        <f>Valores!$C$51</f>
        <v>267.87</v>
      </c>
      <c r="AG113" s="77">
        <f>Valores!$C$52</f>
        <v>76.540000000000006</v>
      </c>
      <c r="AH113" s="77">
        <f ca="1">SUM(G113,I113,K113,M113,N113,O113,P113,Q113,R113,S113,U113,V113,W113,Y113,Z113,AA113,AB113,AC113,AE113,AF113,AG113)*Valores!$C$54</f>
        <v>0</v>
      </c>
      <c r="AI113" s="15">
        <f t="shared" ca="1" si="18"/>
        <v>37520.03</v>
      </c>
      <c r="AJ113" s="78">
        <f>Valores!$C$35</f>
        <v>182.07</v>
      </c>
      <c r="AK113" s="79">
        <f>Valores!$C$6</f>
        <v>153.07</v>
      </c>
      <c r="AL113" s="89">
        <v>112.25</v>
      </c>
      <c r="AM113" s="79">
        <f ca="1">IF($G$4="SI",SUM(AK113+AL113),AK113)*Valores!$C$54</f>
        <v>0</v>
      </c>
      <c r="AN113" s="12">
        <f t="shared" ca="1" si="19"/>
        <v>447.39</v>
      </c>
      <c r="AO113" s="153">
        <f ca="1">AI113*-Valores!$C$56</f>
        <v>-4877.6039000000001</v>
      </c>
      <c r="AP113" s="153">
        <f ca="1">AI113*-Valores!$C$57</f>
        <v>-187.60014999999999</v>
      </c>
      <c r="AQ113" s="78">
        <f ca="1">AI113*-Valores!$C$58</f>
        <v>-1688.4013499999999</v>
      </c>
      <c r="AR113" s="78">
        <f ca="1">AI113*-Valores!$C$59</f>
        <v>-1013.0408100000001</v>
      </c>
      <c r="AS113" s="78">
        <f ca="1">AI113*-Valores!$C$60</f>
        <v>-112.56009</v>
      </c>
      <c r="AT113" s="15">
        <f t="shared" ca="1" si="16"/>
        <v>31213.814599999998</v>
      </c>
      <c r="AU113" s="15">
        <f t="shared" ca="1" si="17"/>
        <v>31776.61505</v>
      </c>
      <c r="AV113" s="78">
        <f ca="1">AI113*Valores!$C$61</f>
        <v>6003.2047999999995</v>
      </c>
      <c r="AW113" s="78">
        <f ca="1">AI113*Valores!$C$62</f>
        <v>1688.4013499999999</v>
      </c>
      <c r="AX113" s="78">
        <f ca="1">AI113*Valores!$C$64</f>
        <v>375.20029999999997</v>
      </c>
      <c r="AY113" s="78">
        <f ca="1">AI113*Valores!$C$65</f>
        <v>1313.2010500000001</v>
      </c>
      <c r="AZ113" s="78">
        <f ca="1">AI113*Valores!$C$66</f>
        <v>225.12018</v>
      </c>
      <c r="BA113" s="78">
        <f t="shared" ca="1" si="20"/>
        <v>2026.0816200000002</v>
      </c>
      <c r="BB113" s="20"/>
      <c r="BC113" s="20">
        <v>30</v>
      </c>
      <c r="BD113" s="9" t="s">
        <v>467</v>
      </c>
    </row>
    <row r="114" spans="1:56" s="9" customFormat="1" ht="11.25" customHeight="1" x14ac:dyDescent="0.15">
      <c r="A114" s="20">
        <v>113</v>
      </c>
      <c r="B114" s="20"/>
      <c r="C114" s="9" t="s">
        <v>204</v>
      </c>
      <c r="E114" s="10" t="s">
        <v>205</v>
      </c>
      <c r="F114" s="123">
        <f>77+143</f>
        <v>220</v>
      </c>
      <c r="G114" s="7">
        <f ca="1">INT((F114*Valores!$C$2*100)+0.5)/100</f>
        <v>1129.6300000000001</v>
      </c>
      <c r="H114" s="113">
        <v>1995</v>
      </c>
      <c r="I114" s="77">
        <f ca="1">INT((H114*Valores!$C$2*100)+0.5)/100</f>
        <v>10243.73</v>
      </c>
      <c r="J114" s="147">
        <v>0</v>
      </c>
      <c r="K114" s="77">
        <f ca="1">INT((J114*Valores!$C$2*100)+0.5)/100</f>
        <v>0</v>
      </c>
      <c r="L114" s="120">
        <v>0</v>
      </c>
      <c r="M114" s="77">
        <f ca="1">INT((L114*Valores!$C$2*100)+0.5)/100</f>
        <v>0</v>
      </c>
      <c r="N114" s="77">
        <f t="shared" ca="1" si="13"/>
        <v>0</v>
      </c>
      <c r="O114" s="77">
        <f t="shared" ca="1" si="14"/>
        <v>11942.7</v>
      </c>
      <c r="P114" s="78">
        <f>Valores!$C$20</f>
        <v>2991.57</v>
      </c>
      <c r="Q114" s="78">
        <f ca="1">Valores!$D$4</f>
        <v>2296.75</v>
      </c>
      <c r="R114" s="61">
        <f>Valores!$C$26</f>
        <v>2298.92</v>
      </c>
      <c r="S114" s="87">
        <f>Valores!$C$40</f>
        <v>569.34</v>
      </c>
      <c r="T114" s="61">
        <f>Valores!$C$24</f>
        <v>2190.94</v>
      </c>
      <c r="U114" s="77">
        <f t="shared" ca="1" si="21"/>
        <v>4381.88</v>
      </c>
      <c r="V114" s="77">
        <v>0</v>
      </c>
      <c r="W114" s="77">
        <v>0</v>
      </c>
      <c r="X114" s="116">
        <v>0</v>
      </c>
      <c r="Y114" s="77">
        <f ca="1">X114*Valores!$C$2</f>
        <v>0</v>
      </c>
      <c r="Z114" s="77">
        <v>0</v>
      </c>
      <c r="AA114" s="89">
        <f>Valores!$C$29</f>
        <v>131.68</v>
      </c>
      <c r="AB114" s="77">
        <f t="shared" ca="1" si="15"/>
        <v>0</v>
      </c>
      <c r="AC114" s="77">
        <f>Valores!$C$30</f>
        <v>131.68</v>
      </c>
      <c r="AD114" s="116">
        <v>0</v>
      </c>
      <c r="AE114" s="77">
        <f ca="1">INT(((AD114*Valores!$C$2)*100)+0.5)/100</f>
        <v>0</v>
      </c>
      <c r="AF114" s="77">
        <f>Valores!$C$51</f>
        <v>267.87</v>
      </c>
      <c r="AG114" s="77">
        <f>Valores!$C$52</f>
        <v>76.540000000000006</v>
      </c>
      <c r="AH114" s="77">
        <f ca="1">SUM(G114,I114,K114,M114,N114,O114,P114,Q114,R114,S114,U114,V114,W114,Y114,Z114,AA114,AB114,AC114,AE114,AF114,AG114)*Valores!$C$54</f>
        <v>0</v>
      </c>
      <c r="AI114" s="15">
        <f t="shared" ca="1" si="18"/>
        <v>36462.29</v>
      </c>
      <c r="AJ114" s="78">
        <f>Valores!$C$35</f>
        <v>182.07</v>
      </c>
      <c r="AK114" s="79">
        <f>Valores!$C$6</f>
        <v>153.07</v>
      </c>
      <c r="AL114" s="89">
        <v>112.25</v>
      </c>
      <c r="AM114" s="79">
        <f ca="1">IF($G$4="SI",SUM(AK114+AL114),AK114)*Valores!$C$54</f>
        <v>0</v>
      </c>
      <c r="AN114" s="12">
        <f t="shared" ca="1" si="19"/>
        <v>447.39</v>
      </c>
      <c r="AO114" s="153">
        <f ca="1">AI114*-Valores!$C$56</f>
        <v>-4740.0977000000003</v>
      </c>
      <c r="AP114" s="153">
        <f ca="1">AI114*-Valores!$C$57</f>
        <v>-182.31145000000001</v>
      </c>
      <c r="AQ114" s="78">
        <f ca="1">AI114*-Valores!$C$58</f>
        <v>-1640.80305</v>
      </c>
      <c r="AR114" s="78">
        <f ca="1">AI114*-Valores!$C$59</f>
        <v>-984.48183000000017</v>
      </c>
      <c r="AS114" s="78">
        <f ca="1">AI114*-Valores!$C$60</f>
        <v>-109.38687</v>
      </c>
      <c r="AT114" s="15">
        <f t="shared" ca="1" si="16"/>
        <v>30346.467799999999</v>
      </c>
      <c r="AU114" s="15">
        <f t="shared" ca="1" si="17"/>
        <v>30893.402150000005</v>
      </c>
      <c r="AV114" s="78">
        <f ca="1">AI114*Valores!$C$61</f>
        <v>5833.9664000000002</v>
      </c>
      <c r="AW114" s="78">
        <f ca="1">AI114*Valores!$C$62</f>
        <v>1640.80305</v>
      </c>
      <c r="AX114" s="78">
        <f ca="1">AI114*Valores!$C$64</f>
        <v>364.62290000000002</v>
      </c>
      <c r="AY114" s="78">
        <f ca="1">AI114*Valores!$C$65</f>
        <v>1276.1801500000001</v>
      </c>
      <c r="AZ114" s="78">
        <f ca="1">AI114*Valores!$C$66</f>
        <v>218.77374</v>
      </c>
      <c r="BA114" s="78">
        <f t="shared" ca="1" si="20"/>
        <v>1968.9636600000001</v>
      </c>
      <c r="BB114" s="20"/>
      <c r="BC114" s="55">
        <v>30</v>
      </c>
      <c r="BD114" s="9" t="s">
        <v>467</v>
      </c>
    </row>
    <row r="115" spans="1:56" s="9" customFormat="1" ht="11.25" customHeight="1" x14ac:dyDescent="0.15">
      <c r="A115" s="20">
        <v>114</v>
      </c>
      <c r="B115" s="20"/>
      <c r="C115" s="9" t="s">
        <v>206</v>
      </c>
      <c r="E115" s="10" t="s">
        <v>207</v>
      </c>
      <c r="F115" s="123">
        <f>72+115</f>
        <v>187</v>
      </c>
      <c r="G115" s="7">
        <f ca="1">INT((F115*Valores!$C$2*100)+0.5)/100</f>
        <v>960.19</v>
      </c>
      <c r="H115" s="113">
        <v>1704</v>
      </c>
      <c r="I115" s="77">
        <f ca="1">INT((H115*Valores!$C$2*100)+0.5)/100</f>
        <v>8749.5300000000007</v>
      </c>
      <c r="J115" s="147">
        <v>0</v>
      </c>
      <c r="K115" s="77">
        <f ca="1">INT((J115*Valores!$C$2*100)+0.5)/100</f>
        <v>0</v>
      </c>
      <c r="L115" s="120">
        <v>0</v>
      </c>
      <c r="M115" s="77">
        <f ca="1">INT((L115*Valores!$C$2*100)+0.5)/100</f>
        <v>0</v>
      </c>
      <c r="N115" s="77">
        <f t="shared" ca="1" si="13"/>
        <v>0</v>
      </c>
      <c r="O115" s="77">
        <f t="shared" ca="1" si="14"/>
        <v>10279.060000000001</v>
      </c>
      <c r="P115" s="78">
        <f>Valores!$C$20</f>
        <v>2991.57</v>
      </c>
      <c r="Q115" s="78">
        <f ca="1">Valores!$D$4</f>
        <v>2296.75</v>
      </c>
      <c r="R115" s="61">
        <f>Valores!$C$26</f>
        <v>2298.92</v>
      </c>
      <c r="S115" s="87">
        <f>Valores!$C$40</f>
        <v>569.34</v>
      </c>
      <c r="T115" s="61">
        <f>Valores!$C$24</f>
        <v>2190.94</v>
      </c>
      <c r="U115" s="77">
        <f t="shared" ca="1" si="21"/>
        <v>4381.88</v>
      </c>
      <c r="V115" s="77">
        <v>0</v>
      </c>
      <c r="W115" s="77">
        <v>0</v>
      </c>
      <c r="X115" s="116">
        <v>0</v>
      </c>
      <c r="Y115" s="77">
        <f ca="1">X115*Valores!$C$2</f>
        <v>0</v>
      </c>
      <c r="Z115" s="77">
        <v>0</v>
      </c>
      <c r="AA115" s="89">
        <f>Valores!$C$29</f>
        <v>131.68</v>
      </c>
      <c r="AB115" s="77">
        <f t="shared" ca="1" si="15"/>
        <v>0</v>
      </c>
      <c r="AC115" s="77">
        <f>Valores!$C$30</f>
        <v>131.68</v>
      </c>
      <c r="AD115" s="116">
        <v>0</v>
      </c>
      <c r="AE115" s="77">
        <f ca="1">INT(((AD115*Valores!$C$2)*100)+0.5)/100</f>
        <v>0</v>
      </c>
      <c r="AF115" s="77">
        <f>Valores!$C$51</f>
        <v>267.87</v>
      </c>
      <c r="AG115" s="77">
        <f>Valores!$C$52</f>
        <v>76.540000000000006</v>
      </c>
      <c r="AH115" s="77">
        <f ca="1">SUM(G115,I115,K115,M115,N115,O115,P115,Q115,R115,S115,U115,V115,W115,Y115,Z115,AA115,AB115,AC115,AE115,AF115,AG115)*Valores!$C$54</f>
        <v>0</v>
      </c>
      <c r="AI115" s="15">
        <f t="shared" ca="1" si="18"/>
        <v>33135.010000000009</v>
      </c>
      <c r="AJ115" s="78">
        <f>Valores!$C$35</f>
        <v>182.07</v>
      </c>
      <c r="AK115" s="79">
        <f>Valores!$C$6</f>
        <v>153.07</v>
      </c>
      <c r="AL115" s="89">
        <v>0</v>
      </c>
      <c r="AM115" s="79">
        <f ca="1">IF($G$4="SI",SUM(AK115+AL115),AK115)*Valores!$C$54</f>
        <v>0</v>
      </c>
      <c r="AN115" s="12">
        <f t="shared" ca="1" si="19"/>
        <v>335.14</v>
      </c>
      <c r="AO115" s="153">
        <f ca="1">AI115*-Valores!$C$56</f>
        <v>-4307.551300000001</v>
      </c>
      <c r="AP115" s="153">
        <f ca="1">AI115*-Valores!$C$57</f>
        <v>-165.67505000000006</v>
      </c>
      <c r="AQ115" s="78">
        <f ca="1">AI115*-Valores!$C$58</f>
        <v>-1491.0754500000003</v>
      </c>
      <c r="AR115" s="78">
        <f ca="1">AI115*-Valores!$C$59</f>
        <v>-894.64527000000032</v>
      </c>
      <c r="AS115" s="78">
        <f ca="1">AI115*-Valores!$C$60</f>
        <v>-99.405030000000025</v>
      </c>
      <c r="AT115" s="15">
        <f t="shared" ca="1" si="16"/>
        <v>27505.848200000008</v>
      </c>
      <c r="AU115" s="15">
        <f t="shared" ca="1" si="17"/>
        <v>28002.873350000009</v>
      </c>
      <c r="AV115" s="78">
        <f ca="1">AI115*Valores!$C$61</f>
        <v>5301.6016000000018</v>
      </c>
      <c r="AW115" s="78">
        <f ca="1">AI115*Valores!$C$62</f>
        <v>1491.0754500000003</v>
      </c>
      <c r="AX115" s="78">
        <f ca="1">AI115*Valores!$C$64</f>
        <v>331.35010000000011</v>
      </c>
      <c r="AY115" s="78">
        <f ca="1">AI115*Valores!$C$65</f>
        <v>1159.7253500000004</v>
      </c>
      <c r="AZ115" s="78">
        <f ca="1">AI115*Valores!$C$66</f>
        <v>198.81006000000005</v>
      </c>
      <c r="BA115" s="78">
        <f t="shared" ca="1" si="20"/>
        <v>1789.2905400000006</v>
      </c>
      <c r="BB115" s="20"/>
      <c r="BC115" s="20">
        <v>30</v>
      </c>
      <c r="BD115" s="9" t="s">
        <v>467</v>
      </c>
    </row>
    <row r="116" spans="1:56" s="9" customFormat="1" ht="11.25" customHeight="1" x14ac:dyDescent="0.15">
      <c r="A116" s="55">
        <v>115</v>
      </c>
      <c r="B116" s="55" t="s">
        <v>462</v>
      </c>
      <c r="C116" s="52" t="s">
        <v>208</v>
      </c>
      <c r="D116" s="52"/>
      <c r="E116" s="53" t="s">
        <v>209</v>
      </c>
      <c r="F116" s="124">
        <f>67+94</f>
        <v>161</v>
      </c>
      <c r="G116" s="129">
        <f ca="1">INT((F116*Valores!$C$2*100)+0.5)/100</f>
        <v>826.69</v>
      </c>
      <c r="H116" s="114">
        <v>1480</v>
      </c>
      <c r="I116" s="80">
        <f ca="1">INT((H116*Valores!$C$2*100)+0.5)/100</f>
        <v>7599.36</v>
      </c>
      <c r="J116" s="148">
        <v>0</v>
      </c>
      <c r="K116" s="80">
        <f ca="1">INT((J116*Valores!$C$2*100)+0.5)/100</f>
        <v>0</v>
      </c>
      <c r="L116" s="121">
        <v>0</v>
      </c>
      <c r="M116" s="80">
        <f ca="1">INT((L116*Valores!$C$2*100)+0.5)/100</f>
        <v>0</v>
      </c>
      <c r="N116" s="80">
        <f t="shared" ca="1" si="13"/>
        <v>0</v>
      </c>
      <c r="O116" s="80">
        <f t="shared" ca="1" si="14"/>
        <v>8995.39</v>
      </c>
      <c r="P116" s="81">
        <f>Valores!$C$20</f>
        <v>2991.57</v>
      </c>
      <c r="Q116" s="81">
        <f ca="1">Valores!$D$4</f>
        <v>2296.75</v>
      </c>
      <c r="R116" s="85">
        <f>Valores!$C$26</f>
        <v>2298.92</v>
      </c>
      <c r="S116" s="88">
        <f>Valores!$C$40</f>
        <v>569.34</v>
      </c>
      <c r="T116" s="85">
        <f>Valores!$C$24</f>
        <v>2190.94</v>
      </c>
      <c r="U116" s="80">
        <f t="shared" ca="1" si="21"/>
        <v>4381.88</v>
      </c>
      <c r="V116" s="80">
        <v>0</v>
      </c>
      <c r="W116" s="80">
        <v>0</v>
      </c>
      <c r="X116" s="115">
        <v>0</v>
      </c>
      <c r="Y116" s="80">
        <f ca="1">X116*Valores!$C$2</f>
        <v>0</v>
      </c>
      <c r="Z116" s="80">
        <v>0</v>
      </c>
      <c r="AA116" s="90">
        <f>Valores!$C$29</f>
        <v>131.68</v>
      </c>
      <c r="AB116" s="80">
        <f t="shared" ca="1" si="15"/>
        <v>0</v>
      </c>
      <c r="AC116" s="80">
        <f>Valores!$C$30</f>
        <v>131.68</v>
      </c>
      <c r="AD116" s="115">
        <v>0</v>
      </c>
      <c r="AE116" s="80">
        <f ca="1">INT(((AD116*Valores!$C$2)*100)+0.5)/100</f>
        <v>0</v>
      </c>
      <c r="AF116" s="80">
        <f>Valores!$C$51</f>
        <v>267.87</v>
      </c>
      <c r="AG116" s="80">
        <f>Valores!$C$52</f>
        <v>76.540000000000006</v>
      </c>
      <c r="AH116" s="80">
        <f ca="1">SUM(G116,I116,K116,M116,N116,O116,P116,Q116,R116,S116,U116,V116,W116,Y116,Z116,AA116,AB116,AC116,AE116,AF116,AG116)*Valores!$C$54</f>
        <v>0</v>
      </c>
      <c r="AI116" s="54">
        <f t="shared" ca="1" si="18"/>
        <v>30567.670000000002</v>
      </c>
      <c r="AJ116" s="81">
        <f>Valores!$C$35</f>
        <v>182.07</v>
      </c>
      <c r="AK116" s="82">
        <f>Valores!$C$6</f>
        <v>153.07</v>
      </c>
      <c r="AL116" s="90">
        <v>0</v>
      </c>
      <c r="AM116" s="82">
        <f ca="1">IF($G$4="SI",SUM(AK116+AL116),AK116)*Valores!$C$54</f>
        <v>0</v>
      </c>
      <c r="AN116" s="186">
        <f t="shared" ca="1" si="19"/>
        <v>335.14</v>
      </c>
      <c r="AO116" s="154">
        <f ca="1">AI116*-Valores!$C$56</f>
        <v>-3973.7971000000002</v>
      </c>
      <c r="AP116" s="154">
        <f ca="1">AI116*-Valores!$C$57</f>
        <v>-152.83835000000002</v>
      </c>
      <c r="AQ116" s="81">
        <f ca="1">AI116*-Valores!$C$58</f>
        <v>-1375.5451499999999</v>
      </c>
      <c r="AR116" s="81">
        <f ca="1">AI116*-Valores!$C$59</f>
        <v>-825.32709000000011</v>
      </c>
      <c r="AS116" s="81">
        <f ca="1">AI116*-Valores!$C$60</f>
        <v>-91.703010000000006</v>
      </c>
      <c r="AT116" s="54">
        <f t="shared" ca="1" si="16"/>
        <v>25400.629400000002</v>
      </c>
      <c r="AU116" s="54">
        <f t="shared" ca="1" si="17"/>
        <v>25859.14445</v>
      </c>
      <c r="AV116" s="81">
        <f ca="1">AI116*Valores!$C$61</f>
        <v>4890.8272000000006</v>
      </c>
      <c r="AW116" s="81">
        <f ca="1">AI116*Valores!$C$62</f>
        <v>1375.5451499999999</v>
      </c>
      <c r="AX116" s="81">
        <f ca="1">AI116*Valores!$C$64</f>
        <v>305.67670000000004</v>
      </c>
      <c r="AY116" s="81">
        <f ca="1">AI116*Valores!$C$65</f>
        <v>1069.8684500000002</v>
      </c>
      <c r="AZ116" s="81">
        <f ca="1">AI116*Valores!$C$66</f>
        <v>183.40602000000001</v>
      </c>
      <c r="BA116" s="81">
        <f t="shared" ca="1" si="20"/>
        <v>1650.6541800000005</v>
      </c>
      <c r="BB116" s="55"/>
      <c r="BC116" s="55">
        <v>30</v>
      </c>
      <c r="BD116" s="52" t="s">
        <v>467</v>
      </c>
    </row>
    <row r="117" spans="1:56" s="9" customFormat="1" ht="11.25" customHeight="1" x14ac:dyDescent="0.15">
      <c r="A117" s="20">
        <v>116</v>
      </c>
      <c r="B117" s="20"/>
      <c r="C117" s="9" t="s">
        <v>210</v>
      </c>
      <c r="E117" s="10" t="s">
        <v>211</v>
      </c>
      <c r="F117" s="123">
        <f>1184+94</f>
        <v>1278</v>
      </c>
      <c r="G117" s="7">
        <f ca="1">INT((F117*Valores!$C$2*100)+0.5)/100</f>
        <v>6562.15</v>
      </c>
      <c r="H117" s="134">
        <v>0</v>
      </c>
      <c r="I117" s="77">
        <f ca="1">INT((H117*Valores!$C$2*100)+0.5)/100</f>
        <v>0</v>
      </c>
      <c r="J117" s="147">
        <v>0</v>
      </c>
      <c r="K117" s="77">
        <f ca="1">INT((J117*Valores!$C$2*100)+0.5)/100</f>
        <v>0</v>
      </c>
      <c r="L117" s="120">
        <v>0</v>
      </c>
      <c r="M117" s="77">
        <f ca="1">INT((L117*Valores!$C$2*100)+0.5)/100</f>
        <v>0</v>
      </c>
      <c r="N117" s="77">
        <f t="shared" ca="1" si="13"/>
        <v>0</v>
      </c>
      <c r="O117" s="77">
        <f t="shared" ca="1" si="14"/>
        <v>7131.49</v>
      </c>
      <c r="P117" s="78">
        <f>Valores!$C$20</f>
        <v>2991.57</v>
      </c>
      <c r="Q117" s="78">
        <f ca="1">Valores!$D$4</f>
        <v>2296.75</v>
      </c>
      <c r="R117" s="77">
        <f>Valores!$C$26</f>
        <v>2298.92</v>
      </c>
      <c r="S117" s="79">
        <f>Valores!$C$40</f>
        <v>569.34</v>
      </c>
      <c r="T117" s="61">
        <f>Valores!$C$24</f>
        <v>2190.94</v>
      </c>
      <c r="U117" s="77">
        <f t="shared" ca="1" si="21"/>
        <v>4381.88</v>
      </c>
      <c r="V117" s="77">
        <v>0</v>
      </c>
      <c r="W117" s="77">
        <v>0</v>
      </c>
      <c r="X117" s="116">
        <v>0</v>
      </c>
      <c r="Y117" s="77">
        <f ca="1">X117*Valores!$C$2</f>
        <v>0</v>
      </c>
      <c r="Z117" s="77">
        <v>0</v>
      </c>
      <c r="AA117" s="89">
        <f>Valores!$C$29</f>
        <v>131.68</v>
      </c>
      <c r="AB117" s="77">
        <f t="shared" ca="1" si="15"/>
        <v>0</v>
      </c>
      <c r="AC117" s="77">
        <f>Valores!$C$30</f>
        <v>131.68</v>
      </c>
      <c r="AD117" s="116">
        <v>0</v>
      </c>
      <c r="AE117" s="77">
        <f ca="1">INT(((AD117*Valores!$C$2)*100)+0.5)/100</f>
        <v>0</v>
      </c>
      <c r="AF117" s="77">
        <f>Valores!$C$51</f>
        <v>267.87</v>
      </c>
      <c r="AG117" s="77">
        <f>Valores!$C$52</f>
        <v>76.540000000000006</v>
      </c>
      <c r="AH117" s="77">
        <f ca="1">SUM(G117,I117,K117,M117,N117,O117,P117,Q117,R117,S117,U117,V117,W117,Y117,Z117,AA117,AB117,AC117,AE117,AF117,AG117)*Valores!$C$54</f>
        <v>0</v>
      </c>
      <c r="AI117" s="15">
        <f t="shared" ca="1" si="18"/>
        <v>26839.87</v>
      </c>
      <c r="AJ117" s="78">
        <f>Valores!$C$35</f>
        <v>182.07</v>
      </c>
      <c r="AK117" s="79">
        <f>Valores!$C$6</f>
        <v>153.07</v>
      </c>
      <c r="AL117" s="89">
        <v>112.25</v>
      </c>
      <c r="AM117" s="79">
        <f ca="1">IF($G$4="SI",SUM(AK117+AL117),AK117)*Valores!$C$54</f>
        <v>0</v>
      </c>
      <c r="AN117" s="12">
        <f t="shared" ca="1" si="19"/>
        <v>447.39</v>
      </c>
      <c r="AO117" s="153">
        <f ca="1">AI117*-Valores!$C$56</f>
        <v>-3489.1831000000002</v>
      </c>
      <c r="AP117" s="153">
        <f ca="1">AI117*-Valores!$C$57</f>
        <v>-134.19935000000001</v>
      </c>
      <c r="AQ117" s="78">
        <f ca="1">AI117*-Valores!$C$58</f>
        <v>-1207.7941499999999</v>
      </c>
      <c r="AR117" s="78">
        <f ca="1">AI117*-Valores!$C$59</f>
        <v>-724.67649000000006</v>
      </c>
      <c r="AS117" s="78">
        <f ca="1">AI117*-Valores!$C$60</f>
        <v>-80.51961</v>
      </c>
      <c r="AT117" s="15">
        <f t="shared" ca="1" si="16"/>
        <v>22456.083399999996</v>
      </c>
      <c r="AU117" s="15">
        <f t="shared" ca="1" si="17"/>
        <v>22858.68145</v>
      </c>
      <c r="AV117" s="78">
        <f ca="1">AI117*Valores!$C$61</f>
        <v>4294.3792000000003</v>
      </c>
      <c r="AW117" s="78">
        <f ca="1">AI117*Valores!$C$62</f>
        <v>1207.7941499999999</v>
      </c>
      <c r="AX117" s="78">
        <f ca="1">AI117*Valores!$C$64</f>
        <v>268.39870000000002</v>
      </c>
      <c r="AY117" s="78">
        <f ca="1">AI117*Valores!$C$65</f>
        <v>939.3954500000001</v>
      </c>
      <c r="AZ117" s="78">
        <f ca="1">AI117*Valores!$C$66</f>
        <v>161.03922</v>
      </c>
      <c r="BA117" s="78">
        <f t="shared" ca="1" si="20"/>
        <v>1449.3529800000001</v>
      </c>
      <c r="BB117" s="20"/>
      <c r="BC117" s="20">
        <v>30</v>
      </c>
      <c r="BD117" s="9" t="s">
        <v>467</v>
      </c>
    </row>
    <row r="118" spans="1:56" s="9" customFormat="1" ht="11.25" customHeight="1" x14ac:dyDescent="0.15">
      <c r="A118" s="20">
        <v>117</v>
      </c>
      <c r="B118" s="20"/>
      <c r="C118" s="9" t="s">
        <v>212</v>
      </c>
      <c r="E118" s="10" t="s">
        <v>213</v>
      </c>
      <c r="F118" s="123">
        <v>77</v>
      </c>
      <c r="G118" s="7">
        <f ca="1">INT((F118*Valores!$C$2*100)+0.5)/100</f>
        <v>395.37</v>
      </c>
      <c r="H118" s="134">
        <v>2073</v>
      </c>
      <c r="I118" s="77">
        <f ca="1">INT((H118*Valores!$C$2*100)+0.5)/100</f>
        <v>10644.23</v>
      </c>
      <c r="J118" s="147">
        <v>0</v>
      </c>
      <c r="K118" s="77">
        <f ca="1">INT((J118*Valores!$C$2*100)+0.5)/100</f>
        <v>0</v>
      </c>
      <c r="L118" s="120">
        <v>0</v>
      </c>
      <c r="M118" s="77">
        <f ca="1">INT((L118*Valores!$C$2*100)+0.5)/100</f>
        <v>0</v>
      </c>
      <c r="N118" s="77">
        <f t="shared" ca="1" si="13"/>
        <v>0</v>
      </c>
      <c r="O118" s="77">
        <f t="shared" ca="1" si="14"/>
        <v>11798.73</v>
      </c>
      <c r="P118" s="78">
        <f>Valores!$C$15</f>
        <v>3144.64</v>
      </c>
      <c r="Q118" s="78">
        <f ca="1">Valores!$D$4</f>
        <v>2296.75</v>
      </c>
      <c r="R118" s="61">
        <f>Valores!$C$26</f>
        <v>2298.92</v>
      </c>
      <c r="S118" s="87">
        <f>Valores!$C$42</f>
        <v>759.13</v>
      </c>
      <c r="T118" s="77">
        <f>Valores!$C$23</f>
        <v>2221.56</v>
      </c>
      <c r="U118" s="77">
        <f t="shared" ca="1" si="21"/>
        <v>4443.12</v>
      </c>
      <c r="V118" s="77">
        <v>0</v>
      </c>
      <c r="W118" s="77">
        <v>0</v>
      </c>
      <c r="X118" s="116">
        <v>0</v>
      </c>
      <c r="Y118" s="77">
        <f ca="1">X118*Valores!$C$2</f>
        <v>0</v>
      </c>
      <c r="Z118" s="77">
        <v>0</v>
      </c>
      <c r="AA118" s="89">
        <f>Valores!$C$29</f>
        <v>131.68</v>
      </c>
      <c r="AB118" s="77">
        <f t="shared" ca="1" si="15"/>
        <v>0</v>
      </c>
      <c r="AC118" s="77">
        <f>Valores!$C$30</f>
        <v>131.68</v>
      </c>
      <c r="AD118" s="116">
        <v>0</v>
      </c>
      <c r="AE118" s="77">
        <f ca="1">INT(((AD118*Valores!$C$2)*100)+0.5)/100</f>
        <v>0</v>
      </c>
      <c r="AF118" s="77">
        <f>Valores!$C$51</f>
        <v>267.87</v>
      </c>
      <c r="AG118" s="77">
        <f>Valores!$C$52</f>
        <v>76.540000000000006</v>
      </c>
      <c r="AH118" s="77">
        <f ca="1">SUM(G118,I118,K118,M118,N118,O118,P118,Q118,R118,S118,U118,V118,W118,Y118,Z118,AA118,AB118,AC118,AE118,AF118,AG118)*Valores!$C$54</f>
        <v>0</v>
      </c>
      <c r="AI118" s="15">
        <f t="shared" ca="1" si="18"/>
        <v>36388.660000000003</v>
      </c>
      <c r="AJ118" s="78">
        <f>Valores!$C$35</f>
        <v>182.07</v>
      </c>
      <c r="AK118" s="79">
        <f>Valores!$C$8</f>
        <v>204.1</v>
      </c>
      <c r="AL118" s="89">
        <v>0</v>
      </c>
      <c r="AM118" s="79">
        <f ca="1">IF($G$4="SI",SUM(AK118+AL118),AK118)*Valores!$C$54</f>
        <v>0</v>
      </c>
      <c r="AN118" s="12">
        <f t="shared" ca="1" si="19"/>
        <v>386.16999999999996</v>
      </c>
      <c r="AO118" s="153">
        <f ca="1">AI118*-Valores!$C$56</f>
        <v>-4730.5258000000003</v>
      </c>
      <c r="AP118" s="153">
        <f ca="1">AI118*-Valores!$C$57</f>
        <v>-181.94330000000002</v>
      </c>
      <c r="AQ118" s="78">
        <f ca="1">AI118*-Valores!$C$58</f>
        <v>-1637.4897000000001</v>
      </c>
      <c r="AR118" s="78">
        <f ca="1">AI118*-Valores!$C$59</f>
        <v>-982.49382000000026</v>
      </c>
      <c r="AS118" s="78">
        <f ca="1">AI118*-Valores!$C$60</f>
        <v>-109.16598000000002</v>
      </c>
      <c r="AT118" s="15">
        <f t="shared" ca="1" si="16"/>
        <v>30224.871200000005</v>
      </c>
      <c r="AU118" s="15">
        <f t="shared" ca="1" si="17"/>
        <v>30770.701099999998</v>
      </c>
      <c r="AV118" s="78">
        <f ca="1">AI118*Valores!$C$61</f>
        <v>5822.1856000000007</v>
      </c>
      <c r="AW118" s="78">
        <f ca="1">AI118*Valores!$C$62</f>
        <v>1637.4897000000001</v>
      </c>
      <c r="AX118" s="78">
        <f ca="1">AI118*Valores!$C$64</f>
        <v>363.88660000000004</v>
      </c>
      <c r="AY118" s="78">
        <f ca="1">AI118*Valores!$C$65</f>
        <v>1273.6031000000003</v>
      </c>
      <c r="AZ118" s="78">
        <f ca="1">AI118*Valores!$C$66</f>
        <v>218.33196000000004</v>
      </c>
      <c r="BA118" s="78">
        <f t="shared" ca="1" si="20"/>
        <v>1964.9876400000003</v>
      </c>
      <c r="BB118" s="20"/>
      <c r="BC118" s="20">
        <v>30</v>
      </c>
      <c r="BD118" s="9" t="s">
        <v>467</v>
      </c>
    </row>
    <row r="119" spans="1:56" s="9" customFormat="1" ht="11.25" customHeight="1" x14ac:dyDescent="0.15">
      <c r="A119" s="20">
        <v>118</v>
      </c>
      <c r="B119" s="20"/>
      <c r="C119" s="9" t="s">
        <v>214</v>
      </c>
      <c r="E119" s="10" t="s">
        <v>215</v>
      </c>
      <c r="F119" s="123">
        <v>77</v>
      </c>
      <c r="G119" s="7">
        <f ca="1">INT((F119*Valores!$C$2*100)+0.5)/100</f>
        <v>395.37</v>
      </c>
      <c r="H119" s="134">
        <v>2043</v>
      </c>
      <c r="I119" s="77">
        <f ca="1">INT((H119*Valores!$C$2*100)+0.5)/100</f>
        <v>10490.19</v>
      </c>
      <c r="J119" s="147">
        <v>0</v>
      </c>
      <c r="K119" s="77">
        <f ca="1">INT((J119*Valores!$C$2*100)+0.5)/100</f>
        <v>0</v>
      </c>
      <c r="L119" s="120">
        <v>0</v>
      </c>
      <c r="M119" s="77">
        <f ca="1">INT((L119*Valores!$C$2*100)+0.5)/100</f>
        <v>0</v>
      </c>
      <c r="N119" s="77">
        <f t="shared" ca="1" si="13"/>
        <v>0</v>
      </c>
      <c r="O119" s="77">
        <f t="shared" ca="1" si="14"/>
        <v>11644.69</v>
      </c>
      <c r="P119" s="78">
        <f>Valores!$C$16</f>
        <v>3165.05</v>
      </c>
      <c r="Q119" s="78">
        <f ca="1">Valores!$D$4</f>
        <v>2296.75</v>
      </c>
      <c r="R119" s="61">
        <f>Valores!$C$26</f>
        <v>2298.92</v>
      </c>
      <c r="S119" s="87">
        <f>Valores!$C$42</f>
        <v>759.13</v>
      </c>
      <c r="T119" s="77">
        <f>Valores!$C$23</f>
        <v>2221.56</v>
      </c>
      <c r="U119" s="77">
        <f t="shared" ca="1" si="21"/>
        <v>4443.12</v>
      </c>
      <c r="V119" s="77">
        <v>0</v>
      </c>
      <c r="W119" s="77">
        <v>0</v>
      </c>
      <c r="X119" s="116">
        <v>0</v>
      </c>
      <c r="Y119" s="77">
        <f ca="1">X119*Valores!$C$2</f>
        <v>0</v>
      </c>
      <c r="Z119" s="77">
        <v>0</v>
      </c>
      <c r="AA119" s="89">
        <f>Valores!$C$29</f>
        <v>131.68</v>
      </c>
      <c r="AB119" s="77">
        <f t="shared" ca="1" si="15"/>
        <v>0</v>
      </c>
      <c r="AC119" s="77">
        <f>Valores!$C$30</f>
        <v>131.68</v>
      </c>
      <c r="AD119" s="116">
        <v>0</v>
      </c>
      <c r="AE119" s="77">
        <f ca="1">INT(((AD119*Valores!$C$2)*100)+0.5)/100</f>
        <v>0</v>
      </c>
      <c r="AF119" s="77">
        <f>Valores!$C$51</f>
        <v>267.87</v>
      </c>
      <c r="AG119" s="77">
        <f>Valores!$C$52</f>
        <v>76.540000000000006</v>
      </c>
      <c r="AH119" s="77">
        <f ca="1">SUM(G119,I119,K119,M119,N119,O119,P119,Q119,R119,S119,U119,V119,W119,Y119,Z119,AA119,AB119,AC119,AE119,AF119,AG119)*Valores!$C$54</f>
        <v>0</v>
      </c>
      <c r="AI119" s="15">
        <f t="shared" ca="1" si="18"/>
        <v>36100.990000000005</v>
      </c>
      <c r="AJ119" s="78">
        <f>Valores!$C$35</f>
        <v>182.07</v>
      </c>
      <c r="AK119" s="79">
        <f>Valores!$C$8</f>
        <v>204.1</v>
      </c>
      <c r="AL119" s="89">
        <v>112.25</v>
      </c>
      <c r="AM119" s="79">
        <f ca="1">IF($G$4="SI",SUM(AK119+AL119),AK119)*Valores!$C$54</f>
        <v>0</v>
      </c>
      <c r="AN119" s="12">
        <f t="shared" ca="1" si="19"/>
        <v>498.41999999999996</v>
      </c>
      <c r="AO119" s="153">
        <f ca="1">AI119*-Valores!$C$56</f>
        <v>-4693.1287000000011</v>
      </c>
      <c r="AP119" s="153">
        <f ca="1">AI119*-Valores!$C$57</f>
        <v>-180.50495000000004</v>
      </c>
      <c r="AQ119" s="78">
        <f ca="1">AI119*-Valores!$C$58</f>
        <v>-1624.5445500000001</v>
      </c>
      <c r="AR119" s="78">
        <f ca="1">AI119*-Valores!$C$59</f>
        <v>-974.7267300000002</v>
      </c>
      <c r="AS119" s="78">
        <f ca="1">AI119*-Valores!$C$60</f>
        <v>-108.30297000000002</v>
      </c>
      <c r="AT119" s="15">
        <f t="shared" ca="1" si="16"/>
        <v>30101.231800000001</v>
      </c>
      <c r="AU119" s="15">
        <f t="shared" ca="1" si="17"/>
        <v>30642.746649999997</v>
      </c>
      <c r="AV119" s="78">
        <f ca="1">AI119*Valores!$C$61</f>
        <v>5776.1584000000012</v>
      </c>
      <c r="AW119" s="78">
        <f ca="1">AI119*Valores!$C$62</f>
        <v>1624.5445500000001</v>
      </c>
      <c r="AX119" s="78">
        <f ca="1">AI119*Valores!$C$64</f>
        <v>361.00990000000007</v>
      </c>
      <c r="AY119" s="78">
        <f ca="1">AI119*Valores!$C$65</f>
        <v>1263.5346500000003</v>
      </c>
      <c r="AZ119" s="78">
        <f ca="1">AI119*Valores!$C$66</f>
        <v>216.60594000000003</v>
      </c>
      <c r="BA119" s="78">
        <f t="shared" ca="1" si="20"/>
        <v>1949.4534600000004</v>
      </c>
      <c r="BB119" s="20"/>
      <c r="BC119" s="55">
        <v>30</v>
      </c>
      <c r="BD119" s="9" t="s">
        <v>467</v>
      </c>
    </row>
    <row r="120" spans="1:56" s="9" customFormat="1" ht="11.25" customHeight="1" x14ac:dyDescent="0.15">
      <c r="A120" s="20">
        <v>119</v>
      </c>
      <c r="B120" s="20"/>
      <c r="C120" s="9" t="s">
        <v>216</v>
      </c>
      <c r="E120" s="10" t="s">
        <v>217</v>
      </c>
      <c r="F120" s="123">
        <v>76</v>
      </c>
      <c r="G120" s="7">
        <f ca="1">INT((F120*Valores!$C$2*100)+0.5)/100</f>
        <v>390.24</v>
      </c>
      <c r="H120" s="134">
        <v>1954</v>
      </c>
      <c r="I120" s="77">
        <f ca="1">INT((H120*Valores!$C$2*100)+0.5)/100</f>
        <v>10033.200000000001</v>
      </c>
      <c r="J120" s="147">
        <v>0</v>
      </c>
      <c r="K120" s="77">
        <f ca="1">INT((J120*Valores!$C$2*100)+0.5)/100</f>
        <v>0</v>
      </c>
      <c r="L120" s="120">
        <v>0</v>
      </c>
      <c r="M120" s="77">
        <f ca="1">INT((L120*Valores!$C$2*100)+0.5)/100</f>
        <v>0</v>
      </c>
      <c r="N120" s="77">
        <f t="shared" ca="1" si="13"/>
        <v>0</v>
      </c>
      <c r="O120" s="77">
        <f t="shared" ca="1" si="14"/>
        <v>11182.57</v>
      </c>
      <c r="P120" s="78">
        <f>Valores!$C$16</f>
        <v>3165.05</v>
      </c>
      <c r="Q120" s="78">
        <f ca="1">Valores!$D$4</f>
        <v>2296.75</v>
      </c>
      <c r="R120" s="61">
        <f>Valores!$C$26</f>
        <v>2298.92</v>
      </c>
      <c r="S120" s="87">
        <f>Valores!$C$42</f>
        <v>759.13</v>
      </c>
      <c r="T120" s="77">
        <f>Valores!$C$23</f>
        <v>2221.56</v>
      </c>
      <c r="U120" s="77">
        <f t="shared" ca="1" si="21"/>
        <v>4443.12</v>
      </c>
      <c r="V120" s="77">
        <v>0</v>
      </c>
      <c r="W120" s="77">
        <v>0</v>
      </c>
      <c r="X120" s="116">
        <v>0</v>
      </c>
      <c r="Y120" s="77">
        <f ca="1">X120*Valores!$C$2</f>
        <v>0</v>
      </c>
      <c r="Z120" s="77">
        <v>0</v>
      </c>
      <c r="AA120" s="89">
        <f>Valores!$C$29</f>
        <v>131.68</v>
      </c>
      <c r="AB120" s="77">
        <f t="shared" ca="1" si="15"/>
        <v>0</v>
      </c>
      <c r="AC120" s="77">
        <f>Valores!$C$30</f>
        <v>131.68</v>
      </c>
      <c r="AD120" s="116">
        <v>0</v>
      </c>
      <c r="AE120" s="77">
        <f ca="1">INT(((AD120*Valores!$C$2)*100)+0.5)/100</f>
        <v>0</v>
      </c>
      <c r="AF120" s="77">
        <f>Valores!$C$51</f>
        <v>267.87</v>
      </c>
      <c r="AG120" s="77">
        <f>Valores!$C$52</f>
        <v>76.540000000000006</v>
      </c>
      <c r="AH120" s="77">
        <f ca="1">SUM(G120,I120,K120,M120,N120,O120,P120,Q120,R120,S120,U120,V120,W120,Y120,Z120,AA120,AB120,AC120,AE120,AF120,AG120)*Valores!$C$54</f>
        <v>0</v>
      </c>
      <c r="AI120" s="15">
        <f t="shared" ca="1" si="18"/>
        <v>35176.750000000007</v>
      </c>
      <c r="AJ120" s="78">
        <f>Valores!$C$35</f>
        <v>182.07</v>
      </c>
      <c r="AK120" s="79">
        <f>Valores!$C$8</f>
        <v>204.1</v>
      </c>
      <c r="AL120" s="89">
        <v>0</v>
      </c>
      <c r="AM120" s="79">
        <f ca="1">IF($G$4="SI",SUM(AK120+AL120),AK120)*Valores!$C$54</f>
        <v>0</v>
      </c>
      <c r="AN120" s="12">
        <f t="shared" ca="1" si="19"/>
        <v>386.16999999999996</v>
      </c>
      <c r="AO120" s="153">
        <f ca="1">AI120*-Valores!$C$56</f>
        <v>-4572.9775000000009</v>
      </c>
      <c r="AP120" s="153">
        <f ca="1">AI120*-Valores!$C$57</f>
        <v>-175.88375000000005</v>
      </c>
      <c r="AQ120" s="78">
        <f ca="1">AI120*-Valores!$C$58</f>
        <v>-1582.9537500000004</v>
      </c>
      <c r="AR120" s="78">
        <f ca="1">AI120*-Valores!$C$59</f>
        <v>-949.77225000000033</v>
      </c>
      <c r="AS120" s="78">
        <f ca="1">AI120*-Valores!$C$60</f>
        <v>-105.53025000000002</v>
      </c>
      <c r="AT120" s="15">
        <f t="shared" ca="1" si="16"/>
        <v>29231.105000000003</v>
      </c>
      <c r="AU120" s="15">
        <f t="shared" ca="1" si="17"/>
        <v>29758.756250000002</v>
      </c>
      <c r="AV120" s="78">
        <f ca="1">AI120*Valores!$C$61</f>
        <v>5628.2800000000016</v>
      </c>
      <c r="AW120" s="78">
        <f ca="1">AI120*Valores!$C$62</f>
        <v>1582.9537500000004</v>
      </c>
      <c r="AX120" s="78">
        <f ca="1">AI120*Valores!$C$64</f>
        <v>351.7675000000001</v>
      </c>
      <c r="AY120" s="78">
        <f ca="1">AI120*Valores!$C$65</f>
        <v>1231.1862500000004</v>
      </c>
      <c r="AZ120" s="78">
        <f ca="1">AI120*Valores!$C$66</f>
        <v>211.06050000000005</v>
      </c>
      <c r="BA120" s="78">
        <f t="shared" ca="1" si="20"/>
        <v>1899.5445000000004</v>
      </c>
      <c r="BB120" s="20"/>
      <c r="BC120" s="20">
        <v>30</v>
      </c>
      <c r="BD120" s="9" t="s">
        <v>467</v>
      </c>
    </row>
    <row r="121" spans="1:56" s="9" customFormat="1" ht="11.25" customHeight="1" x14ac:dyDescent="0.15">
      <c r="A121" s="55">
        <v>120</v>
      </c>
      <c r="B121" s="55" t="s">
        <v>462</v>
      </c>
      <c r="C121" s="52" t="s">
        <v>218</v>
      </c>
      <c r="D121" s="52"/>
      <c r="E121" s="53" t="s">
        <v>219</v>
      </c>
      <c r="F121" s="124">
        <v>274</v>
      </c>
      <c r="G121" s="129">
        <f ca="1">INT((F121*Valores!$C$2*100)+0.5)/100</f>
        <v>1406.91</v>
      </c>
      <c r="H121" s="133">
        <v>1163</v>
      </c>
      <c r="I121" s="80">
        <f ca="1">INT((H121*Valores!$C$2*100)+0.5)/100</f>
        <v>5971.66</v>
      </c>
      <c r="J121" s="148">
        <v>0</v>
      </c>
      <c r="K121" s="80">
        <f ca="1">INT((J121*Valores!$C$2*100)+0.5)/100</f>
        <v>0</v>
      </c>
      <c r="L121" s="121">
        <v>0</v>
      </c>
      <c r="M121" s="80">
        <f ca="1">INT((L121*Valores!$C$2*100)+0.5)/100</f>
        <v>0</v>
      </c>
      <c r="N121" s="80">
        <f t="shared" ca="1" si="13"/>
        <v>0</v>
      </c>
      <c r="O121" s="80">
        <f t="shared" ca="1" si="14"/>
        <v>8137.7</v>
      </c>
      <c r="P121" s="81">
        <f>Valores!$C$16</f>
        <v>3165.05</v>
      </c>
      <c r="Q121" s="81">
        <f ca="1">Valores!$D$4</f>
        <v>2296.75</v>
      </c>
      <c r="R121" s="85">
        <f>Valores!$C$26</f>
        <v>2298.92</v>
      </c>
      <c r="S121" s="88">
        <f>Valores!$C$42</f>
        <v>759.13</v>
      </c>
      <c r="T121" s="80">
        <f>Valores!$C$23</f>
        <v>2221.56</v>
      </c>
      <c r="U121" s="80">
        <f t="shared" ca="1" si="21"/>
        <v>4443.12</v>
      </c>
      <c r="V121" s="80">
        <v>0</v>
      </c>
      <c r="W121" s="80">
        <v>0</v>
      </c>
      <c r="X121" s="115">
        <v>0</v>
      </c>
      <c r="Y121" s="80">
        <f ca="1">X121*Valores!$C$2</f>
        <v>0</v>
      </c>
      <c r="Z121" s="80">
        <v>0</v>
      </c>
      <c r="AA121" s="90">
        <f>Valores!$C$29</f>
        <v>131.68</v>
      </c>
      <c r="AB121" s="80">
        <f t="shared" ca="1" si="15"/>
        <v>0</v>
      </c>
      <c r="AC121" s="80">
        <f>Valores!$C$30</f>
        <v>131.68</v>
      </c>
      <c r="AD121" s="115">
        <v>0</v>
      </c>
      <c r="AE121" s="80">
        <f ca="1">INT(((AD121*Valores!$C$2)*100)+0.5)/100</f>
        <v>0</v>
      </c>
      <c r="AF121" s="80">
        <f>Valores!$C$51</f>
        <v>267.87</v>
      </c>
      <c r="AG121" s="80">
        <f>Valores!$C$52</f>
        <v>76.540000000000006</v>
      </c>
      <c r="AH121" s="80">
        <f ca="1">SUM(G121,I121,K121,M121,N121,O121,P121,Q121,R121,S121,U121,V121,W121,Y121,Z121,AA121,AB121,AC121,AE121,AF121,AG121)*Valores!$C$54</f>
        <v>0</v>
      </c>
      <c r="AI121" s="54">
        <f t="shared" ca="1" si="18"/>
        <v>29087.01</v>
      </c>
      <c r="AJ121" s="81">
        <f>Valores!$C$35</f>
        <v>182.07</v>
      </c>
      <c r="AK121" s="82">
        <f>Valores!$C$8</f>
        <v>204.1</v>
      </c>
      <c r="AL121" s="90">
        <v>0</v>
      </c>
      <c r="AM121" s="82">
        <f ca="1">IF($G$4="SI",SUM(AK121+AL121),AK121)*Valores!$C$54</f>
        <v>0</v>
      </c>
      <c r="AN121" s="186">
        <f t="shared" ca="1" si="19"/>
        <v>386.16999999999996</v>
      </c>
      <c r="AO121" s="154">
        <f ca="1">AI121*-Valores!$C$56</f>
        <v>-3781.3112999999998</v>
      </c>
      <c r="AP121" s="154">
        <f ca="1">AI121*-Valores!$C$57</f>
        <v>-145.43504999999999</v>
      </c>
      <c r="AQ121" s="81">
        <f ca="1">AI121*-Valores!$C$58</f>
        <v>-1308.91545</v>
      </c>
      <c r="AR121" s="81">
        <f ca="1">AI121*-Valores!$C$59</f>
        <v>-785.34927000000005</v>
      </c>
      <c r="AS121" s="81">
        <f ca="1">AI121*-Valores!$C$60</f>
        <v>-87.261029999999991</v>
      </c>
      <c r="AT121" s="54">
        <f t="shared" ca="1" si="16"/>
        <v>24237.518199999995</v>
      </c>
      <c r="AU121" s="54">
        <f t="shared" ca="1" si="17"/>
        <v>24673.823349999995</v>
      </c>
      <c r="AV121" s="81">
        <f ca="1">AI121*Valores!$C$61</f>
        <v>4653.9215999999997</v>
      </c>
      <c r="AW121" s="81">
        <f ca="1">AI121*Valores!$C$62</f>
        <v>1308.91545</v>
      </c>
      <c r="AX121" s="81">
        <f ca="1">AI121*Valores!$C$64</f>
        <v>290.87009999999998</v>
      </c>
      <c r="AY121" s="81">
        <f ca="1">AI121*Valores!$C$65</f>
        <v>1018.04535</v>
      </c>
      <c r="AZ121" s="81">
        <f ca="1">AI121*Valores!$C$66</f>
        <v>174.52205999999998</v>
      </c>
      <c r="BA121" s="81">
        <f t="shared" ca="1" si="20"/>
        <v>1570.6985399999999</v>
      </c>
      <c r="BB121" s="55"/>
      <c r="BC121" s="55">
        <v>30</v>
      </c>
      <c r="BD121" s="52" t="s">
        <v>467</v>
      </c>
    </row>
    <row r="122" spans="1:56" s="9" customFormat="1" ht="11.25" customHeight="1" x14ac:dyDescent="0.15">
      <c r="A122" s="20">
        <v>121</v>
      </c>
      <c r="B122" s="20"/>
      <c r="C122" s="9" t="s">
        <v>220</v>
      </c>
      <c r="E122" s="10" t="s">
        <v>221</v>
      </c>
      <c r="F122" s="123">
        <v>2800</v>
      </c>
      <c r="G122" s="7">
        <f ca="1">INT((F122*Valores!$C$2*100)+0.5)/100</f>
        <v>14377.16</v>
      </c>
      <c r="H122" s="134">
        <v>0</v>
      </c>
      <c r="I122" s="77">
        <f ca="1">INT((H122*Valores!$C$2*100)+0.5)/100</f>
        <v>0</v>
      </c>
      <c r="J122" s="147">
        <v>0</v>
      </c>
      <c r="K122" s="77">
        <f ca="1">INT((J122*Valores!$C$2*100)+0.5)/100</f>
        <v>0</v>
      </c>
      <c r="L122" s="120">
        <v>0</v>
      </c>
      <c r="M122" s="77">
        <f ca="1">INT((L122*Valores!$C$2*100)+0.5)/100</f>
        <v>0</v>
      </c>
      <c r="N122" s="77">
        <f t="shared" ca="1" si="13"/>
        <v>0</v>
      </c>
      <c r="O122" s="77">
        <f t="shared" ca="1" si="14"/>
        <v>15515.85</v>
      </c>
      <c r="P122" s="78">
        <f>Valores!$C$20</f>
        <v>2991.57</v>
      </c>
      <c r="Q122" s="78">
        <f ca="1">Valores!$D$4</f>
        <v>2296.75</v>
      </c>
      <c r="R122" s="77">
        <f>Valores!$C$26</f>
        <v>2298.92</v>
      </c>
      <c r="S122" s="79">
        <f>Valores!$C$43</f>
        <v>1138.69</v>
      </c>
      <c r="T122" s="61">
        <f>Valores!$C$24</f>
        <v>2190.94</v>
      </c>
      <c r="U122" s="77">
        <f t="shared" ca="1" si="21"/>
        <v>4381.88</v>
      </c>
      <c r="V122" s="77">
        <v>0</v>
      </c>
      <c r="W122" s="77">
        <v>0</v>
      </c>
      <c r="X122" s="116">
        <v>0</v>
      </c>
      <c r="Y122" s="77">
        <f ca="1">X122*Valores!$C$2</f>
        <v>0</v>
      </c>
      <c r="Z122" s="77">
        <v>0</v>
      </c>
      <c r="AA122" s="89">
        <f>Valores!$C$29</f>
        <v>131.68</v>
      </c>
      <c r="AB122" s="77">
        <f t="shared" ca="1" si="15"/>
        <v>0</v>
      </c>
      <c r="AC122" s="77">
        <f>Valores!$C$30</f>
        <v>131.68</v>
      </c>
      <c r="AD122" s="116">
        <v>0</v>
      </c>
      <c r="AE122" s="77">
        <f ca="1">INT(((AD122*Valores!$C$2)*100)+0.5)/100</f>
        <v>0</v>
      </c>
      <c r="AF122" s="77">
        <f>Valores!$C$51</f>
        <v>267.87</v>
      </c>
      <c r="AG122" s="77">
        <f>Valores!$C$52</f>
        <v>76.540000000000006</v>
      </c>
      <c r="AH122" s="77">
        <f ca="1">SUM(G122,I122,K122,M122,N122,O122,P122,Q122,R122,S122,U122,V122,W122,Y122,Z122,AA122,AB122,AC122,AE122,AF122,AG122)*Valores!$C$54</f>
        <v>0</v>
      </c>
      <c r="AI122" s="15">
        <f t="shared" ca="1" si="18"/>
        <v>43608.590000000004</v>
      </c>
      <c r="AJ122" s="78">
        <f>Valores!$C$35</f>
        <v>182.07</v>
      </c>
      <c r="AK122" s="79">
        <f>Valores!$C$9</f>
        <v>306.14</v>
      </c>
      <c r="AL122" s="89">
        <v>224.5</v>
      </c>
      <c r="AM122" s="79">
        <f ca="1">IF($G$4="SI",SUM(AK122+AL122),AK122)*Valores!$C$54</f>
        <v>0</v>
      </c>
      <c r="AN122" s="12">
        <f t="shared" ca="1" si="19"/>
        <v>712.71</v>
      </c>
      <c r="AO122" s="153">
        <f ca="1">AI122*-Valores!$C$56</f>
        <v>-5669.1167000000005</v>
      </c>
      <c r="AP122" s="153">
        <f ca="1">AI122*-Valores!$C$57</f>
        <v>-218.04295000000002</v>
      </c>
      <c r="AQ122" s="78">
        <f ca="1">AI122*-Valores!$C$58</f>
        <v>-1962.3865500000002</v>
      </c>
      <c r="AR122" s="78">
        <f ca="1">AI122*-Valores!$C$59</f>
        <v>-1177.4319300000002</v>
      </c>
      <c r="AS122" s="78">
        <f ca="1">AI122*-Valores!$C$60</f>
        <v>-130.82577000000001</v>
      </c>
      <c r="AT122" s="15">
        <f t="shared" ca="1" si="16"/>
        <v>36471.753799999999</v>
      </c>
      <c r="AU122" s="15">
        <f t="shared" ca="1" si="17"/>
        <v>37125.88265</v>
      </c>
      <c r="AV122" s="78">
        <f ca="1">AI122*Valores!$C$61</f>
        <v>6977.3744000000006</v>
      </c>
      <c r="AW122" s="78">
        <f ca="1">AI122*Valores!$C$62</f>
        <v>1962.3865500000002</v>
      </c>
      <c r="AX122" s="78">
        <f ca="1">AI122*Valores!$C$64</f>
        <v>436.08590000000004</v>
      </c>
      <c r="AY122" s="78">
        <f ca="1">AI122*Valores!$C$65</f>
        <v>1526.3006500000004</v>
      </c>
      <c r="AZ122" s="78">
        <f ca="1">AI122*Valores!$C$66</f>
        <v>261.65154000000001</v>
      </c>
      <c r="BA122" s="78">
        <f t="shared" ca="1" si="20"/>
        <v>2354.8638600000004</v>
      </c>
      <c r="BB122" s="20"/>
      <c r="BC122" s="20"/>
      <c r="BD122" s="9" t="s">
        <v>467</v>
      </c>
    </row>
    <row r="123" spans="1:56" s="9" customFormat="1" ht="11.25" customHeight="1" x14ac:dyDescent="0.15">
      <c r="A123" s="20">
        <v>122</v>
      </c>
      <c r="B123" s="20"/>
      <c r="C123" s="9" t="s">
        <v>222</v>
      </c>
      <c r="E123" s="10" t="s">
        <v>223</v>
      </c>
      <c r="F123" s="123">
        <v>2850</v>
      </c>
      <c r="G123" s="7">
        <f ca="1">INT((F123*Valores!$C$2*100)+0.5)/100</f>
        <v>14633.9</v>
      </c>
      <c r="H123" s="134">
        <v>0</v>
      </c>
      <c r="I123" s="77">
        <f ca="1">INT((H123*Valores!$C$2*100)+0.5)/100</f>
        <v>0</v>
      </c>
      <c r="J123" s="147">
        <v>0</v>
      </c>
      <c r="K123" s="77">
        <f ca="1">INT((J123*Valores!$C$2*100)+0.5)/100</f>
        <v>0</v>
      </c>
      <c r="L123" s="120">
        <v>0</v>
      </c>
      <c r="M123" s="77">
        <f ca="1">INT((L123*Valores!$C$2*100)+0.5)/100</f>
        <v>0</v>
      </c>
      <c r="N123" s="77">
        <f t="shared" ca="1" si="13"/>
        <v>0</v>
      </c>
      <c r="O123" s="77">
        <f t="shared" ca="1" si="14"/>
        <v>15772.59</v>
      </c>
      <c r="P123" s="78">
        <f>Valores!$C$16</f>
        <v>3165.05</v>
      </c>
      <c r="Q123" s="78">
        <f ca="1">Valores!$D$4</f>
        <v>2296.75</v>
      </c>
      <c r="R123" s="61">
        <f>Valores!$C$26</f>
        <v>2298.92</v>
      </c>
      <c r="S123" s="87">
        <f>Valores!$C$43</f>
        <v>1138.69</v>
      </c>
      <c r="T123" s="61">
        <f>Valores!$C$24</f>
        <v>2190.94</v>
      </c>
      <c r="U123" s="77">
        <f t="shared" ca="1" si="21"/>
        <v>4381.88</v>
      </c>
      <c r="V123" s="77">
        <v>0</v>
      </c>
      <c r="W123" s="77">
        <v>0</v>
      </c>
      <c r="X123" s="116">
        <v>0</v>
      </c>
      <c r="Y123" s="77">
        <f ca="1">X123*Valores!$C$2</f>
        <v>0</v>
      </c>
      <c r="Z123" s="77">
        <v>0</v>
      </c>
      <c r="AA123" s="89">
        <f>Valores!$C$29</f>
        <v>131.68</v>
      </c>
      <c r="AB123" s="77">
        <f t="shared" ca="1" si="15"/>
        <v>0</v>
      </c>
      <c r="AC123" s="77">
        <f>Valores!$C$30</f>
        <v>131.68</v>
      </c>
      <c r="AD123" s="116">
        <v>0</v>
      </c>
      <c r="AE123" s="77">
        <f ca="1">INT(((AD123*Valores!$C$2)*100)+0.5)/100</f>
        <v>0</v>
      </c>
      <c r="AF123" s="77">
        <f>Valores!$C$51</f>
        <v>267.87</v>
      </c>
      <c r="AG123" s="77">
        <f>Valores!$C$52</f>
        <v>76.540000000000006</v>
      </c>
      <c r="AH123" s="77">
        <f ca="1">SUM(G123,I123,K123,M123,N123,O123,P123,Q123,R123,S123,U123,V123,W123,Y123,Z123,AA123,AB123,AC123,AE123,AF123,AG123)*Valores!$C$54</f>
        <v>0</v>
      </c>
      <c r="AI123" s="15">
        <f t="shared" ca="1" si="18"/>
        <v>44295.55</v>
      </c>
      <c r="AJ123" s="78">
        <f>Valores!$C$35</f>
        <v>182.07</v>
      </c>
      <c r="AK123" s="79">
        <f>Valores!$C$9</f>
        <v>306.14</v>
      </c>
      <c r="AL123" s="89">
        <v>224.5</v>
      </c>
      <c r="AM123" s="79">
        <f ca="1">IF($G$4="SI",SUM(AK123+AL123),AK123)*Valores!$C$54</f>
        <v>0</v>
      </c>
      <c r="AN123" s="12">
        <f t="shared" ca="1" si="19"/>
        <v>712.71</v>
      </c>
      <c r="AO123" s="153">
        <f ca="1">AI123*-Valores!$C$56</f>
        <v>-5758.4215000000004</v>
      </c>
      <c r="AP123" s="153">
        <f ca="1">AI123*-Valores!$C$57</f>
        <v>-221.47775000000001</v>
      </c>
      <c r="AQ123" s="78">
        <f ca="1">AI123*-Valores!$C$58</f>
        <v>-1993.2997500000001</v>
      </c>
      <c r="AR123" s="78">
        <f ca="1">AI123*-Valores!$C$59</f>
        <v>-1195.9798500000002</v>
      </c>
      <c r="AS123" s="78">
        <f ca="1">AI123*-Valores!$C$60</f>
        <v>-132.88665</v>
      </c>
      <c r="AT123" s="15">
        <f t="shared" ca="1" si="16"/>
        <v>37035.061000000002</v>
      </c>
      <c r="AU123" s="15">
        <f t="shared" ca="1" si="17"/>
        <v>37699.494250000003</v>
      </c>
      <c r="AV123" s="78">
        <f ca="1">AI123*Valores!$C$61</f>
        <v>7087.2880000000005</v>
      </c>
      <c r="AW123" s="78">
        <f ca="1">AI123*Valores!$C$62</f>
        <v>1993.2997500000001</v>
      </c>
      <c r="AX123" s="78">
        <f ca="1">AI123*Valores!$C$64</f>
        <v>442.95550000000003</v>
      </c>
      <c r="AY123" s="78">
        <f ca="1">AI123*Valores!$C$65</f>
        <v>1550.3442500000003</v>
      </c>
      <c r="AZ123" s="78">
        <f ca="1">AI123*Valores!$C$66</f>
        <v>265.77330000000001</v>
      </c>
      <c r="BA123" s="78">
        <f t="shared" ca="1" si="20"/>
        <v>2391.9597000000003</v>
      </c>
      <c r="BB123" s="20"/>
      <c r="BC123" s="20"/>
      <c r="BD123" s="9" t="s">
        <v>467</v>
      </c>
    </row>
    <row r="124" spans="1:56" s="9" customFormat="1" ht="11.25" customHeight="1" x14ac:dyDescent="0.15">
      <c r="A124" s="20">
        <v>123</v>
      </c>
      <c r="B124" s="20"/>
      <c r="C124" s="9" t="s">
        <v>224</v>
      </c>
      <c r="E124" s="10" t="s">
        <v>225</v>
      </c>
      <c r="F124" s="123">
        <v>1735</v>
      </c>
      <c r="G124" s="7">
        <f ca="1">INT((F124*Valores!$C$2*100)+0.5)/100</f>
        <v>8908.7000000000007</v>
      </c>
      <c r="H124" s="134">
        <v>0</v>
      </c>
      <c r="I124" s="77">
        <f ca="1">INT((H124*Valores!$C$2*100)+0.5)/100</f>
        <v>0</v>
      </c>
      <c r="J124" s="147">
        <v>0</v>
      </c>
      <c r="K124" s="77">
        <f ca="1">INT((J124*Valores!$C$2*100)+0.5)/100</f>
        <v>0</v>
      </c>
      <c r="L124" s="120">
        <v>0</v>
      </c>
      <c r="M124" s="77">
        <f ca="1">INT((L124*Valores!$C$2*100)+0.5)/100</f>
        <v>0</v>
      </c>
      <c r="N124" s="77">
        <f t="shared" ca="1" si="13"/>
        <v>0</v>
      </c>
      <c r="O124" s="77">
        <f t="shared" ca="1" si="14"/>
        <v>9572.94</v>
      </c>
      <c r="P124" s="78">
        <f>Valores!$C$20</f>
        <v>2991.57</v>
      </c>
      <c r="Q124" s="78">
        <f ca="1">Valores!$D$4</f>
        <v>2296.75</v>
      </c>
      <c r="R124" s="77">
        <v>0</v>
      </c>
      <c r="S124" s="79">
        <f>Valores!$C$41</f>
        <v>664.24</v>
      </c>
      <c r="T124" s="61">
        <f>Valores!$C$24</f>
        <v>2190.94</v>
      </c>
      <c r="U124" s="77">
        <f t="shared" ca="1" si="21"/>
        <v>4381.88</v>
      </c>
      <c r="V124" s="77">
        <v>0</v>
      </c>
      <c r="W124" s="77">
        <v>0</v>
      </c>
      <c r="X124" s="116">
        <v>0</v>
      </c>
      <c r="Y124" s="77">
        <f ca="1">X124*Valores!$C$2</f>
        <v>0</v>
      </c>
      <c r="Z124" s="77">
        <v>0</v>
      </c>
      <c r="AA124" s="89">
        <f>Valores!$C$29</f>
        <v>131.68</v>
      </c>
      <c r="AB124" s="77">
        <f t="shared" ca="1" si="15"/>
        <v>0</v>
      </c>
      <c r="AC124" s="77">
        <f>Valores!$C$30</f>
        <v>131.68</v>
      </c>
      <c r="AD124" s="116">
        <v>0</v>
      </c>
      <c r="AE124" s="77">
        <f ca="1">INT(((AD124*Valores!$C$2)*100)+0.5)/100</f>
        <v>0</v>
      </c>
      <c r="AF124" s="77">
        <f>Valores!$C$51</f>
        <v>267.87</v>
      </c>
      <c r="AG124" s="77">
        <f>Valores!$C$52</f>
        <v>76.540000000000006</v>
      </c>
      <c r="AH124" s="77">
        <f ca="1">SUM(G124,I124,K124,M124,N124,O124,P124,Q124,R124,S124,U124,V124,W124,Y124,Z124,AA124,AB124,AC124,AE124,AF124,AG124)*Valores!$C$54</f>
        <v>0</v>
      </c>
      <c r="AI124" s="15">
        <f t="shared" ca="1" si="18"/>
        <v>29423.850000000002</v>
      </c>
      <c r="AJ124" s="78">
        <f>Valores!$C$35</f>
        <v>182.07</v>
      </c>
      <c r="AK124" s="79">
        <f>Valores!$C$7</f>
        <v>178.59</v>
      </c>
      <c r="AL124" s="89">
        <v>112.25</v>
      </c>
      <c r="AM124" s="79">
        <f ca="1">IF($G$4="SI",SUM(AK124+AL124),AK124)*Valores!$C$54</f>
        <v>0</v>
      </c>
      <c r="AN124" s="12">
        <f t="shared" ca="1" si="19"/>
        <v>472.90999999999997</v>
      </c>
      <c r="AO124" s="153">
        <f ca="1">AI124*-Valores!$C$56</f>
        <v>-3825.1005000000005</v>
      </c>
      <c r="AP124" s="153">
        <f ca="1">AI124*-Valores!$C$57</f>
        <v>-147.11925000000002</v>
      </c>
      <c r="AQ124" s="78">
        <f ca="1">AI124*-Valores!$C$58</f>
        <v>-1324.0732500000001</v>
      </c>
      <c r="AR124" s="78">
        <f ca="1">AI124*-Valores!$C$59</f>
        <v>-794.4439500000002</v>
      </c>
      <c r="AS124" s="78">
        <f ca="1">AI124*-Valores!$C$60</f>
        <v>-88.271550000000005</v>
      </c>
      <c r="AT124" s="15">
        <f t="shared" ca="1" si="16"/>
        <v>24600.467000000001</v>
      </c>
      <c r="AU124" s="15">
        <f t="shared" ca="1" si="17"/>
        <v>25041.82475</v>
      </c>
      <c r="AV124" s="78">
        <f ca="1">AI124*Valores!$C$61</f>
        <v>4707.8160000000007</v>
      </c>
      <c r="AW124" s="78">
        <f ca="1">AI124*Valores!$C$62</f>
        <v>1324.0732500000001</v>
      </c>
      <c r="AX124" s="78">
        <f ca="1">AI124*Valores!$C$64</f>
        <v>294.23850000000004</v>
      </c>
      <c r="AY124" s="78">
        <f ca="1">AI124*Valores!$C$65</f>
        <v>1029.8347500000002</v>
      </c>
      <c r="AZ124" s="78">
        <f ca="1">AI124*Valores!$C$66</f>
        <v>176.54310000000001</v>
      </c>
      <c r="BA124" s="78">
        <f t="shared" ca="1" si="20"/>
        <v>1588.8879000000002</v>
      </c>
      <c r="BB124" s="20"/>
      <c r="BC124" s="55"/>
      <c r="BD124" s="9" t="s">
        <v>467</v>
      </c>
    </row>
    <row r="125" spans="1:56" s="9" customFormat="1" ht="11.25" customHeight="1" x14ac:dyDescent="0.15">
      <c r="A125" s="20">
        <v>124</v>
      </c>
      <c r="B125" s="20"/>
      <c r="C125" s="9" t="s">
        <v>226</v>
      </c>
      <c r="E125" s="10" t="s">
        <v>227</v>
      </c>
      <c r="F125" s="123">
        <v>72</v>
      </c>
      <c r="G125" s="7">
        <f ca="1">INT((F125*Valores!$C$2*100)+0.5)/100</f>
        <v>369.7</v>
      </c>
      <c r="H125" s="134">
        <v>1590</v>
      </c>
      <c r="I125" s="77">
        <f ca="1">INT((H125*Valores!$C$2*100)+0.5)/100</f>
        <v>8164.17</v>
      </c>
      <c r="J125" s="147">
        <v>0</v>
      </c>
      <c r="K125" s="77">
        <f ca="1">INT((J125*Valores!$C$2*100)+0.5)/100</f>
        <v>0</v>
      </c>
      <c r="L125" s="120">
        <v>0</v>
      </c>
      <c r="M125" s="77">
        <f ca="1">INT((L125*Valores!$C$2*100)+0.5)/100</f>
        <v>0</v>
      </c>
      <c r="N125" s="77">
        <f t="shared" ca="1" si="13"/>
        <v>0</v>
      </c>
      <c r="O125" s="77">
        <f t="shared" ca="1" si="14"/>
        <v>9198.11</v>
      </c>
      <c r="P125" s="78">
        <f>Valores!$C$20</f>
        <v>2991.57</v>
      </c>
      <c r="Q125" s="78">
        <f ca="1">Valores!$D$4</f>
        <v>2296.75</v>
      </c>
      <c r="R125" s="79">
        <f>Valores!$C$26</f>
        <v>2298.92</v>
      </c>
      <c r="S125" s="79">
        <f>Valores!$C$41</f>
        <v>664.24</v>
      </c>
      <c r="T125" s="61">
        <f>Valores!$C$24</f>
        <v>2190.94</v>
      </c>
      <c r="U125" s="77">
        <f t="shared" ca="1" si="21"/>
        <v>4381.88</v>
      </c>
      <c r="V125" s="77">
        <v>0</v>
      </c>
      <c r="W125" s="77">
        <v>0</v>
      </c>
      <c r="X125" s="116">
        <v>0</v>
      </c>
      <c r="Y125" s="77">
        <f ca="1">X125*Valores!$C$2</f>
        <v>0</v>
      </c>
      <c r="Z125" s="77">
        <v>0</v>
      </c>
      <c r="AA125" s="89">
        <f>Valores!$C$29</f>
        <v>131.68</v>
      </c>
      <c r="AB125" s="77">
        <f t="shared" ca="1" si="15"/>
        <v>0</v>
      </c>
      <c r="AC125" s="77">
        <f>Valores!$C$30</f>
        <v>131.68</v>
      </c>
      <c r="AD125" s="116">
        <v>0</v>
      </c>
      <c r="AE125" s="77">
        <f ca="1">INT(((AD125*Valores!$C$2)*100)+0.5)/100</f>
        <v>0</v>
      </c>
      <c r="AF125" s="77">
        <f>Valores!$C$51</f>
        <v>267.87</v>
      </c>
      <c r="AG125" s="77">
        <f>Valores!$C$52</f>
        <v>76.540000000000006</v>
      </c>
      <c r="AH125" s="77">
        <f ca="1">SUM(G125,I125,K125,M125,N125,O125,P125,Q125,R125,S125,U125,V125,W125,Y125,Z125,AA125,AB125,AC125,AE125,AF125,AG125)*Valores!$C$54</f>
        <v>0</v>
      </c>
      <c r="AI125" s="15">
        <f t="shared" ca="1" si="18"/>
        <v>30973.110000000004</v>
      </c>
      <c r="AJ125" s="78">
        <f>Valores!$C$35</f>
        <v>182.07</v>
      </c>
      <c r="AK125" s="79">
        <f>Valores!$C$7</f>
        <v>178.59</v>
      </c>
      <c r="AL125" s="89">
        <v>112.25</v>
      </c>
      <c r="AM125" s="79">
        <f ca="1">IF($G$4="SI",SUM(AK125+AL125),AK125)*Valores!$C$54</f>
        <v>0</v>
      </c>
      <c r="AN125" s="12">
        <f t="shared" ca="1" si="19"/>
        <v>472.90999999999997</v>
      </c>
      <c r="AO125" s="153">
        <f ca="1">AI125*-Valores!$C$56</f>
        <v>-4026.5043000000005</v>
      </c>
      <c r="AP125" s="153">
        <f ca="1">AI125*-Valores!$C$57</f>
        <v>-154.86555000000001</v>
      </c>
      <c r="AQ125" s="78">
        <f ca="1">AI125*-Valores!$C$58</f>
        <v>-1393.7899500000001</v>
      </c>
      <c r="AR125" s="78">
        <f ca="1">AI125*-Valores!$C$59</f>
        <v>-836.27397000000019</v>
      </c>
      <c r="AS125" s="78">
        <f ca="1">AI125*-Valores!$C$60</f>
        <v>-92.919330000000016</v>
      </c>
      <c r="AT125" s="15">
        <f t="shared" ca="1" si="16"/>
        <v>25870.860200000006</v>
      </c>
      <c r="AU125" s="15">
        <f t="shared" ca="1" si="17"/>
        <v>26335.456850000006</v>
      </c>
      <c r="AV125" s="78">
        <f ca="1">AI125*Valores!$C$61</f>
        <v>4955.6976000000004</v>
      </c>
      <c r="AW125" s="78">
        <f ca="1">AI125*Valores!$C$62</f>
        <v>1393.7899500000001</v>
      </c>
      <c r="AX125" s="78">
        <f ca="1">AI125*Valores!$C$64</f>
        <v>309.73110000000003</v>
      </c>
      <c r="AY125" s="78">
        <f ca="1">AI125*Valores!$C$65</f>
        <v>1084.0588500000003</v>
      </c>
      <c r="AZ125" s="78">
        <f ca="1">AI125*Valores!$C$66</f>
        <v>185.83866000000003</v>
      </c>
      <c r="BA125" s="78">
        <f t="shared" ca="1" si="20"/>
        <v>1672.5479400000002</v>
      </c>
      <c r="BB125" s="20"/>
      <c r="BC125" s="20">
        <v>25</v>
      </c>
      <c r="BD125" s="9" t="s">
        <v>467</v>
      </c>
    </row>
    <row r="126" spans="1:56" s="9" customFormat="1" ht="11.25" customHeight="1" x14ac:dyDescent="0.15">
      <c r="A126" s="55">
        <v>125</v>
      </c>
      <c r="B126" s="55" t="s">
        <v>462</v>
      </c>
      <c r="C126" s="52" t="s">
        <v>228</v>
      </c>
      <c r="D126" s="52"/>
      <c r="E126" s="53" t="s">
        <v>229</v>
      </c>
      <c r="F126" s="124">
        <v>72</v>
      </c>
      <c r="G126" s="129">
        <f ca="1">INT((F126*Valores!$C$2*100)+0.5)/100</f>
        <v>369.7</v>
      </c>
      <c r="H126" s="133">
        <v>1590</v>
      </c>
      <c r="I126" s="80">
        <f ca="1">INT((H126*Valores!$C$2*100)+0.5)/100</f>
        <v>8164.17</v>
      </c>
      <c r="J126" s="148">
        <v>0</v>
      </c>
      <c r="K126" s="80">
        <f ca="1">INT((J126*Valores!$C$2*100)+0.5)/100</f>
        <v>0</v>
      </c>
      <c r="L126" s="121">
        <v>0</v>
      </c>
      <c r="M126" s="80">
        <f ca="1">INT((L126*Valores!$C$2*100)+0.5)/100</f>
        <v>0</v>
      </c>
      <c r="N126" s="80">
        <f t="shared" ca="1" si="13"/>
        <v>0</v>
      </c>
      <c r="O126" s="80">
        <f t="shared" ca="1" si="14"/>
        <v>9198.11</v>
      </c>
      <c r="P126" s="81">
        <f>Valores!$C$20</f>
        <v>2991.57</v>
      </c>
      <c r="Q126" s="81">
        <f ca="1">Valores!$D$4</f>
        <v>2296.75</v>
      </c>
      <c r="R126" s="88">
        <f>Valores!$C$26</f>
        <v>2298.92</v>
      </c>
      <c r="S126" s="88">
        <f>Valores!$C$41</f>
        <v>664.24</v>
      </c>
      <c r="T126" s="85">
        <f>Valores!$C$24</f>
        <v>2190.94</v>
      </c>
      <c r="U126" s="80">
        <f t="shared" ca="1" si="21"/>
        <v>4381.88</v>
      </c>
      <c r="V126" s="80">
        <v>0</v>
      </c>
      <c r="W126" s="80">
        <v>0</v>
      </c>
      <c r="X126" s="115">
        <v>0</v>
      </c>
      <c r="Y126" s="80">
        <f ca="1">X126*Valores!$C$2</f>
        <v>0</v>
      </c>
      <c r="Z126" s="80">
        <v>0</v>
      </c>
      <c r="AA126" s="90">
        <f>Valores!$C$29</f>
        <v>131.68</v>
      </c>
      <c r="AB126" s="80">
        <f t="shared" ca="1" si="15"/>
        <v>0</v>
      </c>
      <c r="AC126" s="80">
        <f>Valores!$C$30</f>
        <v>131.68</v>
      </c>
      <c r="AD126" s="115">
        <v>94</v>
      </c>
      <c r="AE126" s="80">
        <f ca="1">INT(((AD126*Valores!$C$2)*100)+0.5)/100</f>
        <v>482.66</v>
      </c>
      <c r="AF126" s="80">
        <f>Valores!$C$51</f>
        <v>267.87</v>
      </c>
      <c r="AG126" s="80">
        <f>Valores!$C$52</f>
        <v>76.540000000000006</v>
      </c>
      <c r="AH126" s="80">
        <f ca="1">SUM(G126,I126,K126,M126,N126,O126,P126,Q126,R126,S126,U126,V126,W126,Y126,Z126,AA126,AB126,AC126,AE126,AF126,AG126)*Valores!$C$54</f>
        <v>0</v>
      </c>
      <c r="AI126" s="54">
        <f t="shared" ca="1" si="18"/>
        <v>31455.770000000004</v>
      </c>
      <c r="AJ126" s="81">
        <f>Valores!$C$35</f>
        <v>182.07</v>
      </c>
      <c r="AK126" s="82">
        <f>Valores!$C$7</f>
        <v>178.59</v>
      </c>
      <c r="AL126" s="90">
        <v>112.25</v>
      </c>
      <c r="AM126" s="82">
        <f ca="1">IF($G$4="SI",SUM(AK126+AL126),AK126)*Valores!$C$54</f>
        <v>0</v>
      </c>
      <c r="AN126" s="186">
        <f t="shared" ca="1" si="19"/>
        <v>472.90999999999997</v>
      </c>
      <c r="AO126" s="154">
        <f ca="1">AI126*-Valores!$C$56</f>
        <v>-4089.2501000000007</v>
      </c>
      <c r="AP126" s="154">
        <f ca="1">AI126*-Valores!$C$57</f>
        <v>-157.27885000000003</v>
      </c>
      <c r="AQ126" s="81">
        <f ca="1">AI126*-Valores!$C$58</f>
        <v>-1415.5096500000002</v>
      </c>
      <c r="AR126" s="81">
        <f ca="1">AI126*-Valores!$C$59</f>
        <v>-849.30579000000023</v>
      </c>
      <c r="AS126" s="81">
        <f ca="1">AI126*-Valores!$C$60</f>
        <v>-94.367310000000018</v>
      </c>
      <c r="AT126" s="54">
        <f t="shared" ca="1" si="16"/>
        <v>26266.641400000004</v>
      </c>
      <c r="AU126" s="54">
        <f t="shared" ca="1" si="17"/>
        <v>26738.477950000004</v>
      </c>
      <c r="AV126" s="81">
        <f ca="1">AI126*Valores!$C$61</f>
        <v>5032.9232000000011</v>
      </c>
      <c r="AW126" s="81">
        <f ca="1">AI126*Valores!$C$62</f>
        <v>1415.5096500000002</v>
      </c>
      <c r="AX126" s="81">
        <f ca="1">AI126*Valores!$C$64</f>
        <v>314.55770000000007</v>
      </c>
      <c r="AY126" s="81">
        <f ca="1">AI126*Valores!$C$65</f>
        <v>1100.9519500000004</v>
      </c>
      <c r="AZ126" s="81">
        <f ca="1">AI126*Valores!$C$66</f>
        <v>188.73462000000004</v>
      </c>
      <c r="BA126" s="81">
        <f t="shared" ca="1" si="20"/>
        <v>1698.6115800000002</v>
      </c>
      <c r="BB126" s="55"/>
      <c r="BC126" s="55">
        <v>20</v>
      </c>
      <c r="BD126" s="52" t="s">
        <v>467</v>
      </c>
    </row>
    <row r="127" spans="1:56" s="9" customFormat="1" ht="11.25" customHeight="1" x14ac:dyDescent="0.15">
      <c r="A127" s="20">
        <v>126</v>
      </c>
      <c r="B127" s="20"/>
      <c r="C127" s="9" t="s">
        <v>230</v>
      </c>
      <c r="E127" s="10" t="s">
        <v>231</v>
      </c>
      <c r="F127" s="123">
        <v>77</v>
      </c>
      <c r="G127" s="7">
        <f ca="1">INT((F127*Valores!$C$2*100)+0.5)/100</f>
        <v>395.37</v>
      </c>
      <c r="H127" s="134">
        <v>2043</v>
      </c>
      <c r="I127" s="77">
        <f ca="1">INT((H127*Valores!$C$2*100)+0.5)/100</f>
        <v>10490.19</v>
      </c>
      <c r="J127" s="147">
        <v>0</v>
      </c>
      <c r="K127" s="77">
        <f ca="1">INT((J127*Valores!$C$2*100)+0.5)/100</f>
        <v>0</v>
      </c>
      <c r="L127" s="120">
        <v>0</v>
      </c>
      <c r="M127" s="77">
        <f ca="1">INT((L127*Valores!$C$2*100)+0.5)/100</f>
        <v>0</v>
      </c>
      <c r="N127" s="77">
        <f t="shared" ca="1" si="13"/>
        <v>0</v>
      </c>
      <c r="O127" s="77">
        <f t="shared" ca="1" si="14"/>
        <v>11644.69</v>
      </c>
      <c r="P127" s="83">
        <f>Valores!$C$16</f>
        <v>3165.05</v>
      </c>
      <c r="Q127" s="78">
        <f ca="1">Valores!$D$4</f>
        <v>2296.75</v>
      </c>
      <c r="R127" s="79">
        <f>Valores!$C$26</f>
        <v>2298.92</v>
      </c>
      <c r="S127" s="79">
        <f>Valores!$C$42</f>
        <v>759.13</v>
      </c>
      <c r="T127" s="77">
        <f>Valores!$C$23</f>
        <v>2221.56</v>
      </c>
      <c r="U127" s="77">
        <f t="shared" ca="1" si="21"/>
        <v>4443.12</v>
      </c>
      <c r="V127" s="77">
        <v>0</v>
      </c>
      <c r="W127" s="77">
        <v>0</v>
      </c>
      <c r="X127" s="116">
        <v>0</v>
      </c>
      <c r="Y127" s="77">
        <f ca="1">X127*Valores!$C$2</f>
        <v>0</v>
      </c>
      <c r="Z127" s="77">
        <v>0</v>
      </c>
      <c r="AA127" s="89">
        <f>Valores!$C$29</f>
        <v>131.68</v>
      </c>
      <c r="AB127" s="77">
        <f t="shared" ca="1" si="15"/>
        <v>0</v>
      </c>
      <c r="AC127" s="77">
        <f>Valores!$C$30</f>
        <v>131.68</v>
      </c>
      <c r="AD127" s="116">
        <v>0</v>
      </c>
      <c r="AE127" s="77">
        <f ca="1">INT(((AD127*Valores!$C$2)*100)+0.5)/100</f>
        <v>0</v>
      </c>
      <c r="AF127" s="77">
        <f>Valores!$C$51</f>
        <v>267.87</v>
      </c>
      <c r="AG127" s="77">
        <f>Valores!$C$52</f>
        <v>76.540000000000006</v>
      </c>
      <c r="AH127" s="77">
        <f ca="1">SUM(G127,I127,K127,M127,N127,O127,P127,Q127,R127,S127,U127,V127,W127,Y127,Z127,AA127,AB127,AC127,AE127,AF127,AG127)*Valores!$C$54</f>
        <v>0</v>
      </c>
      <c r="AI127" s="15">
        <f t="shared" ca="1" si="18"/>
        <v>36100.990000000005</v>
      </c>
      <c r="AJ127" s="78">
        <f>Valores!$C$35</f>
        <v>182.07</v>
      </c>
      <c r="AK127" s="79">
        <f>Valores!$C$8</f>
        <v>204.1</v>
      </c>
      <c r="AL127" s="89">
        <v>0</v>
      </c>
      <c r="AM127" s="79">
        <f ca="1">IF($G$4="SI",SUM(AK127+AL127),AK127)*Valores!$C$54</f>
        <v>0</v>
      </c>
      <c r="AN127" s="12">
        <f t="shared" ca="1" si="19"/>
        <v>386.16999999999996</v>
      </c>
      <c r="AO127" s="153">
        <f ca="1">AI127*-Valores!$C$56</f>
        <v>-4693.1287000000011</v>
      </c>
      <c r="AP127" s="153">
        <f ca="1">AI127*-Valores!$C$57</f>
        <v>-180.50495000000004</v>
      </c>
      <c r="AQ127" s="78">
        <f ca="1">AI127*-Valores!$C$58</f>
        <v>-1624.5445500000001</v>
      </c>
      <c r="AR127" s="78">
        <f ca="1">AI127*-Valores!$C$59</f>
        <v>-974.7267300000002</v>
      </c>
      <c r="AS127" s="78">
        <f ca="1">AI127*-Valores!$C$60</f>
        <v>-108.30297000000002</v>
      </c>
      <c r="AT127" s="15">
        <f t="shared" ca="1" si="16"/>
        <v>29988.981800000001</v>
      </c>
      <c r="AU127" s="15">
        <f t="shared" ca="1" si="17"/>
        <v>30530.496649999997</v>
      </c>
      <c r="AV127" s="78">
        <f ca="1">AI127*Valores!$C$61</f>
        <v>5776.1584000000012</v>
      </c>
      <c r="AW127" s="78">
        <f ca="1">AI127*Valores!$C$62</f>
        <v>1624.5445500000001</v>
      </c>
      <c r="AX127" s="78">
        <f ca="1">AI127*Valores!$C$64</f>
        <v>361.00990000000007</v>
      </c>
      <c r="AY127" s="78">
        <f ca="1">AI127*Valores!$C$65</f>
        <v>1263.5346500000003</v>
      </c>
      <c r="AZ127" s="78">
        <f ca="1">AI127*Valores!$C$66</f>
        <v>216.60594000000003</v>
      </c>
      <c r="BA127" s="78">
        <f t="shared" ca="1" si="20"/>
        <v>1949.4534600000004</v>
      </c>
      <c r="BB127" s="20"/>
      <c r="BC127" s="20"/>
      <c r="BD127" s="9" t="s">
        <v>467</v>
      </c>
    </row>
    <row r="128" spans="1:56" s="9" customFormat="1" ht="11.25" customHeight="1" x14ac:dyDescent="0.15">
      <c r="A128" s="20">
        <v>127</v>
      </c>
      <c r="B128" s="20"/>
      <c r="C128" s="9" t="s">
        <v>232</v>
      </c>
      <c r="E128" s="10" t="s">
        <v>233</v>
      </c>
      <c r="F128" s="123">
        <v>61</v>
      </c>
      <c r="G128" s="7">
        <f ca="1">INT((F128*Valores!$C$2*100)+0.5)/100</f>
        <v>313.22000000000003</v>
      </c>
      <c r="H128" s="134">
        <v>1217</v>
      </c>
      <c r="I128" s="77">
        <f ca="1">INT((H128*Valores!$C$2*100)+0.5)/100</f>
        <v>6248.93</v>
      </c>
      <c r="J128" s="147">
        <v>0</v>
      </c>
      <c r="K128" s="77">
        <f ca="1">INT((J128*Valores!$C$2*100)+0.5)/100</f>
        <v>0</v>
      </c>
      <c r="L128" s="120">
        <v>0</v>
      </c>
      <c r="M128" s="77">
        <f ca="1">INT((L128*Valores!$C$2*100)+0.5)/100</f>
        <v>0</v>
      </c>
      <c r="N128" s="77">
        <f t="shared" ca="1" si="13"/>
        <v>0</v>
      </c>
      <c r="O128" s="77">
        <f t="shared" ca="1" si="14"/>
        <v>7226.39</v>
      </c>
      <c r="P128" s="78">
        <f>Valores!$C$20</f>
        <v>2991.57</v>
      </c>
      <c r="Q128" s="78">
        <f ca="1">Valores!$D$4</f>
        <v>2296.75</v>
      </c>
      <c r="R128" s="79">
        <f>Valores!$C$26</f>
        <v>2298.92</v>
      </c>
      <c r="S128" s="79">
        <f>Valores!$C$41</f>
        <v>664.24</v>
      </c>
      <c r="T128" s="61">
        <f>Valores!$C$23</f>
        <v>2221.56</v>
      </c>
      <c r="U128" s="77">
        <f t="shared" ca="1" si="21"/>
        <v>4443.12</v>
      </c>
      <c r="V128" s="77">
        <v>0</v>
      </c>
      <c r="W128" s="77">
        <v>0</v>
      </c>
      <c r="X128" s="116">
        <v>0</v>
      </c>
      <c r="Y128" s="77">
        <f ca="1">X128*Valores!$C$2</f>
        <v>0</v>
      </c>
      <c r="Z128" s="77">
        <v>0</v>
      </c>
      <c r="AA128" s="89">
        <f>Valores!$C$29</f>
        <v>131.68</v>
      </c>
      <c r="AB128" s="77">
        <f t="shared" ca="1" si="15"/>
        <v>0</v>
      </c>
      <c r="AC128" s="77">
        <f>Valores!$C$30</f>
        <v>131.68</v>
      </c>
      <c r="AD128" s="116">
        <v>0</v>
      </c>
      <c r="AE128" s="77">
        <f ca="1">INT(((AD128*Valores!$C$2)*100)+0.5)/100</f>
        <v>0</v>
      </c>
      <c r="AF128" s="77">
        <f>Valores!$C$51</f>
        <v>267.87</v>
      </c>
      <c r="AG128" s="77">
        <f>Valores!$C$52</f>
        <v>76.540000000000006</v>
      </c>
      <c r="AH128" s="77">
        <f ca="1">SUM(G128,I128,K128,M128,N128,O128,P128,Q128,R128,S128,U128,V128,W128,Y128,Z128,AA128,AB128,AC128,AE128,AF128,AG128)*Valores!$C$54</f>
        <v>0</v>
      </c>
      <c r="AI128" s="15">
        <f t="shared" ca="1" si="18"/>
        <v>27090.91</v>
      </c>
      <c r="AJ128" s="78">
        <f>Valores!$C$35</f>
        <v>182.07</v>
      </c>
      <c r="AK128" s="79">
        <f>Valores!$C$7</f>
        <v>178.59</v>
      </c>
      <c r="AL128" s="89">
        <v>112.25</v>
      </c>
      <c r="AM128" s="79">
        <f ca="1">IF($G$4="SI",SUM(AK128+AL128),AK128)*Valores!$C$54</f>
        <v>0</v>
      </c>
      <c r="AN128" s="12">
        <f t="shared" ca="1" si="19"/>
        <v>472.90999999999997</v>
      </c>
      <c r="AO128" s="153">
        <f ca="1">AI128*-Valores!$C$56</f>
        <v>-3521.8182999999999</v>
      </c>
      <c r="AP128" s="153">
        <f ca="1">AI128*-Valores!$C$57</f>
        <v>-135.45455000000001</v>
      </c>
      <c r="AQ128" s="78">
        <f ca="1">AI128*-Valores!$C$58</f>
        <v>-1219.09095</v>
      </c>
      <c r="AR128" s="78">
        <f ca="1">AI128*-Valores!$C$59</f>
        <v>-731.4545700000001</v>
      </c>
      <c r="AS128" s="78">
        <f ca="1">AI128*-Valores!$C$60</f>
        <v>-81.272729999999996</v>
      </c>
      <c r="AT128" s="15">
        <f t="shared" ca="1" si="16"/>
        <v>22687.456200000001</v>
      </c>
      <c r="AU128" s="15">
        <f t="shared" ca="1" si="17"/>
        <v>23093.81985</v>
      </c>
      <c r="AV128" s="78">
        <f ca="1">AI128*Valores!$C$61</f>
        <v>4334.5456000000004</v>
      </c>
      <c r="AW128" s="78">
        <f ca="1">AI128*Valores!$C$62</f>
        <v>1219.09095</v>
      </c>
      <c r="AX128" s="78">
        <f ca="1">AI128*Valores!$C$64</f>
        <v>270.90910000000002</v>
      </c>
      <c r="AY128" s="78">
        <f ca="1">AI128*Valores!$C$65</f>
        <v>948.18185000000005</v>
      </c>
      <c r="AZ128" s="78">
        <f ca="1">AI128*Valores!$C$66</f>
        <v>162.54545999999999</v>
      </c>
      <c r="BA128" s="78">
        <f t="shared" ca="1" si="20"/>
        <v>1462.9091400000002</v>
      </c>
      <c r="BB128" s="20"/>
      <c r="BC128" s="20">
        <v>25</v>
      </c>
      <c r="BD128" s="9" t="s">
        <v>467</v>
      </c>
    </row>
    <row r="129" spans="1:56" s="9" customFormat="1" ht="11.25" customHeight="1" x14ac:dyDescent="0.15">
      <c r="A129" s="20">
        <v>128</v>
      </c>
      <c r="B129" s="20"/>
      <c r="C129" s="9" t="s">
        <v>234</v>
      </c>
      <c r="E129" s="10" t="s">
        <v>235</v>
      </c>
      <c r="F129" s="123">
        <v>72</v>
      </c>
      <c r="G129" s="7">
        <f ca="1">INT((F129*Valores!$C$2*100)+0.5)/100</f>
        <v>369.7</v>
      </c>
      <c r="H129" s="134">
        <v>1206</v>
      </c>
      <c r="I129" s="77">
        <f ca="1">INT((H129*Valores!$C$2*100)+0.5)/100</f>
        <v>6192.45</v>
      </c>
      <c r="J129" s="147">
        <v>0</v>
      </c>
      <c r="K129" s="77">
        <f ca="1">INT((J129*Valores!$C$2*100)+0.5)/100</f>
        <v>0</v>
      </c>
      <c r="L129" s="120">
        <v>0</v>
      </c>
      <c r="M129" s="77">
        <f ca="1">INT((L129*Valores!$C$2*100)+0.5)/100</f>
        <v>0</v>
      </c>
      <c r="N129" s="77">
        <f t="shared" ca="1" si="13"/>
        <v>0</v>
      </c>
      <c r="O129" s="77">
        <f t="shared" ca="1" si="14"/>
        <v>7226.3899999999994</v>
      </c>
      <c r="P129" s="78">
        <f>Valores!$C$20</f>
        <v>2991.57</v>
      </c>
      <c r="Q129" s="78">
        <f ca="1">Valores!$D$4</f>
        <v>2296.75</v>
      </c>
      <c r="R129" s="87">
        <f>Valores!$C$26</f>
        <v>2298.92</v>
      </c>
      <c r="S129" s="87">
        <f>Valores!$C$41</f>
        <v>664.24</v>
      </c>
      <c r="T129" s="77">
        <f>Valores!$C$23</f>
        <v>2221.56</v>
      </c>
      <c r="U129" s="77">
        <f t="shared" ca="1" si="21"/>
        <v>4443.12</v>
      </c>
      <c r="V129" s="77">
        <v>0</v>
      </c>
      <c r="W129" s="77">
        <v>0</v>
      </c>
      <c r="X129" s="116">
        <v>0</v>
      </c>
      <c r="Y129" s="77">
        <f ca="1">X129*Valores!$C$2</f>
        <v>0</v>
      </c>
      <c r="Z129" s="77">
        <v>0</v>
      </c>
      <c r="AA129" s="89">
        <f>Valores!$C$29</f>
        <v>131.68</v>
      </c>
      <c r="AB129" s="77">
        <f t="shared" ca="1" si="15"/>
        <v>0</v>
      </c>
      <c r="AC129" s="77">
        <f>Valores!$C$30</f>
        <v>131.68</v>
      </c>
      <c r="AD129" s="116">
        <v>94</v>
      </c>
      <c r="AE129" s="77">
        <f ca="1">INT(((AD129*Valores!$C$2)*100)+0.5)/100</f>
        <v>482.66</v>
      </c>
      <c r="AF129" s="77">
        <f>Valores!$C$51</f>
        <v>267.87</v>
      </c>
      <c r="AG129" s="77">
        <f>Valores!$C$52</f>
        <v>76.540000000000006</v>
      </c>
      <c r="AH129" s="77">
        <f ca="1">SUM(G129,I129,K129,M129,N129,O129,P129,Q129,R129,S129,U129,V129,W129,Y129,Z129,AA129,AB129,AC129,AE129,AF129,AG129)*Valores!$C$54</f>
        <v>0</v>
      </c>
      <c r="AI129" s="15">
        <f t="shared" ca="1" si="18"/>
        <v>27573.57</v>
      </c>
      <c r="AJ129" s="78">
        <f>Valores!$C$35</f>
        <v>182.07</v>
      </c>
      <c r="AK129" s="79">
        <f>Valores!$C$7</f>
        <v>178.59</v>
      </c>
      <c r="AL129" s="89">
        <v>112.25</v>
      </c>
      <c r="AM129" s="79">
        <f ca="1">IF($G$4="SI",SUM(AK129+AL129),AK129)*Valores!$C$54</f>
        <v>0</v>
      </c>
      <c r="AN129" s="12">
        <f t="shared" ca="1" si="19"/>
        <v>472.90999999999997</v>
      </c>
      <c r="AO129" s="153">
        <f ca="1">AI129*-Valores!$C$56</f>
        <v>-3584.5641000000001</v>
      </c>
      <c r="AP129" s="153">
        <f ca="1">AI129*-Valores!$C$57</f>
        <v>-137.86785</v>
      </c>
      <c r="AQ129" s="78">
        <f ca="1">AI129*-Valores!$C$58</f>
        <v>-1240.8106499999999</v>
      </c>
      <c r="AR129" s="78">
        <f ca="1">AI129*-Valores!$C$59</f>
        <v>-744.48639000000003</v>
      </c>
      <c r="AS129" s="78">
        <f ca="1">AI129*-Valores!$C$60</f>
        <v>-82.720709999999997</v>
      </c>
      <c r="AT129" s="15">
        <f t="shared" ca="1" si="16"/>
        <v>23083.237400000002</v>
      </c>
      <c r="AU129" s="15">
        <f t="shared" ca="1" si="17"/>
        <v>23496.840950000002</v>
      </c>
      <c r="AV129" s="78">
        <f ca="1">AI129*Valores!$C$61</f>
        <v>4411.7712000000001</v>
      </c>
      <c r="AW129" s="78">
        <f ca="1">AI129*Valores!$C$62</f>
        <v>1240.8106499999999</v>
      </c>
      <c r="AX129" s="78">
        <f ca="1">AI129*Valores!$C$64</f>
        <v>275.73570000000001</v>
      </c>
      <c r="AY129" s="78">
        <f ca="1">AI129*Valores!$C$65</f>
        <v>965.07495000000006</v>
      </c>
      <c r="AZ129" s="78">
        <f ca="1">AI129*Valores!$C$66</f>
        <v>165.44141999999999</v>
      </c>
      <c r="BA129" s="78">
        <f t="shared" ca="1" si="20"/>
        <v>1488.9727800000003</v>
      </c>
      <c r="BB129" s="20"/>
      <c r="BC129" s="55">
        <v>20</v>
      </c>
      <c r="BD129" s="9" t="s">
        <v>467</v>
      </c>
    </row>
    <row r="130" spans="1:56" s="9" customFormat="1" ht="11.25" customHeight="1" x14ac:dyDescent="0.15">
      <c r="A130" s="20">
        <v>129</v>
      </c>
      <c r="B130" s="20"/>
      <c r="C130" s="9" t="s">
        <v>236</v>
      </c>
      <c r="E130" s="10" t="s">
        <v>237</v>
      </c>
      <c r="F130" s="123">
        <v>61</v>
      </c>
      <c r="G130" s="7">
        <f ca="1">INT((F130*Valores!$C$2*100)+0.5)/100</f>
        <v>313.22000000000003</v>
      </c>
      <c r="H130" s="134">
        <v>1217</v>
      </c>
      <c r="I130" s="77">
        <f ca="1">INT((H130*Valores!$C$2*100)+0.5)/100</f>
        <v>6248.93</v>
      </c>
      <c r="J130" s="147">
        <v>0</v>
      </c>
      <c r="K130" s="77">
        <f ca="1">INT((J130*Valores!$C$2*100)+0.5)/100</f>
        <v>0</v>
      </c>
      <c r="L130" s="120">
        <v>0</v>
      </c>
      <c r="M130" s="77">
        <f ca="1">INT((L130*Valores!$C$2*100)+0.5)/100</f>
        <v>0</v>
      </c>
      <c r="N130" s="77">
        <f t="shared" ca="1" si="13"/>
        <v>0</v>
      </c>
      <c r="O130" s="77">
        <f t="shared" ca="1" si="14"/>
        <v>7226.39</v>
      </c>
      <c r="P130" s="78">
        <f>Valores!$C$20</f>
        <v>2991.57</v>
      </c>
      <c r="Q130" s="78">
        <f ca="1">Valores!$D$4</f>
        <v>2296.75</v>
      </c>
      <c r="R130" s="77">
        <v>0</v>
      </c>
      <c r="S130" s="79">
        <f>Valores!$C$41</f>
        <v>664.24</v>
      </c>
      <c r="T130" s="61">
        <f>Valores!$C$24</f>
        <v>2190.94</v>
      </c>
      <c r="U130" s="77">
        <f t="shared" ca="1" si="21"/>
        <v>4381.88</v>
      </c>
      <c r="V130" s="77">
        <v>0</v>
      </c>
      <c r="W130" s="77">
        <v>0</v>
      </c>
      <c r="X130" s="116">
        <v>0</v>
      </c>
      <c r="Y130" s="77">
        <f ca="1">X130*Valores!$C$2</f>
        <v>0</v>
      </c>
      <c r="Z130" s="77">
        <v>0</v>
      </c>
      <c r="AA130" s="89">
        <f>Valores!$C$29</f>
        <v>131.68</v>
      </c>
      <c r="AB130" s="77">
        <f t="shared" ca="1" si="15"/>
        <v>0</v>
      </c>
      <c r="AC130" s="77">
        <f>Valores!$C$30</f>
        <v>131.68</v>
      </c>
      <c r="AD130" s="116">
        <v>0</v>
      </c>
      <c r="AE130" s="77">
        <f ca="1">INT(((AD130*Valores!$C$2)*100)+0.5)/100</f>
        <v>0</v>
      </c>
      <c r="AF130" s="77">
        <f>Valores!$C$51</f>
        <v>267.87</v>
      </c>
      <c r="AG130" s="77">
        <f>Valores!$C$52</f>
        <v>76.540000000000006</v>
      </c>
      <c r="AH130" s="77">
        <f ca="1">SUM(G130,I130,K130,M130,N130,O130,P130,Q130,R130,S130,U130,V130,W130,Y130,Z130,AA130,AB130,AC130,AE130,AF130,AG130)*Valores!$C$54</f>
        <v>0</v>
      </c>
      <c r="AI130" s="15">
        <f t="shared" ca="1" si="18"/>
        <v>24730.750000000004</v>
      </c>
      <c r="AJ130" s="78">
        <f>Valores!$C$35</f>
        <v>182.07</v>
      </c>
      <c r="AK130" s="79">
        <f>Valores!$C$7</f>
        <v>178.59</v>
      </c>
      <c r="AL130" s="89">
        <v>0</v>
      </c>
      <c r="AM130" s="79">
        <f ca="1">IF($G$4="SI",SUM(AK130+AL130),AK130)*Valores!$C$54</f>
        <v>0</v>
      </c>
      <c r="AN130" s="12">
        <f t="shared" ca="1" si="19"/>
        <v>360.65999999999997</v>
      </c>
      <c r="AO130" s="153">
        <f ca="1">AI130*-Valores!$C$56</f>
        <v>-3214.9975000000004</v>
      </c>
      <c r="AP130" s="153">
        <f ca="1">AI130*-Valores!$C$57</f>
        <v>-123.65375000000002</v>
      </c>
      <c r="AQ130" s="78">
        <f ca="1">AI130*-Valores!$C$58</f>
        <v>-1112.8837500000002</v>
      </c>
      <c r="AR130" s="78">
        <f ca="1">AI130*-Valores!$C$59</f>
        <v>-667.73025000000018</v>
      </c>
      <c r="AS130" s="78">
        <f ca="1">AI130*-Valores!$C$60</f>
        <v>-74.192250000000016</v>
      </c>
      <c r="AT130" s="15">
        <f t="shared" ca="1" si="16"/>
        <v>20639.875</v>
      </c>
      <c r="AU130" s="15">
        <f t="shared" ca="1" si="17"/>
        <v>21010.83625</v>
      </c>
      <c r="AV130" s="78">
        <f ca="1">AI130*Valores!$C$61</f>
        <v>3956.9200000000005</v>
      </c>
      <c r="AW130" s="78">
        <f ca="1">AI130*Valores!$C$62</f>
        <v>1112.8837500000002</v>
      </c>
      <c r="AX130" s="78">
        <f ca="1">AI130*Valores!$C$64</f>
        <v>247.30750000000003</v>
      </c>
      <c r="AY130" s="78">
        <f ca="1">AI130*Valores!$C$65</f>
        <v>865.57625000000019</v>
      </c>
      <c r="AZ130" s="78">
        <f ca="1">AI130*Valores!$C$66</f>
        <v>148.38450000000003</v>
      </c>
      <c r="BA130" s="78">
        <f t="shared" ca="1" si="20"/>
        <v>1335.4605000000001</v>
      </c>
      <c r="BB130" s="20"/>
      <c r="BC130" s="20"/>
      <c r="BD130" s="9" t="s">
        <v>466</v>
      </c>
    </row>
    <row r="131" spans="1:56" s="9" customFormat="1" ht="11.25" customHeight="1" x14ac:dyDescent="0.15">
      <c r="A131" s="55">
        <v>130</v>
      </c>
      <c r="B131" s="55" t="s">
        <v>462</v>
      </c>
      <c r="C131" s="52" t="s">
        <v>238</v>
      </c>
      <c r="D131" s="52"/>
      <c r="E131" s="53" t="s">
        <v>239</v>
      </c>
      <c r="F131" s="124">
        <v>1278</v>
      </c>
      <c r="G131" s="129">
        <f ca="1">INT((F131*Valores!$C$2*100)+0.5)/100</f>
        <v>6562.15</v>
      </c>
      <c r="H131" s="133">
        <v>0</v>
      </c>
      <c r="I131" s="80">
        <f ca="1">INT((H131*Valores!$C$2*100)+0.5)/100</f>
        <v>0</v>
      </c>
      <c r="J131" s="148">
        <v>0</v>
      </c>
      <c r="K131" s="80">
        <f ca="1">INT((J131*Valores!$C$2*100)+0.5)/100</f>
        <v>0</v>
      </c>
      <c r="L131" s="121">
        <v>0</v>
      </c>
      <c r="M131" s="80">
        <f ca="1">INT((L131*Valores!$C$2*100)+0.5)/100</f>
        <v>0</v>
      </c>
      <c r="N131" s="80">
        <f t="shared" ca="1" si="13"/>
        <v>0</v>
      </c>
      <c r="O131" s="80">
        <f t="shared" ca="1" si="14"/>
        <v>7321.28</v>
      </c>
      <c r="P131" s="81">
        <f>Valores!$C$20</f>
        <v>2991.57</v>
      </c>
      <c r="Q131" s="81">
        <f ca="1">Valores!$D$4</f>
        <v>2296.75</v>
      </c>
      <c r="R131" s="85">
        <f>Valores!$C$26</f>
        <v>2298.92</v>
      </c>
      <c r="S131" s="88">
        <f>Valores!$C$42</f>
        <v>759.13</v>
      </c>
      <c r="T131" s="85">
        <f>Valores!$C$24</f>
        <v>2190.94</v>
      </c>
      <c r="U131" s="80">
        <f t="shared" ca="1" si="21"/>
        <v>4381.88</v>
      </c>
      <c r="V131" s="80">
        <v>0</v>
      </c>
      <c r="W131" s="80">
        <v>0</v>
      </c>
      <c r="X131" s="115">
        <v>0</v>
      </c>
      <c r="Y131" s="80">
        <f ca="1">X131*Valores!$C$2</f>
        <v>0</v>
      </c>
      <c r="Z131" s="80">
        <v>0</v>
      </c>
      <c r="AA131" s="90">
        <f>Valores!$C$29</f>
        <v>131.68</v>
      </c>
      <c r="AB131" s="80">
        <f t="shared" ca="1" si="15"/>
        <v>0</v>
      </c>
      <c r="AC131" s="80">
        <f>Valores!$C$30</f>
        <v>131.68</v>
      </c>
      <c r="AD131" s="115">
        <v>0</v>
      </c>
      <c r="AE131" s="80">
        <f ca="1">INT(((AD131*Valores!$C$2)*100)+0.5)/100</f>
        <v>0</v>
      </c>
      <c r="AF131" s="80">
        <f>Valores!$C$51</f>
        <v>267.87</v>
      </c>
      <c r="AG131" s="80">
        <f>Valores!$C$52</f>
        <v>76.540000000000006</v>
      </c>
      <c r="AH131" s="80">
        <f ca="1">SUM(G131,I131,K131,M131,N131,O131,P131,Q131,R131,S131,U131,V131,W131,Y131,Z131,AA131,AB131,AC131,AE131,AF131,AG131)*Valores!$C$54</f>
        <v>0</v>
      </c>
      <c r="AI131" s="54">
        <f t="shared" ca="1" si="18"/>
        <v>27219.45</v>
      </c>
      <c r="AJ131" s="81">
        <f>Valores!$C$35</f>
        <v>182.07</v>
      </c>
      <c r="AK131" s="82">
        <f>Valores!$C$8</f>
        <v>204.1</v>
      </c>
      <c r="AL131" s="90">
        <v>112.25</v>
      </c>
      <c r="AM131" s="82">
        <f ca="1">IF($G$4="SI",SUM(AK131+AL131),AK131)*Valores!$C$54</f>
        <v>0</v>
      </c>
      <c r="AN131" s="186">
        <f t="shared" ca="1" si="19"/>
        <v>498.41999999999996</v>
      </c>
      <c r="AO131" s="154">
        <f ca="1">AI131*-Valores!$C$56</f>
        <v>-3538.5285000000003</v>
      </c>
      <c r="AP131" s="154">
        <f ca="1">AI131*-Valores!$C$57</f>
        <v>-136.09725</v>
      </c>
      <c r="AQ131" s="81">
        <f ca="1">AI131*-Valores!$C$58</f>
        <v>-1224.8752500000001</v>
      </c>
      <c r="AR131" s="81">
        <f ca="1">AI131*-Valores!$C$59</f>
        <v>-734.92515000000014</v>
      </c>
      <c r="AS131" s="81">
        <f ca="1">AI131*-Valores!$C$60</f>
        <v>-81.658349999999999</v>
      </c>
      <c r="AT131" s="54">
        <f t="shared" ca="1" si="16"/>
        <v>22818.368999999999</v>
      </c>
      <c r="AU131" s="54">
        <f t="shared" ca="1" si="17"/>
        <v>23226.660749999999</v>
      </c>
      <c r="AV131" s="81">
        <f ca="1">AI131*Valores!$C$61</f>
        <v>4355.1120000000001</v>
      </c>
      <c r="AW131" s="81">
        <f ca="1">AI131*Valores!$C$62</f>
        <v>1224.8752500000001</v>
      </c>
      <c r="AX131" s="81">
        <f ca="1">AI131*Valores!$C$64</f>
        <v>272.19450000000001</v>
      </c>
      <c r="AY131" s="81">
        <f ca="1">AI131*Valores!$C$65</f>
        <v>952.6807500000001</v>
      </c>
      <c r="AZ131" s="81">
        <f ca="1">AI131*Valores!$C$66</f>
        <v>163.3167</v>
      </c>
      <c r="BA131" s="81">
        <f t="shared" ca="1" si="20"/>
        <v>1469.8503000000003</v>
      </c>
      <c r="BB131" s="55"/>
      <c r="BC131" s="55">
        <v>22</v>
      </c>
      <c r="BD131" s="52" t="s">
        <v>467</v>
      </c>
    </row>
    <row r="132" spans="1:56" s="9" customFormat="1" ht="11.25" customHeight="1" x14ac:dyDescent="0.15">
      <c r="A132" s="20">
        <v>131</v>
      </c>
      <c r="B132" s="20"/>
      <c r="C132" s="9" t="s">
        <v>240</v>
      </c>
      <c r="E132" s="10" t="s">
        <v>241</v>
      </c>
      <c r="F132" s="123">
        <v>1278</v>
      </c>
      <c r="G132" s="7">
        <f ca="1">INT((F132*Valores!$C$2*100)+0.5)/100</f>
        <v>6562.15</v>
      </c>
      <c r="H132" s="134">
        <v>0</v>
      </c>
      <c r="I132" s="77">
        <f ca="1">INT((H132*Valores!$C$2*100)+0.5)/100</f>
        <v>0</v>
      </c>
      <c r="J132" s="147">
        <v>0</v>
      </c>
      <c r="K132" s="77">
        <f ca="1">INT((J132*Valores!$C$2*100)+0.5)/100</f>
        <v>0</v>
      </c>
      <c r="L132" s="120">
        <v>0</v>
      </c>
      <c r="M132" s="77">
        <f ca="1">INT((L132*Valores!$C$2*100)+0.5)/100</f>
        <v>0</v>
      </c>
      <c r="N132" s="77">
        <f t="shared" ca="1" si="13"/>
        <v>0</v>
      </c>
      <c r="O132" s="77">
        <f t="shared" ca="1" si="14"/>
        <v>7321.28</v>
      </c>
      <c r="P132" s="78">
        <f>Valores!$C$20</f>
        <v>2991.57</v>
      </c>
      <c r="Q132" s="78">
        <f ca="1">Valores!$D$4</f>
        <v>2296.75</v>
      </c>
      <c r="R132" s="77">
        <f>Valores!$C$26</f>
        <v>2298.92</v>
      </c>
      <c r="S132" s="79">
        <f>Valores!$C$42</f>
        <v>759.13</v>
      </c>
      <c r="T132" s="77">
        <f>Valores!$C$23</f>
        <v>2221.56</v>
      </c>
      <c r="U132" s="77">
        <f t="shared" ca="1" si="21"/>
        <v>4443.12</v>
      </c>
      <c r="V132" s="77">
        <v>0</v>
      </c>
      <c r="W132" s="77">
        <v>0</v>
      </c>
      <c r="X132" s="116">
        <v>0</v>
      </c>
      <c r="Y132" s="77">
        <f ca="1">X132*Valores!$C$2</f>
        <v>0</v>
      </c>
      <c r="Z132" s="77">
        <v>0</v>
      </c>
      <c r="AA132" s="89">
        <f>Valores!$C$29</f>
        <v>131.68</v>
      </c>
      <c r="AB132" s="77">
        <f t="shared" ca="1" si="15"/>
        <v>0</v>
      </c>
      <c r="AC132" s="77">
        <f>Valores!$C$30</f>
        <v>131.68</v>
      </c>
      <c r="AD132" s="116">
        <v>94</v>
      </c>
      <c r="AE132" s="77">
        <f ca="1">INT(((AD132*Valores!$C$2)*100)+0.5)/100</f>
        <v>482.66</v>
      </c>
      <c r="AF132" s="77">
        <f>Valores!$C$51</f>
        <v>267.87</v>
      </c>
      <c r="AG132" s="77">
        <f>Valores!$C$52</f>
        <v>76.540000000000006</v>
      </c>
      <c r="AH132" s="77">
        <f ca="1">SUM(G132,I132,K132,M132,N132,O132,P132,Q132,R132,S132,U132,V132,W132,Y132,Z132,AA132,AB132,AC132,AE132,AF132,AG132)*Valores!$C$54</f>
        <v>0</v>
      </c>
      <c r="AI132" s="15">
        <f t="shared" ca="1" si="18"/>
        <v>27763.35</v>
      </c>
      <c r="AJ132" s="78">
        <f>Valores!$C$35</f>
        <v>182.07</v>
      </c>
      <c r="AK132" s="79">
        <f>Valores!$C$8</f>
        <v>204.1</v>
      </c>
      <c r="AL132" s="89">
        <v>112.25</v>
      </c>
      <c r="AM132" s="79">
        <f ca="1">IF($G$4="SI",SUM(AK132+AL132),AK132)*Valores!$C$54</f>
        <v>0</v>
      </c>
      <c r="AN132" s="12">
        <f t="shared" ca="1" si="19"/>
        <v>498.41999999999996</v>
      </c>
      <c r="AO132" s="153">
        <f ca="1">AI132*-Valores!$C$56</f>
        <v>-3609.2354999999998</v>
      </c>
      <c r="AP132" s="153">
        <f ca="1">AI132*-Valores!$C$57</f>
        <v>-138.81674999999998</v>
      </c>
      <c r="AQ132" s="78">
        <f ca="1">AI132*-Valores!$C$58</f>
        <v>-1249.3507499999998</v>
      </c>
      <c r="AR132" s="78">
        <f ca="1">AI132*-Valores!$C$59</f>
        <v>-749.61045000000001</v>
      </c>
      <c r="AS132" s="78">
        <f ca="1">AI132*-Valores!$C$60</f>
        <v>-83.290049999999994</v>
      </c>
      <c r="AT132" s="15">
        <f t="shared" ca="1" si="16"/>
        <v>23264.366999999995</v>
      </c>
      <c r="AU132" s="15">
        <f t="shared" ca="1" si="17"/>
        <v>23680.817249999996</v>
      </c>
      <c r="AV132" s="78">
        <f ca="1">AI132*Valores!$C$61</f>
        <v>4442.1359999999995</v>
      </c>
      <c r="AW132" s="78">
        <f ca="1">AI132*Valores!$C$62</f>
        <v>1249.3507499999998</v>
      </c>
      <c r="AX132" s="78">
        <f ca="1">AI132*Valores!$C$64</f>
        <v>277.63349999999997</v>
      </c>
      <c r="AY132" s="78">
        <f ca="1">AI132*Valores!$C$65</f>
        <v>971.71725000000004</v>
      </c>
      <c r="AZ132" s="78">
        <f ca="1">AI132*Valores!$C$66</f>
        <v>166.58009999999999</v>
      </c>
      <c r="BA132" s="78">
        <f t="shared" ca="1" si="20"/>
        <v>1499.2209</v>
      </c>
      <c r="BB132" s="20"/>
      <c r="BC132" s="20">
        <v>20</v>
      </c>
      <c r="BD132" s="9" t="s">
        <v>467</v>
      </c>
    </row>
    <row r="133" spans="1:56" s="9" customFormat="1" ht="11.25" customHeight="1" x14ac:dyDescent="0.15">
      <c r="A133" s="20">
        <v>132</v>
      </c>
      <c r="B133" s="20"/>
      <c r="C133" s="9" t="s">
        <v>242</v>
      </c>
      <c r="E133" s="10" t="s">
        <v>243</v>
      </c>
      <c r="F133" s="123">
        <v>936</v>
      </c>
      <c r="G133" s="7">
        <f ca="1">INT((F133*Valores!$C$2*100)+0.5)/100</f>
        <v>4806.08</v>
      </c>
      <c r="H133" s="134">
        <v>0</v>
      </c>
      <c r="I133" s="77">
        <f ca="1">INT((H133*Valores!$C$2*100)+0.5)/100</f>
        <v>0</v>
      </c>
      <c r="J133" s="147">
        <v>0</v>
      </c>
      <c r="K133" s="77">
        <f ca="1">INT((J133*Valores!$C$2*100)+0.5)/100</f>
        <v>0</v>
      </c>
      <c r="L133" s="120">
        <v>0</v>
      </c>
      <c r="M133" s="77">
        <f ca="1">INT((L133*Valores!$C$2*100)+0.5)/100</f>
        <v>0</v>
      </c>
      <c r="N133" s="77">
        <f t="shared" ca="1" si="13"/>
        <v>0</v>
      </c>
      <c r="O133" s="77">
        <f t="shared" ca="1" si="14"/>
        <v>5470.32</v>
      </c>
      <c r="P133" s="61">
        <f>Valores!$C$20</f>
        <v>2991.57</v>
      </c>
      <c r="Q133" s="61">
        <f ca="1">Valores!$D$4</f>
        <v>2296.75</v>
      </c>
      <c r="R133" s="61">
        <f>Valores!$C$27</f>
        <v>2099.9299999999998</v>
      </c>
      <c r="S133" s="87">
        <f>Valores!$C$41</f>
        <v>664.24</v>
      </c>
      <c r="T133" s="61">
        <f>Valores!$C$24</f>
        <v>2190.94</v>
      </c>
      <c r="U133" s="77">
        <f t="shared" ca="1" si="21"/>
        <v>4381.88</v>
      </c>
      <c r="V133" s="77">
        <v>0</v>
      </c>
      <c r="W133" s="77">
        <v>0</v>
      </c>
      <c r="X133" s="116">
        <v>0</v>
      </c>
      <c r="Y133" s="77">
        <f ca="1">X133*Valores!$C$2</f>
        <v>0</v>
      </c>
      <c r="Z133" s="77">
        <v>0</v>
      </c>
      <c r="AA133" s="89">
        <f>Valores!$C$29</f>
        <v>131.68</v>
      </c>
      <c r="AB133" s="77">
        <f t="shared" ca="1" si="15"/>
        <v>0</v>
      </c>
      <c r="AC133" s="77">
        <f>Valores!$C$30</f>
        <v>131.68</v>
      </c>
      <c r="AD133" s="125">
        <v>94</v>
      </c>
      <c r="AE133" s="79">
        <f ca="1">INT(((AD133*Valores!$C$2)*100)+0.5)/100</f>
        <v>482.66</v>
      </c>
      <c r="AF133" s="79">
        <f>Valores!$C$51</f>
        <v>267.87</v>
      </c>
      <c r="AG133" s="79">
        <f>Valores!$C$52</f>
        <v>76.540000000000006</v>
      </c>
      <c r="AH133" s="79">
        <f ca="1">SUM(G133,I133,K133,M133,N133,O133,P133,Q133,R133,S133,U133,V133,W133,Y133,Z133,AA133,AB133,AC133,AE133,AF133,AG133)*Valores!$C$54</f>
        <v>0</v>
      </c>
      <c r="AI133" s="141">
        <f t="shared" ca="1" si="18"/>
        <v>23801.200000000001</v>
      </c>
      <c r="AJ133" s="61">
        <f>Valores!$C$35</f>
        <v>182.07</v>
      </c>
      <c r="AK133" s="79">
        <f>Valores!$C$7</f>
        <v>178.59</v>
      </c>
      <c r="AL133" s="89">
        <v>112.25</v>
      </c>
      <c r="AM133" s="79">
        <f ca="1">IF($G$4="SI",SUM(AK133+AL133),AK133)*Valores!$C$54</f>
        <v>0</v>
      </c>
      <c r="AN133" s="12">
        <f t="shared" ca="1" si="19"/>
        <v>472.90999999999997</v>
      </c>
      <c r="AO133" s="13">
        <f ca="1">AI133*-Valores!$C$56</f>
        <v>-3094.1560000000004</v>
      </c>
      <c r="AP133" s="13">
        <f ca="1">AI133*-Valores!$C$57</f>
        <v>-119.006</v>
      </c>
      <c r="AQ133" s="78">
        <f ca="1">AI133*-Valores!$C$58</f>
        <v>-1071.0540000000001</v>
      </c>
      <c r="AR133" s="78">
        <f ca="1">AI133*-Valores!$C$59</f>
        <v>-642.63240000000008</v>
      </c>
      <c r="AS133" s="78">
        <f ca="1">AI133*-Valores!$C$60</f>
        <v>-71.403599999999997</v>
      </c>
      <c r="AT133" s="15">
        <f t="shared" ca="1" si="16"/>
        <v>19989.894</v>
      </c>
      <c r="AU133" s="15">
        <f t="shared" ca="1" si="17"/>
        <v>20346.912</v>
      </c>
      <c r="AV133" s="78">
        <f ca="1">AI133*Valores!$C$61</f>
        <v>3808.192</v>
      </c>
      <c r="AW133" s="78">
        <f ca="1">AI133*Valores!$C$62</f>
        <v>1071.0540000000001</v>
      </c>
      <c r="AX133" s="78">
        <f ca="1">AI133*Valores!$C$64</f>
        <v>238.012</v>
      </c>
      <c r="AY133" s="78">
        <f ca="1">AI133*Valores!$C$65</f>
        <v>833.04200000000014</v>
      </c>
      <c r="AZ133" s="78">
        <f ca="1">AI133*Valores!$C$66</f>
        <v>142.80719999999999</v>
      </c>
      <c r="BA133" s="78">
        <f t="shared" ca="1" si="20"/>
        <v>1285.2648000000002</v>
      </c>
      <c r="BB133" s="20">
        <v>8</v>
      </c>
      <c r="BC133" s="20"/>
      <c r="BD133" s="9" t="s">
        <v>467</v>
      </c>
    </row>
    <row r="134" spans="1:56" s="9" customFormat="1" ht="11.25" customHeight="1" x14ac:dyDescent="0.15">
      <c r="A134" s="20">
        <v>133</v>
      </c>
      <c r="B134" s="20"/>
      <c r="C134" s="9" t="s">
        <v>244</v>
      </c>
      <c r="E134" s="10" t="s">
        <v>245</v>
      </c>
      <c r="F134" s="123">
        <v>1278</v>
      </c>
      <c r="G134" s="7">
        <f ca="1">INT((F134*Valores!$C$2*100)+0.5)/100</f>
        <v>6562.15</v>
      </c>
      <c r="H134" s="134">
        <v>0</v>
      </c>
      <c r="I134" s="77">
        <f ca="1">INT((H134*Valores!$C$2*100)+0.5)/100</f>
        <v>0</v>
      </c>
      <c r="J134" s="147">
        <v>0</v>
      </c>
      <c r="K134" s="77">
        <f ca="1">INT((J134*Valores!$C$2*100)+0.5)/100</f>
        <v>0</v>
      </c>
      <c r="L134" s="120">
        <v>0</v>
      </c>
      <c r="M134" s="77">
        <f ca="1">INT((L134*Valores!$C$2*100)+0.5)/100</f>
        <v>0</v>
      </c>
      <c r="N134" s="77">
        <f t="shared" ca="1" si="13"/>
        <v>0</v>
      </c>
      <c r="O134" s="77">
        <f t="shared" ca="1" si="14"/>
        <v>7226.3899999999994</v>
      </c>
      <c r="P134" s="61">
        <f>Valores!$C$15</f>
        <v>3144.64</v>
      </c>
      <c r="Q134" s="61">
        <f ca="1">Valores!$D$4</f>
        <v>2296.75</v>
      </c>
      <c r="R134" s="79">
        <v>0</v>
      </c>
      <c r="S134" s="79">
        <f>Valores!$C$41</f>
        <v>664.24</v>
      </c>
      <c r="T134" s="61">
        <f>Valores!$C$24</f>
        <v>2190.94</v>
      </c>
      <c r="U134" s="77">
        <f t="shared" ca="1" si="21"/>
        <v>4381.88</v>
      </c>
      <c r="V134" s="77">
        <v>0</v>
      </c>
      <c r="W134" s="77">
        <v>0</v>
      </c>
      <c r="X134" s="116">
        <v>0</v>
      </c>
      <c r="Y134" s="77">
        <f ca="1">X134*Valores!$C$2</f>
        <v>0</v>
      </c>
      <c r="Z134" s="77">
        <v>0</v>
      </c>
      <c r="AA134" s="89">
        <f>Valores!$C$29</f>
        <v>131.68</v>
      </c>
      <c r="AB134" s="77">
        <f t="shared" ca="1" si="15"/>
        <v>0</v>
      </c>
      <c r="AC134" s="77">
        <f>Valores!$C$30</f>
        <v>131.68</v>
      </c>
      <c r="AD134" s="125">
        <v>94</v>
      </c>
      <c r="AE134" s="79">
        <f ca="1">INT(((AD134*Valores!$C$2)*100)+0.5)/100</f>
        <v>482.66</v>
      </c>
      <c r="AF134" s="79">
        <f>Valores!$C$51</f>
        <v>267.87</v>
      </c>
      <c r="AG134" s="79">
        <f>Valores!$C$52</f>
        <v>76.540000000000006</v>
      </c>
      <c r="AH134" s="79">
        <f ca="1">SUM(G134,I134,K134,M134,N134,O134,P134,Q134,R134,S134,U134,V134,W134,Y134,Z134,AA134,AB134,AC134,AE134,AF134,AG134)*Valores!$C$54</f>
        <v>0</v>
      </c>
      <c r="AI134" s="141">
        <f t="shared" ca="1" si="18"/>
        <v>25366.480000000003</v>
      </c>
      <c r="AJ134" s="61">
        <f>Valores!$C$35</f>
        <v>182.07</v>
      </c>
      <c r="AK134" s="79">
        <f>Valores!$C$7</f>
        <v>178.59</v>
      </c>
      <c r="AL134" s="89">
        <v>112.25</v>
      </c>
      <c r="AM134" s="79">
        <f ca="1">IF($G$4="SI",SUM(AK134+AL134),AK134)*Valores!$C$54</f>
        <v>0</v>
      </c>
      <c r="AN134" s="12">
        <f t="shared" ca="1" si="19"/>
        <v>472.90999999999997</v>
      </c>
      <c r="AO134" s="13">
        <f ca="1">AI134*-Valores!$C$56</f>
        <v>-3297.6424000000006</v>
      </c>
      <c r="AP134" s="13">
        <f ca="1">AI134*-Valores!$C$57</f>
        <v>-126.83240000000002</v>
      </c>
      <c r="AQ134" s="78">
        <f ca="1">AI134*-Valores!$C$58</f>
        <v>-1141.4916000000001</v>
      </c>
      <c r="AR134" s="78">
        <f ca="1">AI134*-Valores!$C$59</f>
        <v>-684.8949600000002</v>
      </c>
      <c r="AS134" s="78">
        <f ca="1">AI134*-Valores!$C$60</f>
        <v>-76.099440000000016</v>
      </c>
      <c r="AT134" s="15">
        <f t="shared" ca="1" si="16"/>
        <v>21273.423600000002</v>
      </c>
      <c r="AU134" s="15">
        <f t="shared" ca="1" si="17"/>
        <v>21653.9208</v>
      </c>
      <c r="AV134" s="78">
        <f ca="1">AI134*Valores!$C$61</f>
        <v>4058.6368000000007</v>
      </c>
      <c r="AW134" s="78">
        <f ca="1">AI134*Valores!$C$62</f>
        <v>1141.4916000000001</v>
      </c>
      <c r="AX134" s="78">
        <f ca="1">AI134*Valores!$C$64</f>
        <v>253.66480000000004</v>
      </c>
      <c r="AY134" s="78">
        <f ca="1">AI134*Valores!$C$65</f>
        <v>887.82680000000016</v>
      </c>
      <c r="AZ134" s="78">
        <f ca="1">AI134*Valores!$C$66</f>
        <v>152.19888000000003</v>
      </c>
      <c r="BA134" s="78">
        <f t="shared" ca="1" si="20"/>
        <v>1369.7899200000002</v>
      </c>
      <c r="BB134" s="20"/>
      <c r="BC134" s="55">
        <v>22</v>
      </c>
      <c r="BD134" s="9" t="s">
        <v>467</v>
      </c>
    </row>
    <row r="135" spans="1:56" s="9" customFormat="1" ht="11.25" customHeight="1" x14ac:dyDescent="0.15">
      <c r="A135" s="20">
        <v>134</v>
      </c>
      <c r="B135" s="20"/>
      <c r="C135" s="9" t="s">
        <v>246</v>
      </c>
      <c r="E135" s="10" t="s">
        <v>247</v>
      </c>
      <c r="F135" s="123">
        <v>1278</v>
      </c>
      <c r="G135" s="7">
        <f ca="1">INT((F135*Valores!$C$2*100)+0.5)/100</f>
        <v>6562.15</v>
      </c>
      <c r="H135" s="134">
        <v>0</v>
      </c>
      <c r="I135" s="77">
        <f ca="1">INT((H135*Valores!$C$2*100)+0.5)/100</f>
        <v>0</v>
      </c>
      <c r="J135" s="147">
        <v>0</v>
      </c>
      <c r="K135" s="77">
        <f ca="1">INT((J135*Valores!$C$2*100)+0.5)/100</f>
        <v>0</v>
      </c>
      <c r="L135" s="120">
        <v>0</v>
      </c>
      <c r="M135" s="77">
        <f ca="1">INT((L135*Valores!$C$2*100)+0.5)/100</f>
        <v>0</v>
      </c>
      <c r="N135" s="77">
        <f t="shared" ca="1" si="13"/>
        <v>0</v>
      </c>
      <c r="O135" s="77">
        <f t="shared" ca="1" si="14"/>
        <v>7321.28</v>
      </c>
      <c r="P135" s="61">
        <f>Valores!$C$15</f>
        <v>3144.64</v>
      </c>
      <c r="Q135" s="61">
        <f ca="1">Valores!$D$4</f>
        <v>2296.75</v>
      </c>
      <c r="R135" s="61">
        <f>Valores!$C$26</f>
        <v>2298.92</v>
      </c>
      <c r="S135" s="87">
        <f>Valores!$C$42</f>
        <v>759.13</v>
      </c>
      <c r="T135" s="77">
        <f>Valores!$C$23</f>
        <v>2221.56</v>
      </c>
      <c r="U135" s="77">
        <f t="shared" ca="1" si="21"/>
        <v>4443.12</v>
      </c>
      <c r="V135" s="77">
        <v>0</v>
      </c>
      <c r="W135" s="77">
        <v>0</v>
      </c>
      <c r="X135" s="116">
        <v>0</v>
      </c>
      <c r="Y135" s="77">
        <f ca="1">X135*Valores!$C$2</f>
        <v>0</v>
      </c>
      <c r="Z135" s="77">
        <v>0</v>
      </c>
      <c r="AA135" s="89">
        <f>Valores!$C$29</f>
        <v>131.68</v>
      </c>
      <c r="AB135" s="77">
        <f t="shared" ref="AB135:AB198" ca="1" si="22">SUM(G135,I135,K135,Y135,S135,M135)*$G$3/100</f>
        <v>0</v>
      </c>
      <c r="AC135" s="77">
        <f>Valores!$C$30</f>
        <v>131.68</v>
      </c>
      <c r="AD135" s="116">
        <v>0</v>
      </c>
      <c r="AE135" s="77">
        <f ca="1">INT(((AD135*Valores!$C$2)*100)+0.5)/100</f>
        <v>0</v>
      </c>
      <c r="AF135" s="77">
        <f>Valores!$C$51</f>
        <v>267.87</v>
      </c>
      <c r="AG135" s="77">
        <f>Valores!$C$52</f>
        <v>76.540000000000006</v>
      </c>
      <c r="AH135" s="77">
        <f ca="1">SUM(G135,I135,K135,M135,N135,O135,P135,Q135,R135,S135,U135,V135,W135,Y135,Z135,AA135,AB135,AC135,AE135,AF135,AG135)*Valores!$C$54</f>
        <v>0</v>
      </c>
      <c r="AI135" s="141">
        <f t="shared" ca="1" si="18"/>
        <v>27433.759999999998</v>
      </c>
      <c r="AJ135" s="61">
        <f>Valores!$C$35</f>
        <v>182.07</v>
      </c>
      <c r="AK135" s="79">
        <f>Valores!$C$8</f>
        <v>204.1</v>
      </c>
      <c r="AL135" s="89">
        <v>112.25</v>
      </c>
      <c r="AM135" s="79">
        <f ca="1">IF($G$4="SI",SUM(AK135+AL135),AK135)*Valores!$C$54</f>
        <v>0</v>
      </c>
      <c r="AN135" s="12">
        <f t="shared" ca="1" si="19"/>
        <v>498.41999999999996</v>
      </c>
      <c r="AO135" s="13">
        <f ca="1">AI135*-Valores!$C$56</f>
        <v>-3566.3887999999997</v>
      </c>
      <c r="AP135" s="13">
        <f ca="1">AI135*-Valores!$C$57</f>
        <v>-137.1688</v>
      </c>
      <c r="AQ135" s="78">
        <f ca="1">AI135*-Valores!$C$58</f>
        <v>-1234.5192</v>
      </c>
      <c r="AR135" s="78">
        <f ca="1">AI135*-Valores!$C$59</f>
        <v>-740.71152000000006</v>
      </c>
      <c r="AS135" s="78">
        <f ca="1">AI135*-Valores!$C$60</f>
        <v>-82.301279999999991</v>
      </c>
      <c r="AT135" s="15">
        <f t="shared" ref="AT135:AT198" ca="1" si="23">AI135+AN135+AP135+AQ135+AO135</f>
        <v>22994.103199999998</v>
      </c>
      <c r="AU135" s="15">
        <f t="shared" ref="AU135:AU198" ca="1" si="24">AI135+AN135+AP135+AR135+AO135+AS135</f>
        <v>23405.609599999996</v>
      </c>
      <c r="AV135" s="78">
        <f ca="1">AI135*Valores!$C$61</f>
        <v>4389.4016000000001</v>
      </c>
      <c r="AW135" s="78">
        <f ca="1">AI135*Valores!$C$62</f>
        <v>1234.5192</v>
      </c>
      <c r="AX135" s="78">
        <f ca="1">AI135*Valores!$C$64</f>
        <v>274.33760000000001</v>
      </c>
      <c r="AY135" s="78">
        <f ca="1">AI135*Valores!$C$65</f>
        <v>960.1816</v>
      </c>
      <c r="AZ135" s="78">
        <f ca="1">AI135*Valores!$C$66</f>
        <v>164.60255999999998</v>
      </c>
      <c r="BA135" s="78">
        <f t="shared" ca="1" si="20"/>
        <v>1481.4230400000001</v>
      </c>
      <c r="BB135" s="20"/>
      <c r="BC135" s="20"/>
      <c r="BD135" s="9" t="s">
        <v>467</v>
      </c>
    </row>
    <row r="136" spans="1:56" s="9" customFormat="1" ht="11.25" customHeight="1" x14ac:dyDescent="0.15">
      <c r="A136" s="55">
        <v>135</v>
      </c>
      <c r="B136" s="55" t="s">
        <v>462</v>
      </c>
      <c r="C136" s="52" t="s">
        <v>248</v>
      </c>
      <c r="D136" s="52"/>
      <c r="E136" s="53" t="s">
        <v>249</v>
      </c>
      <c r="F136" s="124">
        <v>1278</v>
      </c>
      <c r="G136" s="129">
        <f ca="1">INT((F136*Valores!$C$2*100)+0.5)/100</f>
        <v>6562.15</v>
      </c>
      <c r="H136" s="133">
        <v>0</v>
      </c>
      <c r="I136" s="80">
        <f ca="1">INT((H136*Valores!$C$2*100)+0.5)/100</f>
        <v>0</v>
      </c>
      <c r="J136" s="148">
        <v>0</v>
      </c>
      <c r="K136" s="80">
        <f ca="1">INT((J136*Valores!$C$2*100)+0.5)/100</f>
        <v>0</v>
      </c>
      <c r="L136" s="121">
        <v>0</v>
      </c>
      <c r="M136" s="80">
        <f ca="1">INT((L136*Valores!$C$2*100)+0.5)/100</f>
        <v>0</v>
      </c>
      <c r="N136" s="80">
        <f t="shared" ca="1" si="13"/>
        <v>0</v>
      </c>
      <c r="O136" s="80">
        <f t="shared" ca="1" si="14"/>
        <v>7321.28</v>
      </c>
      <c r="P136" s="85">
        <f>Valores!$C$15</f>
        <v>3144.64</v>
      </c>
      <c r="Q136" s="85">
        <f ca="1">Valores!$D$4</f>
        <v>2296.75</v>
      </c>
      <c r="R136" s="85">
        <f>Valores!$C$26</f>
        <v>2298.92</v>
      </c>
      <c r="S136" s="88">
        <f>Valores!$C$42</f>
        <v>759.13</v>
      </c>
      <c r="T136" s="80">
        <f>Valores!$C$23</f>
        <v>2221.56</v>
      </c>
      <c r="U136" s="80">
        <f t="shared" ca="1" si="21"/>
        <v>4443.12</v>
      </c>
      <c r="V136" s="80">
        <v>0</v>
      </c>
      <c r="W136" s="80">
        <v>0</v>
      </c>
      <c r="X136" s="115">
        <v>0</v>
      </c>
      <c r="Y136" s="80">
        <f ca="1">X136*Valores!$C$2</f>
        <v>0</v>
      </c>
      <c r="Z136" s="80">
        <v>0</v>
      </c>
      <c r="AA136" s="90">
        <f>Valores!$C$29</f>
        <v>131.68</v>
      </c>
      <c r="AB136" s="80">
        <f t="shared" ca="1" si="22"/>
        <v>0</v>
      </c>
      <c r="AC136" s="80">
        <f>Valores!$C$30</f>
        <v>131.68</v>
      </c>
      <c r="AD136" s="115">
        <v>0</v>
      </c>
      <c r="AE136" s="80">
        <f ca="1">INT(((AD136*Valores!$C$2)*100)+0.5)/100</f>
        <v>0</v>
      </c>
      <c r="AF136" s="80">
        <f>Valores!$C$51</f>
        <v>267.87</v>
      </c>
      <c r="AG136" s="80">
        <f>Valores!$C$52</f>
        <v>76.540000000000006</v>
      </c>
      <c r="AH136" s="80">
        <f ca="1">SUM(G136,I136,K136,M136,N136,O136,P136,Q136,R136,S136,U136,V136,W136,Y136,Z136,AA136,AB136,AC136,AE136,AF136,AG136)*Valores!$C$54</f>
        <v>0</v>
      </c>
      <c r="AI136" s="142">
        <f t="shared" ref="AI136:AI199" ca="1" si="25">SUM(G136,I136,K136,M136,N136,O136,P136,Q136,R136,U136,V136,W136,Y136,Z136,AA136,AB136,AC136,AE136,S136,AF136,AG136,AH136)</f>
        <v>27433.759999999998</v>
      </c>
      <c r="AJ136" s="85">
        <f>Valores!$C$35</f>
        <v>182.07</v>
      </c>
      <c r="AK136" s="82">
        <f>Valores!$C$8</f>
        <v>204.1</v>
      </c>
      <c r="AL136" s="90">
        <v>112.25</v>
      </c>
      <c r="AM136" s="82">
        <f ca="1">IF($G$4="SI",SUM(AK136+AL136),AK136)*Valores!$C$54</f>
        <v>0</v>
      </c>
      <c r="AN136" s="186">
        <f t="shared" ref="AN136:AN199" ca="1" si="26">SUM(AJ136:AK136,AL136,AM136)</f>
        <v>498.41999999999996</v>
      </c>
      <c r="AO136" s="155">
        <f ca="1">AI136*-Valores!$C$56</f>
        <v>-3566.3887999999997</v>
      </c>
      <c r="AP136" s="155">
        <f ca="1">AI136*-Valores!$C$57</f>
        <v>-137.1688</v>
      </c>
      <c r="AQ136" s="81">
        <f ca="1">AI136*-Valores!$C$58</f>
        <v>-1234.5192</v>
      </c>
      <c r="AR136" s="81">
        <f ca="1">AI136*-Valores!$C$59</f>
        <v>-740.71152000000006</v>
      </c>
      <c r="AS136" s="81">
        <f ca="1">AI136*-Valores!$C$60</f>
        <v>-82.301279999999991</v>
      </c>
      <c r="AT136" s="54">
        <f t="shared" ca="1" si="23"/>
        <v>22994.103199999998</v>
      </c>
      <c r="AU136" s="54">
        <f t="shared" ca="1" si="24"/>
        <v>23405.609599999996</v>
      </c>
      <c r="AV136" s="81">
        <f ca="1">AI136*Valores!$C$61</f>
        <v>4389.4016000000001</v>
      </c>
      <c r="AW136" s="81">
        <f ca="1">AI136*Valores!$C$62</f>
        <v>1234.5192</v>
      </c>
      <c r="AX136" s="81">
        <f ca="1">AI136*Valores!$C$64</f>
        <v>274.33760000000001</v>
      </c>
      <c r="AY136" s="81">
        <f ca="1">AI136*Valores!$C$65</f>
        <v>960.1816</v>
      </c>
      <c r="AZ136" s="81">
        <f ca="1">AI136*Valores!$C$66</f>
        <v>164.60255999999998</v>
      </c>
      <c r="BA136" s="81">
        <f t="shared" ca="1" si="20"/>
        <v>1481.4230400000001</v>
      </c>
      <c r="BB136" s="55"/>
      <c r="BC136" s="55"/>
      <c r="BD136" s="52" t="s">
        <v>467</v>
      </c>
    </row>
    <row r="137" spans="1:56" s="9" customFormat="1" ht="11.25" customHeight="1" x14ac:dyDescent="0.15">
      <c r="A137" s="20">
        <v>136</v>
      </c>
      <c r="B137" s="20"/>
      <c r="C137" s="9" t="s">
        <v>250</v>
      </c>
      <c r="E137" s="10" t="s">
        <v>251</v>
      </c>
      <c r="F137" s="123">
        <v>1278</v>
      </c>
      <c r="G137" s="7">
        <f ca="1">INT((F137*Valores!$C$2*100)+0.5)/100</f>
        <v>6562.15</v>
      </c>
      <c r="H137" s="134">
        <v>0</v>
      </c>
      <c r="I137" s="77">
        <f ca="1">INT((H137*Valores!$C$2*100)+0.5)/100</f>
        <v>0</v>
      </c>
      <c r="J137" s="147">
        <v>0</v>
      </c>
      <c r="K137" s="77">
        <f ca="1">INT((J137*Valores!$C$2*100)+0.5)/100</f>
        <v>0</v>
      </c>
      <c r="L137" s="120">
        <v>0</v>
      </c>
      <c r="M137" s="77">
        <f ca="1">INT((L137*Valores!$C$2*100)+0.5)/100</f>
        <v>0</v>
      </c>
      <c r="N137" s="77">
        <f t="shared" ca="1" si="13"/>
        <v>0</v>
      </c>
      <c r="O137" s="77">
        <f t="shared" ca="1" si="14"/>
        <v>7321.28</v>
      </c>
      <c r="P137" s="61">
        <f>Valores!$C$20</f>
        <v>2991.57</v>
      </c>
      <c r="Q137" s="61">
        <f ca="1">Valores!$D$4</f>
        <v>2296.75</v>
      </c>
      <c r="R137" s="77">
        <v>0</v>
      </c>
      <c r="S137" s="79">
        <f>Valores!$C$42</f>
        <v>759.13</v>
      </c>
      <c r="T137" s="77">
        <f>Valores!$C$23</f>
        <v>2221.56</v>
      </c>
      <c r="U137" s="77">
        <f t="shared" ca="1" si="21"/>
        <v>4443.12</v>
      </c>
      <c r="V137" s="77">
        <v>0</v>
      </c>
      <c r="W137" s="77">
        <v>0</v>
      </c>
      <c r="X137" s="116">
        <v>0</v>
      </c>
      <c r="Y137" s="77">
        <f ca="1">X137*Valores!$C$2</f>
        <v>0</v>
      </c>
      <c r="Z137" s="77">
        <v>0</v>
      </c>
      <c r="AA137" s="89">
        <f>Valores!$C$29</f>
        <v>131.68</v>
      </c>
      <c r="AB137" s="77">
        <f t="shared" ca="1" si="22"/>
        <v>0</v>
      </c>
      <c r="AC137" s="77">
        <f>Valores!$C$30</f>
        <v>131.68</v>
      </c>
      <c r="AD137" s="116">
        <v>0</v>
      </c>
      <c r="AE137" s="77">
        <f ca="1">INT(((AD137*Valores!$C$2)*100)+0.5)/100</f>
        <v>0</v>
      </c>
      <c r="AF137" s="77">
        <f>Valores!$C$51</f>
        <v>267.87</v>
      </c>
      <c r="AG137" s="77">
        <f>Valores!$C$52</f>
        <v>76.540000000000006</v>
      </c>
      <c r="AH137" s="77">
        <f ca="1">SUM(G137,I137,K137,M137,N137,O137,P137,Q137,R137,S137,U137,V137,W137,Y137,Z137,AA137,AB137,AC137,AE137,AF137,AG137)*Valores!$C$54</f>
        <v>0</v>
      </c>
      <c r="AI137" s="141">
        <f t="shared" ca="1" si="25"/>
        <v>24981.77</v>
      </c>
      <c r="AJ137" s="61">
        <f>Valores!$C$35</f>
        <v>182.07</v>
      </c>
      <c r="AK137" s="79">
        <f>Valores!$C$8</f>
        <v>204.1</v>
      </c>
      <c r="AL137" s="89">
        <v>0</v>
      </c>
      <c r="AM137" s="79">
        <f ca="1">IF($G$4="SI",SUM(AK137+AL137),AK137)*Valores!$C$54</f>
        <v>0</v>
      </c>
      <c r="AN137" s="12">
        <f t="shared" ca="1" si="26"/>
        <v>386.16999999999996</v>
      </c>
      <c r="AO137" s="13">
        <f ca="1">AI137*-Valores!$C$56</f>
        <v>-3247.6301000000003</v>
      </c>
      <c r="AP137" s="13">
        <f ca="1">AI137*-Valores!$C$57</f>
        <v>-124.90885</v>
      </c>
      <c r="AQ137" s="78">
        <f ca="1">AI137*-Valores!$C$58</f>
        <v>-1124.17965</v>
      </c>
      <c r="AR137" s="78">
        <f ca="1">AI137*-Valores!$C$59</f>
        <v>-674.50779000000011</v>
      </c>
      <c r="AS137" s="78">
        <f ca="1">AI137*-Valores!$C$60</f>
        <v>-74.945310000000006</v>
      </c>
      <c r="AT137" s="15">
        <f t="shared" ca="1" si="23"/>
        <v>20871.221399999995</v>
      </c>
      <c r="AU137" s="15">
        <f t="shared" ca="1" si="24"/>
        <v>21245.947949999998</v>
      </c>
      <c r="AV137" s="78">
        <f ca="1">AI137*Valores!$C$61</f>
        <v>3997.0832</v>
      </c>
      <c r="AW137" s="78">
        <f ca="1">AI137*Valores!$C$62</f>
        <v>1124.17965</v>
      </c>
      <c r="AX137" s="78">
        <f ca="1">AI137*Valores!$C$64</f>
        <v>249.8177</v>
      </c>
      <c r="AY137" s="78">
        <f ca="1">AI137*Valores!$C$65</f>
        <v>874.36195000000009</v>
      </c>
      <c r="AZ137" s="78">
        <f ca="1">AI137*Valores!$C$66</f>
        <v>149.89062000000001</v>
      </c>
      <c r="BA137" s="78">
        <f t="shared" ref="BA137:BA200" ca="1" si="27">AI137*5.4/100</f>
        <v>1349.0155800000002</v>
      </c>
      <c r="BB137" s="20">
        <v>12</v>
      </c>
      <c r="BC137" s="20">
        <v>15</v>
      </c>
      <c r="BD137" s="9" t="s">
        <v>466</v>
      </c>
    </row>
    <row r="138" spans="1:56" s="9" customFormat="1" ht="11.25" customHeight="1" x14ac:dyDescent="0.15">
      <c r="A138" s="20">
        <v>137</v>
      </c>
      <c r="B138" s="20"/>
      <c r="C138" s="9" t="s">
        <v>252</v>
      </c>
      <c r="E138" s="10" t="s">
        <v>253</v>
      </c>
      <c r="F138" s="123">
        <v>616</v>
      </c>
      <c r="G138" s="7">
        <f ca="1">INT((F138*Valores!$C$2*100)+0.5)/100</f>
        <v>3162.98</v>
      </c>
      <c r="H138" s="134">
        <v>0</v>
      </c>
      <c r="I138" s="77">
        <f ca="1">INT((H138*Valores!$C$2*100)+0.5)/100</f>
        <v>0</v>
      </c>
      <c r="J138" s="147">
        <v>0</v>
      </c>
      <c r="K138" s="77">
        <f ca="1">INT((J138*Valores!$C$2*100)+0.5)/100</f>
        <v>0</v>
      </c>
      <c r="L138" s="120">
        <v>0</v>
      </c>
      <c r="M138" s="77">
        <f ca="1">INT((L138*Valores!$C$2*100)+0.5)/100</f>
        <v>0</v>
      </c>
      <c r="N138" s="77">
        <f t="shared" ref="N138:N201" ca="1" si="28">IF($I$2=0,IF(C138&lt;&gt;"13-930",(SUM(G138,I138,K138,M138,Y138,T138,S138)*$N$2),0),0)</f>
        <v>0</v>
      </c>
      <c r="O138" s="77">
        <f t="shared" ref="O138:O201" ca="1" si="29">SUM(G138,I138,K138,M138,Y138,S138)*$I$2</f>
        <v>3922.11</v>
      </c>
      <c r="P138" s="61">
        <f>Valores!$C$15</f>
        <v>3144.64</v>
      </c>
      <c r="Q138" s="61">
        <f ca="1">Valores!$D$4</f>
        <v>2296.75</v>
      </c>
      <c r="R138" s="61">
        <f>Valores!$C$26</f>
        <v>2298.92</v>
      </c>
      <c r="S138" s="87">
        <f>Valores!$C$42</f>
        <v>759.13</v>
      </c>
      <c r="T138" s="77">
        <f>Valores!$C$23</f>
        <v>2221.56</v>
      </c>
      <c r="U138" s="77">
        <f t="shared" ca="1" si="21"/>
        <v>4443.12</v>
      </c>
      <c r="V138" s="77">
        <v>0</v>
      </c>
      <c r="W138" s="77">
        <v>0</v>
      </c>
      <c r="X138" s="116">
        <v>0</v>
      </c>
      <c r="Y138" s="77">
        <f ca="1">X138*Valores!$C$2</f>
        <v>0</v>
      </c>
      <c r="Z138" s="77">
        <v>0</v>
      </c>
      <c r="AA138" s="89">
        <f>Valores!$C$29</f>
        <v>131.68</v>
      </c>
      <c r="AB138" s="77">
        <f t="shared" ca="1" si="22"/>
        <v>0</v>
      </c>
      <c r="AC138" s="77">
        <f>Valores!$C$30</f>
        <v>131.68</v>
      </c>
      <c r="AD138" s="116">
        <v>0</v>
      </c>
      <c r="AE138" s="77">
        <f ca="1">INT(((AD138*Valores!$C$2)*100)+0.5)/100</f>
        <v>0</v>
      </c>
      <c r="AF138" s="77">
        <f>Valores!$C$51</f>
        <v>267.87</v>
      </c>
      <c r="AG138" s="77">
        <f>Valores!$C$52</f>
        <v>76.540000000000006</v>
      </c>
      <c r="AH138" s="77">
        <f ca="1">SUM(G138,I138,K138,M138,N138,O138,P138,Q138,R138,S138,U138,V138,W138,Y138,Z138,AA138,AB138,AC138,AE138,AF138,AG138)*Valores!$C$54</f>
        <v>0</v>
      </c>
      <c r="AI138" s="141">
        <f t="shared" ca="1" si="25"/>
        <v>20635.420000000002</v>
      </c>
      <c r="AJ138" s="61">
        <f>Valores!$C$35</f>
        <v>182.07</v>
      </c>
      <c r="AK138" s="79">
        <f>Valores!$C$8</f>
        <v>204.1</v>
      </c>
      <c r="AL138" s="89">
        <v>0</v>
      </c>
      <c r="AM138" s="79">
        <f ca="1">IF($G$4="SI",SUM(AK138+AL138),AK138)*Valores!$C$54</f>
        <v>0</v>
      </c>
      <c r="AN138" s="12">
        <f t="shared" ca="1" si="26"/>
        <v>386.16999999999996</v>
      </c>
      <c r="AO138" s="13">
        <f ca="1">AI138*-Valores!$C$56</f>
        <v>-2682.6046000000001</v>
      </c>
      <c r="AP138" s="13">
        <f ca="1">AI138*-Valores!$C$57</f>
        <v>-103.17710000000001</v>
      </c>
      <c r="AQ138" s="78">
        <f ca="1">AI138*-Valores!$C$58</f>
        <v>-928.59390000000008</v>
      </c>
      <c r="AR138" s="78">
        <f ca="1">AI138*-Valores!$C$59</f>
        <v>-557.15634000000011</v>
      </c>
      <c r="AS138" s="78">
        <f ca="1">AI138*-Valores!$C$60</f>
        <v>-61.90626000000001</v>
      </c>
      <c r="AT138" s="15">
        <f t="shared" ca="1" si="23"/>
        <v>17307.214400000001</v>
      </c>
      <c r="AU138" s="15">
        <f t="shared" ca="1" si="24"/>
        <v>17616.745699999999</v>
      </c>
      <c r="AV138" s="78">
        <f ca="1">AI138*Valores!$C$61</f>
        <v>3301.6672000000003</v>
      </c>
      <c r="AW138" s="78">
        <f ca="1">AI138*Valores!$C$62</f>
        <v>928.59390000000008</v>
      </c>
      <c r="AX138" s="78">
        <f ca="1">AI138*Valores!$C$64</f>
        <v>206.35420000000002</v>
      </c>
      <c r="AY138" s="78">
        <f ca="1">AI138*Valores!$C$65</f>
        <v>722.23970000000008</v>
      </c>
      <c r="AZ138" s="78">
        <f ca="1">AI138*Valores!$C$66</f>
        <v>123.81252000000002</v>
      </c>
      <c r="BA138" s="78">
        <f t="shared" ca="1" si="27"/>
        <v>1114.31268</v>
      </c>
      <c r="BB138" s="20">
        <v>6</v>
      </c>
      <c r="BC138" s="20"/>
      <c r="BD138" s="9" t="s">
        <v>467</v>
      </c>
    </row>
    <row r="139" spans="1:56" s="9" customFormat="1" ht="11.25" customHeight="1" x14ac:dyDescent="0.15">
      <c r="A139" s="20">
        <v>138</v>
      </c>
      <c r="B139" s="20"/>
      <c r="C139" s="9" t="s">
        <v>254</v>
      </c>
      <c r="E139" s="10" t="s">
        <v>255</v>
      </c>
      <c r="F139" s="123">
        <v>1278</v>
      </c>
      <c r="G139" s="7">
        <f ca="1">INT((F139*Valores!$C$2*100)+0.5)/100</f>
        <v>6562.15</v>
      </c>
      <c r="H139" s="134">
        <v>0</v>
      </c>
      <c r="I139" s="77">
        <f ca="1">INT((H139*Valores!$C$2*100)+0.5)/100</f>
        <v>0</v>
      </c>
      <c r="J139" s="147">
        <v>0</v>
      </c>
      <c r="K139" s="77">
        <f ca="1">INT((J139*Valores!$C$2*100)+0.5)/100</f>
        <v>0</v>
      </c>
      <c r="L139" s="120">
        <v>0</v>
      </c>
      <c r="M139" s="77">
        <f ca="1">INT((L139*Valores!$C$2*100)+0.5)/100</f>
        <v>0</v>
      </c>
      <c r="N139" s="77">
        <f t="shared" ca="1" si="28"/>
        <v>0</v>
      </c>
      <c r="O139" s="77">
        <f t="shared" ca="1" si="29"/>
        <v>7321.28</v>
      </c>
      <c r="P139" s="61">
        <f>Valores!$C$20</f>
        <v>2991.57</v>
      </c>
      <c r="Q139" s="61">
        <f ca="1">Valores!$D$4</f>
        <v>2296.75</v>
      </c>
      <c r="R139" s="77">
        <v>0</v>
      </c>
      <c r="S139" s="79">
        <f>Valores!$C$42</f>
        <v>759.13</v>
      </c>
      <c r="T139" s="61">
        <f>Valores!$C$24</f>
        <v>2190.94</v>
      </c>
      <c r="U139" s="77">
        <f t="shared" ca="1" si="21"/>
        <v>4381.88</v>
      </c>
      <c r="V139" s="77">
        <v>0</v>
      </c>
      <c r="W139" s="77">
        <v>0</v>
      </c>
      <c r="X139" s="116">
        <v>0</v>
      </c>
      <c r="Y139" s="77">
        <f ca="1">X139*Valores!$C$2</f>
        <v>0</v>
      </c>
      <c r="Z139" s="77">
        <v>0</v>
      </c>
      <c r="AA139" s="89">
        <f>Valores!$C$29</f>
        <v>131.68</v>
      </c>
      <c r="AB139" s="77">
        <f t="shared" ca="1" si="22"/>
        <v>0</v>
      </c>
      <c r="AC139" s="77">
        <f>Valores!$C$30</f>
        <v>131.68</v>
      </c>
      <c r="AD139" s="116">
        <v>0</v>
      </c>
      <c r="AE139" s="77">
        <f ca="1">INT(((AD139*Valores!$C$2)*100)+0.5)/100</f>
        <v>0</v>
      </c>
      <c r="AF139" s="77">
        <f>Valores!$C$51</f>
        <v>267.87</v>
      </c>
      <c r="AG139" s="77">
        <f>Valores!$C$52</f>
        <v>76.540000000000006</v>
      </c>
      <c r="AH139" s="77">
        <f ca="1">SUM(G139,I139,K139,M139,N139,O139,P139,Q139,R139,S139,U139,V139,W139,Y139,Z139,AA139,AB139,AC139,AE139,AF139,AG139)*Valores!$C$54</f>
        <v>0</v>
      </c>
      <c r="AI139" s="141">
        <f t="shared" ca="1" si="25"/>
        <v>24920.530000000002</v>
      </c>
      <c r="AJ139" s="61">
        <f>Valores!$C$35</f>
        <v>182.07</v>
      </c>
      <c r="AK139" s="79">
        <f>Valores!$C$8</f>
        <v>204.1</v>
      </c>
      <c r="AL139" s="89">
        <v>112.25</v>
      </c>
      <c r="AM139" s="79">
        <f ca="1">IF($G$4="SI",SUM(AK139+AL139),AK139)*Valores!$C$54</f>
        <v>0</v>
      </c>
      <c r="AN139" s="12">
        <f t="shared" ca="1" si="26"/>
        <v>498.41999999999996</v>
      </c>
      <c r="AO139" s="13">
        <f ca="1">AI139*-Valores!$C$56</f>
        <v>-3239.6689000000006</v>
      </c>
      <c r="AP139" s="13">
        <f ca="1">AI139*-Valores!$C$57</f>
        <v>-124.60265000000001</v>
      </c>
      <c r="AQ139" s="78">
        <f ca="1">AI139*-Valores!$C$58</f>
        <v>-1121.4238500000001</v>
      </c>
      <c r="AR139" s="78">
        <f ca="1">AI139*-Valores!$C$59</f>
        <v>-672.85431000000017</v>
      </c>
      <c r="AS139" s="78">
        <f ca="1">AI139*-Valores!$C$60</f>
        <v>-74.761590000000012</v>
      </c>
      <c r="AT139" s="15">
        <f t="shared" ca="1" si="23"/>
        <v>20933.2546</v>
      </c>
      <c r="AU139" s="15">
        <f t="shared" ca="1" si="24"/>
        <v>21307.062550000002</v>
      </c>
      <c r="AV139" s="78">
        <f ca="1">AI139*Valores!$C$61</f>
        <v>3987.2848000000004</v>
      </c>
      <c r="AW139" s="78">
        <f ca="1">AI139*Valores!$C$62</f>
        <v>1121.4238500000001</v>
      </c>
      <c r="AX139" s="78">
        <f ca="1">AI139*Valores!$C$64</f>
        <v>249.20530000000002</v>
      </c>
      <c r="AY139" s="78">
        <f ca="1">AI139*Valores!$C$65</f>
        <v>872.21855000000016</v>
      </c>
      <c r="AZ139" s="78">
        <f ca="1">AI139*Valores!$C$66</f>
        <v>149.52318000000002</v>
      </c>
      <c r="BA139" s="78">
        <f t="shared" ca="1" si="27"/>
        <v>1345.7086200000003</v>
      </c>
      <c r="BB139" s="20">
        <v>12</v>
      </c>
      <c r="BC139" s="55">
        <v>15</v>
      </c>
      <c r="BD139" s="9" t="s">
        <v>467</v>
      </c>
    </row>
    <row r="140" spans="1:56" s="9" customFormat="1" ht="11.25" customHeight="1" x14ac:dyDescent="0.15">
      <c r="A140" s="20">
        <v>139</v>
      </c>
      <c r="B140" s="20"/>
      <c r="C140" s="9" t="s">
        <v>256</v>
      </c>
      <c r="E140" s="10" t="s">
        <v>257</v>
      </c>
      <c r="F140" s="123">
        <v>1983</v>
      </c>
      <c r="G140" s="7">
        <f ca="1">INT((F140*Valores!$C$2*100)+0.5)/100</f>
        <v>10182.11</v>
      </c>
      <c r="H140" s="134">
        <v>0</v>
      </c>
      <c r="I140" s="77">
        <f ca="1">INT((H140*Valores!$C$2*100)+0.5)/100</f>
        <v>0</v>
      </c>
      <c r="J140" s="147">
        <v>0</v>
      </c>
      <c r="K140" s="77">
        <f ca="1">INT((J140*Valores!$C$2*100)+0.5)/100</f>
        <v>0</v>
      </c>
      <c r="L140" s="120">
        <v>0</v>
      </c>
      <c r="M140" s="77">
        <f ca="1">INT((L140*Valores!$C$2*100)+0.5)/100</f>
        <v>0</v>
      </c>
      <c r="N140" s="77">
        <f t="shared" ca="1" si="28"/>
        <v>0</v>
      </c>
      <c r="O140" s="77">
        <f t="shared" ca="1" si="29"/>
        <v>10941.24</v>
      </c>
      <c r="P140" s="61">
        <f>Valores!$C$15</f>
        <v>3144.64</v>
      </c>
      <c r="Q140" s="61">
        <f ca="1">Valores!$D$4</f>
        <v>2296.75</v>
      </c>
      <c r="R140" s="61">
        <f>Valores!$C$26</f>
        <v>2298.92</v>
      </c>
      <c r="S140" s="87">
        <f>Valores!$C$42</f>
        <v>759.13</v>
      </c>
      <c r="T140" s="77">
        <f>Valores!$C$23</f>
        <v>2221.56</v>
      </c>
      <c r="U140" s="77">
        <f t="shared" ca="1" si="21"/>
        <v>4443.12</v>
      </c>
      <c r="V140" s="77">
        <v>0</v>
      </c>
      <c r="W140" s="77">
        <v>0</v>
      </c>
      <c r="X140" s="116">
        <v>0</v>
      </c>
      <c r="Y140" s="77">
        <f ca="1">X140*Valores!$C$2</f>
        <v>0</v>
      </c>
      <c r="Z140" s="77">
        <v>0</v>
      </c>
      <c r="AA140" s="89">
        <f>Valores!$C$29</f>
        <v>131.68</v>
      </c>
      <c r="AB140" s="77">
        <f t="shared" ca="1" si="22"/>
        <v>0</v>
      </c>
      <c r="AC140" s="77">
        <f>Valores!$C$30</f>
        <v>131.68</v>
      </c>
      <c r="AD140" s="116">
        <v>94</v>
      </c>
      <c r="AE140" s="77">
        <f ca="1">INT(((AD140*Valores!$C$2)*100)+0.5)/100</f>
        <v>482.66</v>
      </c>
      <c r="AF140" s="77">
        <f>Valores!$C$51</f>
        <v>267.87</v>
      </c>
      <c r="AG140" s="77">
        <f>Valores!$C$52</f>
        <v>76.540000000000006</v>
      </c>
      <c r="AH140" s="77">
        <f ca="1">SUM(G140,I140,K140,M140,N140,O140,P140,Q140,R140,S140,U140,V140,W140,Y140,Z140,AA140,AB140,AC140,AE140,AF140,AG140)*Valores!$C$54</f>
        <v>0</v>
      </c>
      <c r="AI140" s="141">
        <f t="shared" ca="1" si="25"/>
        <v>35156.340000000004</v>
      </c>
      <c r="AJ140" s="61">
        <f>Valores!$C$35</f>
        <v>182.07</v>
      </c>
      <c r="AK140" s="79">
        <f>Valores!$C$8</f>
        <v>204.1</v>
      </c>
      <c r="AL140" s="89">
        <v>0</v>
      </c>
      <c r="AM140" s="79">
        <f ca="1">IF($G$4="SI",SUM(AK140+AL140),AK140)*Valores!$C$54</f>
        <v>0</v>
      </c>
      <c r="AN140" s="12">
        <f t="shared" ca="1" si="26"/>
        <v>386.16999999999996</v>
      </c>
      <c r="AO140" s="13">
        <f ca="1">AI140*-Valores!$C$56</f>
        <v>-4570.3242000000009</v>
      </c>
      <c r="AP140" s="13">
        <f ca="1">AI140*-Valores!$C$57</f>
        <v>-175.78170000000003</v>
      </c>
      <c r="AQ140" s="78">
        <f ca="1">AI140*-Valores!$C$58</f>
        <v>-1582.0353</v>
      </c>
      <c r="AR140" s="78">
        <f ca="1">AI140*-Valores!$C$59</f>
        <v>-949.22118000000023</v>
      </c>
      <c r="AS140" s="78">
        <f ca="1">AI140*-Valores!$C$60</f>
        <v>-105.46902000000001</v>
      </c>
      <c r="AT140" s="15">
        <f t="shared" ca="1" si="23"/>
        <v>29214.368799999997</v>
      </c>
      <c r="AU140" s="15">
        <f t="shared" ca="1" si="24"/>
        <v>29741.713899999999</v>
      </c>
      <c r="AV140" s="78">
        <f ca="1">AI140*Valores!$C$61</f>
        <v>5625.0144000000009</v>
      </c>
      <c r="AW140" s="78">
        <f ca="1">AI140*Valores!$C$62</f>
        <v>1582.0353</v>
      </c>
      <c r="AX140" s="78">
        <f ca="1">AI140*Valores!$C$64</f>
        <v>351.56340000000006</v>
      </c>
      <c r="AY140" s="78">
        <f ca="1">AI140*Valores!$C$65</f>
        <v>1230.4719000000002</v>
      </c>
      <c r="AZ140" s="78">
        <f ca="1">AI140*Valores!$C$66</f>
        <v>210.93804000000003</v>
      </c>
      <c r="BA140" s="78">
        <f t="shared" ca="1" si="27"/>
        <v>1898.4423600000002</v>
      </c>
      <c r="BB140" s="20"/>
      <c r="BC140" s="20"/>
      <c r="BD140" s="9" t="s">
        <v>466</v>
      </c>
    </row>
    <row r="141" spans="1:56" s="9" customFormat="1" ht="11.25" customHeight="1" x14ac:dyDescent="0.15">
      <c r="A141" s="55">
        <v>140</v>
      </c>
      <c r="B141" s="55" t="s">
        <v>462</v>
      </c>
      <c r="C141" s="52" t="s">
        <v>258</v>
      </c>
      <c r="D141" s="52"/>
      <c r="E141" s="53" t="s">
        <v>259</v>
      </c>
      <c r="F141" s="124">
        <v>1378</v>
      </c>
      <c r="G141" s="129">
        <f ca="1">INT((F141*Valores!$C$2*100)+0.5)/100</f>
        <v>7075.62</v>
      </c>
      <c r="H141" s="133">
        <v>0</v>
      </c>
      <c r="I141" s="80">
        <f ca="1">INT((H141*Valores!$C$2*100)+0.5)/100</f>
        <v>0</v>
      </c>
      <c r="J141" s="148">
        <v>0</v>
      </c>
      <c r="K141" s="80">
        <f ca="1">INT((J141*Valores!$C$2*100)+0.5)/100</f>
        <v>0</v>
      </c>
      <c r="L141" s="121">
        <v>0</v>
      </c>
      <c r="M141" s="80">
        <f ca="1">INT((L141*Valores!$C$2*100)+0.5)/100</f>
        <v>0</v>
      </c>
      <c r="N141" s="80">
        <f t="shared" ca="1" si="28"/>
        <v>0</v>
      </c>
      <c r="O141" s="80">
        <f t="shared" ca="1" si="29"/>
        <v>7834.75</v>
      </c>
      <c r="P141" s="85">
        <f>Valores!$C$20</f>
        <v>2991.57</v>
      </c>
      <c r="Q141" s="85">
        <f ca="1">Valores!$D$4</f>
        <v>2296.75</v>
      </c>
      <c r="R141" s="85">
        <f>Valores!$C$26</f>
        <v>2298.92</v>
      </c>
      <c r="S141" s="88">
        <f>Valores!$C$42</f>
        <v>759.13</v>
      </c>
      <c r="T141" s="85">
        <f>Valores!$C$24</f>
        <v>2190.94</v>
      </c>
      <c r="U141" s="80">
        <f t="shared" ca="1" si="21"/>
        <v>4381.88</v>
      </c>
      <c r="V141" s="80">
        <v>0</v>
      </c>
      <c r="W141" s="80">
        <v>0</v>
      </c>
      <c r="X141" s="115">
        <v>0</v>
      </c>
      <c r="Y141" s="80">
        <f ca="1">X141*Valores!$C$2</f>
        <v>0</v>
      </c>
      <c r="Z141" s="80">
        <v>0</v>
      </c>
      <c r="AA141" s="90">
        <f>Valores!$C$29</f>
        <v>131.68</v>
      </c>
      <c r="AB141" s="80">
        <f t="shared" ca="1" si="22"/>
        <v>0</v>
      </c>
      <c r="AC141" s="80">
        <f>Valores!$C$30</f>
        <v>131.68</v>
      </c>
      <c r="AD141" s="115">
        <v>0</v>
      </c>
      <c r="AE141" s="80">
        <f ca="1">INT(((AD141*Valores!$C$2)*100)+0.5)/100</f>
        <v>0</v>
      </c>
      <c r="AF141" s="80">
        <f>Valores!$C$51</f>
        <v>267.87</v>
      </c>
      <c r="AG141" s="80">
        <f>Valores!$C$52</f>
        <v>76.540000000000006</v>
      </c>
      <c r="AH141" s="80">
        <f ca="1">SUM(G141,I141,K141,M141,N141,O141,P141,Q141,R141,S141,U141,V141,W141,Y141,Z141,AA141,AB141,AC141,AE141,AF141,AG141)*Valores!$C$54</f>
        <v>0</v>
      </c>
      <c r="AI141" s="142">
        <f t="shared" ca="1" si="25"/>
        <v>28246.390000000003</v>
      </c>
      <c r="AJ141" s="85">
        <f>Valores!$C$35</f>
        <v>182.07</v>
      </c>
      <c r="AK141" s="82">
        <f>Valores!$C$8</f>
        <v>204.1</v>
      </c>
      <c r="AL141" s="90">
        <v>112.25</v>
      </c>
      <c r="AM141" s="82">
        <f ca="1">IF($G$4="SI",SUM(AK141+AL141),AK141)*Valores!$C$54</f>
        <v>0</v>
      </c>
      <c r="AN141" s="186">
        <f t="shared" ca="1" si="26"/>
        <v>498.41999999999996</v>
      </c>
      <c r="AO141" s="155">
        <f ca="1">AI141*-Valores!$C$56</f>
        <v>-3672.0307000000007</v>
      </c>
      <c r="AP141" s="155">
        <f ca="1">AI141*-Valores!$C$57</f>
        <v>-141.23195000000001</v>
      </c>
      <c r="AQ141" s="81">
        <f ca="1">AI141*-Valores!$C$58</f>
        <v>-1271.0875500000002</v>
      </c>
      <c r="AR141" s="81">
        <f ca="1">AI141*-Valores!$C$59</f>
        <v>-762.65253000000018</v>
      </c>
      <c r="AS141" s="81">
        <f ca="1">AI141*-Valores!$C$60</f>
        <v>-84.739170000000016</v>
      </c>
      <c r="AT141" s="54">
        <f t="shared" ca="1" si="23"/>
        <v>23660.459800000001</v>
      </c>
      <c r="AU141" s="54">
        <f t="shared" ca="1" si="24"/>
        <v>24084.155650000001</v>
      </c>
      <c r="AV141" s="81">
        <f ca="1">AI141*Valores!$C$61</f>
        <v>4519.4224000000004</v>
      </c>
      <c r="AW141" s="81">
        <f ca="1">AI141*Valores!$C$62</f>
        <v>1271.0875500000002</v>
      </c>
      <c r="AX141" s="81">
        <f ca="1">AI141*Valores!$C$64</f>
        <v>282.46390000000002</v>
      </c>
      <c r="AY141" s="81">
        <f ca="1">AI141*Valores!$C$65</f>
        <v>988.62365000000023</v>
      </c>
      <c r="AZ141" s="81">
        <f ca="1">AI141*Valores!$C$66</f>
        <v>169.47834000000003</v>
      </c>
      <c r="BA141" s="81">
        <f t="shared" ca="1" si="27"/>
        <v>1525.3050600000001</v>
      </c>
      <c r="BB141" s="55"/>
      <c r="BC141" s="55">
        <v>22</v>
      </c>
      <c r="BD141" s="52" t="s">
        <v>467</v>
      </c>
    </row>
    <row r="142" spans="1:56" s="9" customFormat="1" ht="11.25" customHeight="1" x14ac:dyDescent="0.15">
      <c r="A142" s="20">
        <v>141</v>
      </c>
      <c r="B142" s="20"/>
      <c r="C142" s="9" t="s">
        <v>260</v>
      </c>
      <c r="E142" s="10" t="s">
        <v>261</v>
      </c>
      <c r="F142" s="123">
        <v>1278</v>
      </c>
      <c r="G142" s="7">
        <f ca="1">INT((F142*Valores!$C$2*100)+0.5)/100</f>
        <v>6562.15</v>
      </c>
      <c r="H142" s="134">
        <v>0</v>
      </c>
      <c r="I142" s="77">
        <f ca="1">INT((H142*Valores!$C$2*100)+0.5)/100</f>
        <v>0</v>
      </c>
      <c r="J142" s="147">
        <v>0</v>
      </c>
      <c r="K142" s="77">
        <f ca="1">INT((J142*Valores!$C$2*100)+0.5)/100</f>
        <v>0</v>
      </c>
      <c r="L142" s="120">
        <v>0</v>
      </c>
      <c r="M142" s="77">
        <f ca="1">INT((L142*Valores!$C$2*100)+0.5)/100</f>
        <v>0</v>
      </c>
      <c r="N142" s="77">
        <f t="shared" ca="1" si="28"/>
        <v>0</v>
      </c>
      <c r="O142" s="77">
        <f t="shared" ca="1" si="29"/>
        <v>7321.28</v>
      </c>
      <c r="P142" s="61">
        <f>Valores!$C$20</f>
        <v>2991.57</v>
      </c>
      <c r="Q142" s="61">
        <f ca="1">Valores!$D$4</f>
        <v>2296.75</v>
      </c>
      <c r="R142" s="77">
        <f>Valores!$C$26</f>
        <v>2298.92</v>
      </c>
      <c r="S142" s="79">
        <f>Valores!$C$42</f>
        <v>759.13</v>
      </c>
      <c r="T142" s="77">
        <f>Valores!$C$23</f>
        <v>2221.56</v>
      </c>
      <c r="U142" s="77">
        <f t="shared" ca="1" si="21"/>
        <v>4443.12</v>
      </c>
      <c r="V142" s="77">
        <v>0</v>
      </c>
      <c r="W142" s="77">
        <v>0</v>
      </c>
      <c r="X142" s="116">
        <v>0</v>
      </c>
      <c r="Y142" s="77">
        <f ca="1">X142*Valores!$C$2</f>
        <v>0</v>
      </c>
      <c r="Z142" s="77">
        <v>0</v>
      </c>
      <c r="AA142" s="89">
        <f>Valores!$C$29</f>
        <v>131.68</v>
      </c>
      <c r="AB142" s="77">
        <f ca="1">SUM(G142,I142,K142,Y142,S142,M142)*$G$3/100</f>
        <v>0</v>
      </c>
      <c r="AC142" s="77">
        <f>Valores!$C$30</f>
        <v>131.68</v>
      </c>
      <c r="AD142" s="116">
        <v>0</v>
      </c>
      <c r="AE142" s="77">
        <f ca="1">INT(((AD142*Valores!$C$2)*100)+0.5)/100</f>
        <v>0</v>
      </c>
      <c r="AF142" s="77">
        <f>Valores!$C$51</f>
        <v>267.87</v>
      </c>
      <c r="AG142" s="77">
        <f>Valores!$C$52</f>
        <v>76.540000000000006</v>
      </c>
      <c r="AH142" s="77">
        <f ca="1">SUM(G142,I142,K142,M142,N142,O142,P142,Q142,R142,S142,U142,V142,W142,Y142,Z142,AA142,AB142,AC142,AE142,AF142,AG142)*Valores!$C$54</f>
        <v>0</v>
      </c>
      <c r="AI142" s="141">
        <f t="shared" ca="1" si="25"/>
        <v>27280.69</v>
      </c>
      <c r="AJ142" s="61">
        <f>Valores!$C$35</f>
        <v>182.07</v>
      </c>
      <c r="AK142" s="79">
        <f>Valores!$C$8</f>
        <v>204.1</v>
      </c>
      <c r="AL142" s="89">
        <v>112.25</v>
      </c>
      <c r="AM142" s="79">
        <f ca="1">IF($G$4="SI",SUM(AK142+AL142),AK142)*Valores!$C$54</f>
        <v>0</v>
      </c>
      <c r="AN142" s="12">
        <f t="shared" ca="1" si="26"/>
        <v>498.41999999999996</v>
      </c>
      <c r="AO142" s="13">
        <f ca="1">AI142*-Valores!$C$56</f>
        <v>-3546.4897000000001</v>
      </c>
      <c r="AP142" s="13">
        <f ca="1">AI142*-Valores!$C$57</f>
        <v>-136.40344999999999</v>
      </c>
      <c r="AQ142" s="78">
        <f ca="1">AI142*-Valores!$C$58</f>
        <v>-1227.63105</v>
      </c>
      <c r="AR142" s="78">
        <f ca="1">AI142*-Valores!$C$59</f>
        <v>-736.57863000000009</v>
      </c>
      <c r="AS142" s="78">
        <f ca="1">AI142*-Valores!$C$60</f>
        <v>-81.842069999999993</v>
      </c>
      <c r="AT142" s="15">
        <f t="shared" ca="1" si="23"/>
        <v>22868.585799999993</v>
      </c>
      <c r="AU142" s="15">
        <f t="shared" ca="1" si="24"/>
        <v>23277.796149999995</v>
      </c>
      <c r="AV142" s="78">
        <f ca="1">AI142*Valores!$C$61</f>
        <v>4364.9103999999998</v>
      </c>
      <c r="AW142" s="78">
        <f ca="1">AI142*Valores!$C$62</f>
        <v>1227.63105</v>
      </c>
      <c r="AX142" s="78">
        <f ca="1">AI142*Valores!$C$64</f>
        <v>272.80689999999998</v>
      </c>
      <c r="AY142" s="78">
        <f ca="1">AI142*Valores!$C$65</f>
        <v>954.82415000000003</v>
      </c>
      <c r="AZ142" s="78">
        <f ca="1">AI142*Valores!$C$66</f>
        <v>163.68413999999999</v>
      </c>
      <c r="BA142" s="78">
        <f t="shared" ca="1" si="27"/>
        <v>1473.15726</v>
      </c>
      <c r="BB142" s="20"/>
      <c r="BC142" s="20">
        <v>22</v>
      </c>
      <c r="BD142" s="9" t="s">
        <v>467</v>
      </c>
    </row>
    <row r="143" spans="1:56" s="9" customFormat="1" ht="11.25" customHeight="1" x14ac:dyDescent="0.15">
      <c r="A143" s="20">
        <v>142</v>
      </c>
      <c r="B143" s="20"/>
      <c r="C143" s="9" t="s">
        <v>262</v>
      </c>
      <c r="E143" s="10" t="s">
        <v>263</v>
      </c>
      <c r="F143" s="123">
        <v>1278</v>
      </c>
      <c r="G143" s="7">
        <f ca="1">INT((F143*Valores!$C$2*100)+0.5)/100</f>
        <v>6562.15</v>
      </c>
      <c r="H143" s="134">
        <v>0</v>
      </c>
      <c r="I143" s="77">
        <f ca="1">INT((H143*Valores!$C$2*100)+0.5)/100</f>
        <v>0</v>
      </c>
      <c r="J143" s="147">
        <v>0</v>
      </c>
      <c r="K143" s="77">
        <f ca="1">INT((J143*Valores!$C$2*100)+0.5)/100</f>
        <v>0</v>
      </c>
      <c r="L143" s="120">
        <v>0</v>
      </c>
      <c r="M143" s="77">
        <f ca="1">INT((L143*Valores!$C$2*100)+0.5)/100</f>
        <v>0</v>
      </c>
      <c r="N143" s="77">
        <f t="shared" ca="1" si="28"/>
        <v>0</v>
      </c>
      <c r="O143" s="77">
        <f t="shared" ca="1" si="29"/>
        <v>6941.7149999999992</v>
      </c>
      <c r="P143" s="61">
        <f>Valores!$C$20</f>
        <v>2991.57</v>
      </c>
      <c r="Q143" s="61">
        <f ca="1">Valores!$D$4</f>
        <v>2296.75</v>
      </c>
      <c r="R143" s="61">
        <f>Valores!$C$26</f>
        <v>2298.92</v>
      </c>
      <c r="S143" s="79">
        <f>Valores!$C$42/2</f>
        <v>379.565</v>
      </c>
      <c r="T143" s="61">
        <f>Valores!$C$24</f>
        <v>2190.94</v>
      </c>
      <c r="U143" s="77">
        <f t="shared" ca="1" si="21"/>
        <v>4381.88</v>
      </c>
      <c r="V143" s="77">
        <v>0</v>
      </c>
      <c r="W143" s="77">
        <v>0</v>
      </c>
      <c r="X143" s="116">
        <v>0</v>
      </c>
      <c r="Y143" s="77">
        <f ca="1">X143*Valores!$C$2</f>
        <v>0</v>
      </c>
      <c r="Z143" s="77">
        <v>0</v>
      </c>
      <c r="AA143" s="89">
        <f>Valores!$C$29</f>
        <v>131.68</v>
      </c>
      <c r="AB143" s="77">
        <f t="shared" ca="1" si="22"/>
        <v>0</v>
      </c>
      <c r="AC143" s="77">
        <f>Valores!$C$30</f>
        <v>131.68</v>
      </c>
      <c r="AD143" s="116">
        <v>0</v>
      </c>
      <c r="AE143" s="77">
        <f ca="1">INT(((AD143*Valores!$C$2)*100)+0.5)/100</f>
        <v>0</v>
      </c>
      <c r="AF143" s="77">
        <f>Valores!$C$51/2</f>
        <v>133.935</v>
      </c>
      <c r="AG143" s="77">
        <f>Valores!$C$52/2</f>
        <v>38.270000000000003</v>
      </c>
      <c r="AH143" s="77">
        <f ca="1">SUM(G143,I143,K143,M143,N143,O143,P143,Q143,R143,S143,U143,V143,W143,Y143,Z143,AA143,AB143,AC143,AE143,AF143,AG143)*Valores!$C$54</f>
        <v>0</v>
      </c>
      <c r="AI143" s="141">
        <f t="shared" ca="1" si="25"/>
        <v>26288.114999999998</v>
      </c>
      <c r="AJ143" s="61">
        <f>Valores!$C$35</f>
        <v>182.07</v>
      </c>
      <c r="AK143" s="79">
        <f>Valores!$C$8/2</f>
        <v>102.05</v>
      </c>
      <c r="AL143" s="89">
        <v>0</v>
      </c>
      <c r="AM143" s="79">
        <f ca="1">IF($G$4="SI",SUM(AK143+AL143),AK143)*Valores!$C$54</f>
        <v>0</v>
      </c>
      <c r="AN143" s="12">
        <f t="shared" ca="1" si="26"/>
        <v>284.12</v>
      </c>
      <c r="AO143" s="13">
        <f ca="1">AI143*-Valores!$C$56</f>
        <v>-3417.4549499999998</v>
      </c>
      <c r="AP143" s="13">
        <f ca="1">AI143*-Valores!$C$57</f>
        <v>-131.440575</v>
      </c>
      <c r="AQ143" s="78">
        <f ca="1">AI143*-Valores!$C$58</f>
        <v>-1182.9651749999998</v>
      </c>
      <c r="AR143" s="78">
        <f ca="1">AI143*-Valores!$C$59</f>
        <v>-709.77910500000007</v>
      </c>
      <c r="AS143" s="78">
        <f ca="1">AI143*-Valores!$C$60</f>
        <v>-78.864345</v>
      </c>
      <c r="AT143" s="15">
        <f t="shared" ca="1" si="23"/>
        <v>21840.374299999996</v>
      </c>
      <c r="AU143" s="15">
        <f t="shared" ca="1" si="24"/>
        <v>22234.696024999994</v>
      </c>
      <c r="AV143" s="78">
        <f ca="1">AI143*Valores!$C$61</f>
        <v>4206.0983999999999</v>
      </c>
      <c r="AW143" s="78">
        <f ca="1">AI143*Valores!$C$62</f>
        <v>1182.9651749999998</v>
      </c>
      <c r="AX143" s="78">
        <f ca="1">AI143*Valores!$C$64</f>
        <v>262.88114999999999</v>
      </c>
      <c r="AY143" s="78">
        <f ca="1">AI143*Valores!$C$65</f>
        <v>920.084025</v>
      </c>
      <c r="AZ143" s="78">
        <f ca="1">AI143*Valores!$C$66</f>
        <v>157.72869</v>
      </c>
      <c r="BA143" s="78">
        <f t="shared" ca="1" si="27"/>
        <v>1419.5582099999999</v>
      </c>
      <c r="BB143" s="20"/>
      <c r="BC143" s="20"/>
      <c r="BD143" s="9" t="s">
        <v>466</v>
      </c>
    </row>
    <row r="144" spans="1:56" s="9" customFormat="1" ht="11.25" customHeight="1" x14ac:dyDescent="0.15">
      <c r="A144" s="20">
        <v>143</v>
      </c>
      <c r="B144" s="20"/>
      <c r="C144" s="9" t="s">
        <v>264</v>
      </c>
      <c r="E144" s="10" t="s">
        <v>265</v>
      </c>
      <c r="F144" s="123">
        <v>1278</v>
      </c>
      <c r="G144" s="7">
        <f ca="1">INT((F144*Valores!$C$2*100)+0.5)/100</f>
        <v>6562.15</v>
      </c>
      <c r="H144" s="134">
        <v>0</v>
      </c>
      <c r="I144" s="77">
        <f ca="1">INT((H144*Valores!$C$2*100)+0.5)/100</f>
        <v>0</v>
      </c>
      <c r="J144" s="147">
        <v>0</v>
      </c>
      <c r="K144" s="77">
        <f ca="1">INT((J144*Valores!$C$2*100)+0.5)/100</f>
        <v>0</v>
      </c>
      <c r="L144" s="120">
        <v>0</v>
      </c>
      <c r="M144" s="77">
        <f ca="1">INT((L144*Valores!$C$2*100)+0.5)/100</f>
        <v>0</v>
      </c>
      <c r="N144" s="77">
        <f t="shared" ca="1" si="28"/>
        <v>0</v>
      </c>
      <c r="O144" s="77">
        <f t="shared" ca="1" si="29"/>
        <v>7321.28</v>
      </c>
      <c r="P144" s="61">
        <f>Valores!$C$20</f>
        <v>2991.57</v>
      </c>
      <c r="Q144" s="61">
        <f ca="1">Valores!$D$4</f>
        <v>2296.75</v>
      </c>
      <c r="R144" s="61">
        <f>Valores!$C$26</f>
        <v>2298.92</v>
      </c>
      <c r="S144" s="87">
        <f>Valores!$C$42</f>
        <v>759.13</v>
      </c>
      <c r="T144" s="77">
        <f>Valores!$C$23</f>
        <v>2221.56</v>
      </c>
      <c r="U144" s="77">
        <f t="shared" ca="1" si="21"/>
        <v>4443.12</v>
      </c>
      <c r="V144" s="77">
        <v>0</v>
      </c>
      <c r="W144" s="77">
        <v>0</v>
      </c>
      <c r="X144" s="116">
        <v>0</v>
      </c>
      <c r="Y144" s="77">
        <f ca="1">X144*Valores!$C$2</f>
        <v>0</v>
      </c>
      <c r="Z144" s="77">
        <v>0</v>
      </c>
      <c r="AA144" s="89">
        <f>Valores!$C$29</f>
        <v>131.68</v>
      </c>
      <c r="AB144" s="77">
        <f t="shared" ca="1" si="22"/>
        <v>0</v>
      </c>
      <c r="AC144" s="77">
        <f>Valores!$C$30</f>
        <v>131.68</v>
      </c>
      <c r="AD144" s="116">
        <v>0</v>
      </c>
      <c r="AE144" s="77">
        <f ca="1">INT(((AD144*Valores!$C$2)*100)+0.5)/100</f>
        <v>0</v>
      </c>
      <c r="AF144" s="77">
        <f>Valores!$C$51</f>
        <v>267.87</v>
      </c>
      <c r="AG144" s="77">
        <f>Valores!$C$52</f>
        <v>76.540000000000006</v>
      </c>
      <c r="AH144" s="77">
        <f ca="1">SUM(G144,I144,K144,M144,N144,O144,P144,Q144,R144,S144,U144,V144,W144,Y144,Z144,AA144,AB144,AC144,AE144,AF144,AG144)*Valores!$C$54</f>
        <v>0</v>
      </c>
      <c r="AI144" s="141">
        <f t="shared" ca="1" si="25"/>
        <v>27280.69</v>
      </c>
      <c r="AJ144" s="61">
        <f>Valores!$C$35</f>
        <v>182.07</v>
      </c>
      <c r="AK144" s="79">
        <f>Valores!$C$8</f>
        <v>204.1</v>
      </c>
      <c r="AL144" s="89">
        <v>0</v>
      </c>
      <c r="AM144" s="79">
        <f ca="1">IF($G$4="SI",SUM(AK144+AL144),AK144)*Valores!$C$54</f>
        <v>0</v>
      </c>
      <c r="AN144" s="12">
        <f t="shared" ca="1" si="26"/>
        <v>386.16999999999996</v>
      </c>
      <c r="AO144" s="13">
        <f ca="1">AI144*-Valores!$C$56</f>
        <v>-3546.4897000000001</v>
      </c>
      <c r="AP144" s="13">
        <f ca="1">AI144*-Valores!$C$57</f>
        <v>-136.40344999999999</v>
      </c>
      <c r="AQ144" s="78">
        <f ca="1">AI144*-Valores!$C$58</f>
        <v>-1227.63105</v>
      </c>
      <c r="AR144" s="78">
        <f ca="1">AI144*-Valores!$C$59</f>
        <v>-736.57863000000009</v>
      </c>
      <c r="AS144" s="78">
        <f ca="1">AI144*-Valores!$C$60</f>
        <v>-81.842069999999993</v>
      </c>
      <c r="AT144" s="15">
        <f t="shared" ca="1" si="23"/>
        <v>22756.335799999993</v>
      </c>
      <c r="AU144" s="15">
        <f t="shared" ca="1" si="24"/>
        <v>23165.546149999995</v>
      </c>
      <c r="AV144" s="78">
        <f ca="1">AI144*Valores!$C$61</f>
        <v>4364.9103999999998</v>
      </c>
      <c r="AW144" s="78">
        <f ca="1">AI144*Valores!$C$62</f>
        <v>1227.63105</v>
      </c>
      <c r="AX144" s="78">
        <f ca="1">AI144*Valores!$C$64</f>
        <v>272.80689999999998</v>
      </c>
      <c r="AY144" s="78">
        <f ca="1">AI144*Valores!$C$65</f>
        <v>954.82415000000003</v>
      </c>
      <c r="AZ144" s="78">
        <f ca="1">AI144*Valores!$C$66</f>
        <v>163.68413999999999</v>
      </c>
      <c r="BA144" s="78">
        <f t="shared" ca="1" si="27"/>
        <v>1473.15726</v>
      </c>
      <c r="BB144" s="20"/>
      <c r="BC144" s="55"/>
      <c r="BD144" s="9" t="s">
        <v>467</v>
      </c>
    </row>
    <row r="145" spans="1:56" s="9" customFormat="1" ht="11.25" customHeight="1" x14ac:dyDescent="0.15">
      <c r="A145" s="20">
        <v>144</v>
      </c>
      <c r="B145" s="20"/>
      <c r="C145" s="9" t="s">
        <v>266</v>
      </c>
      <c r="E145" s="10" t="s">
        <v>267</v>
      </c>
      <c r="F145" s="123">
        <v>1278</v>
      </c>
      <c r="G145" s="7">
        <f ca="1">INT((F145*Valores!$C$2*100)+0.5)/100</f>
        <v>6562.15</v>
      </c>
      <c r="H145" s="134">
        <v>0</v>
      </c>
      <c r="I145" s="77">
        <f ca="1">INT((H145*Valores!$C$2*100)+0.5)/100</f>
        <v>0</v>
      </c>
      <c r="J145" s="147">
        <v>0</v>
      </c>
      <c r="K145" s="77">
        <f ca="1">INT((J145*Valores!$C$2*100)+0.5)/100</f>
        <v>0</v>
      </c>
      <c r="L145" s="120">
        <v>0</v>
      </c>
      <c r="M145" s="77">
        <f ca="1">INT((L145*Valores!$C$2*100)+0.5)/100</f>
        <v>0</v>
      </c>
      <c r="N145" s="77">
        <f t="shared" ca="1" si="28"/>
        <v>0</v>
      </c>
      <c r="O145" s="77">
        <f t="shared" ca="1" si="29"/>
        <v>7321.28</v>
      </c>
      <c r="P145" s="61">
        <f>Valores!$C$20</f>
        <v>2991.57</v>
      </c>
      <c r="Q145" s="61">
        <f ca="1">Valores!$D$4</f>
        <v>2296.75</v>
      </c>
      <c r="R145" s="61">
        <f>Valores!$C$26</f>
        <v>2298.92</v>
      </c>
      <c r="S145" s="87">
        <f>Valores!$C$42</f>
        <v>759.13</v>
      </c>
      <c r="T145" s="77">
        <f>Valores!$C$23</f>
        <v>2221.56</v>
      </c>
      <c r="U145" s="77">
        <f t="shared" ca="1" si="21"/>
        <v>4443.12</v>
      </c>
      <c r="V145" s="77">
        <v>0</v>
      </c>
      <c r="W145" s="77">
        <v>0</v>
      </c>
      <c r="X145" s="116">
        <v>0</v>
      </c>
      <c r="Y145" s="77">
        <f ca="1">X145*Valores!$C$2</f>
        <v>0</v>
      </c>
      <c r="Z145" s="77">
        <v>0</v>
      </c>
      <c r="AA145" s="89">
        <f>Valores!$C$29</f>
        <v>131.68</v>
      </c>
      <c r="AB145" s="77">
        <f t="shared" ca="1" si="22"/>
        <v>0</v>
      </c>
      <c r="AC145" s="77">
        <f>Valores!$C$30</f>
        <v>131.68</v>
      </c>
      <c r="AD145" s="116">
        <v>0</v>
      </c>
      <c r="AE145" s="77">
        <f ca="1">INT(((AD145*Valores!$C$2)*100)+0.5)/100</f>
        <v>0</v>
      </c>
      <c r="AF145" s="77">
        <f>Valores!$C$51</f>
        <v>267.87</v>
      </c>
      <c r="AG145" s="77">
        <f>Valores!$C$52</f>
        <v>76.540000000000006</v>
      </c>
      <c r="AH145" s="77">
        <f ca="1">SUM(G145,I145,K145,M145,N145,O145,P145,Q145,R145,S145,U145,V145,W145,Y145,Z145,AA145,AB145,AC145,AE145,AF145,AG145)*Valores!$C$54</f>
        <v>0</v>
      </c>
      <c r="AI145" s="141">
        <f t="shared" ca="1" si="25"/>
        <v>27280.69</v>
      </c>
      <c r="AJ145" s="61">
        <f>Valores!$C$35</f>
        <v>182.07</v>
      </c>
      <c r="AK145" s="79">
        <f>Valores!$C$8</f>
        <v>204.1</v>
      </c>
      <c r="AL145" s="89">
        <v>112.25</v>
      </c>
      <c r="AM145" s="79">
        <f ca="1">IF($G$4="SI",SUM(AK145+AL145),AK145)*Valores!$C$54</f>
        <v>0</v>
      </c>
      <c r="AN145" s="12">
        <f t="shared" ca="1" si="26"/>
        <v>498.41999999999996</v>
      </c>
      <c r="AO145" s="13">
        <f ca="1">AI145*-Valores!$C$56</f>
        <v>-3546.4897000000001</v>
      </c>
      <c r="AP145" s="13">
        <f ca="1">AI145*-Valores!$C$57</f>
        <v>-136.40344999999999</v>
      </c>
      <c r="AQ145" s="78">
        <f ca="1">AI145*-Valores!$C$58</f>
        <v>-1227.63105</v>
      </c>
      <c r="AR145" s="78">
        <f ca="1">AI145*-Valores!$C$59</f>
        <v>-736.57863000000009</v>
      </c>
      <c r="AS145" s="78">
        <f ca="1">AI145*-Valores!$C$60</f>
        <v>-81.842069999999993</v>
      </c>
      <c r="AT145" s="15">
        <f t="shared" ca="1" si="23"/>
        <v>22868.585799999993</v>
      </c>
      <c r="AU145" s="15">
        <f t="shared" ca="1" si="24"/>
        <v>23277.796149999995</v>
      </c>
      <c r="AV145" s="78">
        <f ca="1">AI145*Valores!$C$61</f>
        <v>4364.9103999999998</v>
      </c>
      <c r="AW145" s="78">
        <f ca="1">AI145*Valores!$C$62</f>
        <v>1227.63105</v>
      </c>
      <c r="AX145" s="78">
        <f ca="1">AI145*Valores!$C$64</f>
        <v>272.80689999999998</v>
      </c>
      <c r="AY145" s="78">
        <f ca="1">AI145*Valores!$C$65</f>
        <v>954.82415000000003</v>
      </c>
      <c r="AZ145" s="78">
        <f ca="1">AI145*Valores!$C$66</f>
        <v>163.68413999999999</v>
      </c>
      <c r="BA145" s="78">
        <f t="shared" ca="1" si="27"/>
        <v>1473.15726</v>
      </c>
      <c r="BB145" s="20"/>
      <c r="BC145" s="20">
        <v>20</v>
      </c>
      <c r="BD145" s="9" t="s">
        <v>467</v>
      </c>
    </row>
    <row r="146" spans="1:56" s="9" customFormat="1" ht="11.25" customHeight="1" x14ac:dyDescent="0.15">
      <c r="A146" s="55">
        <v>145</v>
      </c>
      <c r="B146" s="55" t="s">
        <v>462</v>
      </c>
      <c r="C146" s="52" t="s">
        <v>268</v>
      </c>
      <c r="D146" s="52"/>
      <c r="E146" s="53" t="s">
        <v>269</v>
      </c>
      <c r="F146" s="124">
        <v>1278</v>
      </c>
      <c r="G146" s="129">
        <f ca="1">INT((F146*Valores!$C$2*100)+0.5)/100</f>
        <v>6562.15</v>
      </c>
      <c r="H146" s="133">
        <v>0</v>
      </c>
      <c r="I146" s="80">
        <f ca="1">INT((H146*Valores!$C$2*100)+0.5)/100</f>
        <v>0</v>
      </c>
      <c r="J146" s="148">
        <v>0</v>
      </c>
      <c r="K146" s="80">
        <f ca="1">INT((J146*Valores!$C$2*100)+0.5)/100</f>
        <v>0</v>
      </c>
      <c r="L146" s="121">
        <v>0</v>
      </c>
      <c r="M146" s="80">
        <f ca="1">INT((L146*Valores!$C$2*100)+0.5)/100</f>
        <v>0</v>
      </c>
      <c r="N146" s="80">
        <f t="shared" ca="1" si="28"/>
        <v>0</v>
      </c>
      <c r="O146" s="80">
        <f t="shared" ca="1" si="29"/>
        <v>7321.28</v>
      </c>
      <c r="P146" s="85">
        <f>Valores!$C$20</f>
        <v>2991.57</v>
      </c>
      <c r="Q146" s="85">
        <f ca="1">Valores!$D$4</f>
        <v>2296.75</v>
      </c>
      <c r="R146" s="85">
        <f>Valores!$C$26</f>
        <v>2298.92</v>
      </c>
      <c r="S146" s="88">
        <f>Valores!$C$42</f>
        <v>759.13</v>
      </c>
      <c r="T146" s="80">
        <f>Valores!$C$23</f>
        <v>2221.56</v>
      </c>
      <c r="U146" s="80">
        <f t="shared" ca="1" si="21"/>
        <v>4443.12</v>
      </c>
      <c r="V146" s="80">
        <v>0</v>
      </c>
      <c r="W146" s="80">
        <v>0</v>
      </c>
      <c r="X146" s="115">
        <v>0</v>
      </c>
      <c r="Y146" s="80">
        <f ca="1">X146*Valores!$C$2</f>
        <v>0</v>
      </c>
      <c r="Z146" s="80">
        <v>0</v>
      </c>
      <c r="AA146" s="90">
        <f>Valores!$C$29</f>
        <v>131.68</v>
      </c>
      <c r="AB146" s="80">
        <f t="shared" ca="1" si="22"/>
        <v>0</v>
      </c>
      <c r="AC146" s="80">
        <f>Valores!$C$30</f>
        <v>131.68</v>
      </c>
      <c r="AD146" s="115">
        <v>94</v>
      </c>
      <c r="AE146" s="80">
        <f ca="1">INT(((AD146*Valores!$C$2)*100)+0.5)/100</f>
        <v>482.66</v>
      </c>
      <c r="AF146" s="80">
        <f>Valores!$C$51</f>
        <v>267.87</v>
      </c>
      <c r="AG146" s="80">
        <f>Valores!$C$52</f>
        <v>76.540000000000006</v>
      </c>
      <c r="AH146" s="80">
        <f ca="1">SUM(G146,I146,K146,M146,N146,O146,P146,Q146,R146,S146,U146,V146,W146,Y146,Z146,AA146,AB146,AC146,AE146,AF146,AG146)*Valores!$C$54</f>
        <v>0</v>
      </c>
      <c r="AI146" s="142">
        <f t="shared" ca="1" si="25"/>
        <v>27763.35</v>
      </c>
      <c r="AJ146" s="85">
        <f>Valores!$C$35</f>
        <v>182.07</v>
      </c>
      <c r="AK146" s="82">
        <f>Valores!$C$8</f>
        <v>204.1</v>
      </c>
      <c r="AL146" s="90">
        <v>112.25</v>
      </c>
      <c r="AM146" s="82">
        <f ca="1">IF($G$4="SI",SUM(AK146+AL146),AK146)*Valores!$C$54</f>
        <v>0</v>
      </c>
      <c r="AN146" s="186">
        <f t="shared" ca="1" si="26"/>
        <v>498.41999999999996</v>
      </c>
      <c r="AO146" s="155">
        <f ca="1">AI146*-Valores!$C$56</f>
        <v>-3609.2354999999998</v>
      </c>
      <c r="AP146" s="155">
        <f ca="1">AI146*-Valores!$C$57</f>
        <v>-138.81674999999998</v>
      </c>
      <c r="AQ146" s="81">
        <f ca="1">AI146*-Valores!$C$58</f>
        <v>-1249.3507499999998</v>
      </c>
      <c r="AR146" s="81">
        <f ca="1">AI146*-Valores!$C$59</f>
        <v>-749.61045000000001</v>
      </c>
      <c r="AS146" s="81">
        <f ca="1">AI146*-Valores!$C$60</f>
        <v>-83.290049999999994</v>
      </c>
      <c r="AT146" s="54">
        <f t="shared" ca="1" si="23"/>
        <v>23264.366999999995</v>
      </c>
      <c r="AU146" s="54">
        <f t="shared" ca="1" si="24"/>
        <v>23680.817249999996</v>
      </c>
      <c r="AV146" s="81">
        <f ca="1">AI146*Valores!$C$61</f>
        <v>4442.1359999999995</v>
      </c>
      <c r="AW146" s="81">
        <f ca="1">AI146*Valores!$C$62</f>
        <v>1249.3507499999998</v>
      </c>
      <c r="AX146" s="81">
        <f ca="1">AI146*Valores!$C$64</f>
        <v>277.63349999999997</v>
      </c>
      <c r="AY146" s="81">
        <f ca="1">AI146*Valores!$C$65</f>
        <v>971.71725000000004</v>
      </c>
      <c r="AZ146" s="81">
        <f ca="1">AI146*Valores!$C$66</f>
        <v>166.58009999999999</v>
      </c>
      <c r="BA146" s="81">
        <f t="shared" ca="1" si="27"/>
        <v>1499.2209</v>
      </c>
      <c r="BB146" s="55"/>
      <c r="BC146" s="55">
        <v>20</v>
      </c>
      <c r="BD146" s="52" t="s">
        <v>467</v>
      </c>
    </row>
    <row r="147" spans="1:56" s="9" customFormat="1" ht="11.25" customHeight="1" x14ac:dyDescent="0.15">
      <c r="A147" s="20">
        <v>146</v>
      </c>
      <c r="B147" s="20"/>
      <c r="C147" s="9" t="s">
        <v>270</v>
      </c>
      <c r="E147" s="10" t="s">
        <v>271</v>
      </c>
      <c r="F147" s="123">
        <v>1278</v>
      </c>
      <c r="G147" s="7">
        <f ca="1">INT((F147*Valores!$C$2*100)+0.5)/100</f>
        <v>6562.15</v>
      </c>
      <c r="H147" s="134">
        <v>0</v>
      </c>
      <c r="I147" s="77">
        <f ca="1">INT((H147*Valores!$C$2*100)+0.5)/100</f>
        <v>0</v>
      </c>
      <c r="J147" s="147">
        <v>0</v>
      </c>
      <c r="K147" s="77">
        <f ca="1">INT((J147*Valores!$C$2*100)+0.5)/100</f>
        <v>0</v>
      </c>
      <c r="L147" s="120">
        <v>0</v>
      </c>
      <c r="M147" s="77">
        <f ca="1">INT((L147*Valores!$C$2*100)+0.5)/100</f>
        <v>0</v>
      </c>
      <c r="N147" s="77">
        <f t="shared" ca="1" si="28"/>
        <v>0</v>
      </c>
      <c r="O147" s="77">
        <f t="shared" ca="1" si="29"/>
        <v>7321.28</v>
      </c>
      <c r="P147" s="61">
        <f>Valores!$C$20</f>
        <v>2991.57</v>
      </c>
      <c r="Q147" s="61">
        <f ca="1">Valores!$D$4</f>
        <v>2296.75</v>
      </c>
      <c r="R147" s="79">
        <f>Valores!$C$26</f>
        <v>2298.92</v>
      </c>
      <c r="S147" s="79">
        <f>Valores!$C$42</f>
        <v>759.13</v>
      </c>
      <c r="T147" s="61">
        <f>Valores!$C$23</f>
        <v>2221.56</v>
      </c>
      <c r="U147" s="77">
        <f t="shared" ca="1" si="21"/>
        <v>4443.12</v>
      </c>
      <c r="V147" s="77">
        <v>0</v>
      </c>
      <c r="W147" s="77">
        <v>0</v>
      </c>
      <c r="X147" s="116">
        <v>0</v>
      </c>
      <c r="Y147" s="77">
        <f ca="1">X147*Valores!$C$2</f>
        <v>0</v>
      </c>
      <c r="Z147" s="77">
        <v>0</v>
      </c>
      <c r="AA147" s="89">
        <f>Valores!$C$29</f>
        <v>131.68</v>
      </c>
      <c r="AB147" s="77">
        <f t="shared" ca="1" si="22"/>
        <v>0</v>
      </c>
      <c r="AC147" s="77">
        <f>Valores!$C$30</f>
        <v>131.68</v>
      </c>
      <c r="AD147" s="116">
        <v>0</v>
      </c>
      <c r="AE147" s="77">
        <f ca="1">INT(((AD147*Valores!$C$2)*100)+0.5)/100</f>
        <v>0</v>
      </c>
      <c r="AF147" s="77">
        <f>Valores!$C$51</f>
        <v>267.87</v>
      </c>
      <c r="AG147" s="77">
        <f>Valores!$C$52</f>
        <v>76.540000000000006</v>
      </c>
      <c r="AH147" s="77">
        <f ca="1">SUM(G147,I147,K147,M147,N147,O147,P147,Q147,R147,S147,U147,V147,W147,Y147,Z147,AA147,AB147,AC147,AE147,AF147,AG147)*Valores!$C$54</f>
        <v>0</v>
      </c>
      <c r="AI147" s="141">
        <f t="shared" ca="1" si="25"/>
        <v>27280.69</v>
      </c>
      <c r="AJ147" s="61">
        <f>Valores!$C$35</f>
        <v>182.07</v>
      </c>
      <c r="AK147" s="79">
        <f>Valores!$C$8</f>
        <v>204.1</v>
      </c>
      <c r="AL147" s="89">
        <v>112.25</v>
      </c>
      <c r="AM147" s="79">
        <f ca="1">IF($G$4="SI",SUM(AK147+AL147),AK147)*Valores!$C$54</f>
        <v>0</v>
      </c>
      <c r="AN147" s="12">
        <f t="shared" ca="1" si="26"/>
        <v>498.41999999999996</v>
      </c>
      <c r="AO147" s="13">
        <f ca="1">AI147*-Valores!$C$56</f>
        <v>-3546.4897000000001</v>
      </c>
      <c r="AP147" s="13">
        <f ca="1">AI147*-Valores!$C$57</f>
        <v>-136.40344999999999</v>
      </c>
      <c r="AQ147" s="78">
        <f ca="1">AI147*-Valores!$C$58</f>
        <v>-1227.63105</v>
      </c>
      <c r="AR147" s="78">
        <f ca="1">AI147*-Valores!$C$59</f>
        <v>-736.57863000000009</v>
      </c>
      <c r="AS147" s="78">
        <f ca="1">AI147*-Valores!$C$60</f>
        <v>-81.842069999999993</v>
      </c>
      <c r="AT147" s="15">
        <f t="shared" ca="1" si="23"/>
        <v>22868.585799999993</v>
      </c>
      <c r="AU147" s="15">
        <f t="shared" ca="1" si="24"/>
        <v>23277.796149999995</v>
      </c>
      <c r="AV147" s="78">
        <f ca="1">AI147*Valores!$C$61</f>
        <v>4364.9103999999998</v>
      </c>
      <c r="AW147" s="78">
        <f ca="1">AI147*Valores!$C$62</f>
        <v>1227.63105</v>
      </c>
      <c r="AX147" s="78">
        <f ca="1">AI147*Valores!$C$64</f>
        <v>272.80689999999998</v>
      </c>
      <c r="AY147" s="78">
        <f ca="1">AI147*Valores!$C$65</f>
        <v>954.82415000000003</v>
      </c>
      <c r="AZ147" s="78">
        <f ca="1">AI147*Valores!$C$66</f>
        <v>163.68413999999999</v>
      </c>
      <c r="BA147" s="78">
        <f t="shared" ca="1" si="27"/>
        <v>1473.15726</v>
      </c>
      <c r="BB147" s="20"/>
      <c r="BC147" s="20">
        <v>22</v>
      </c>
      <c r="BD147" s="9" t="s">
        <v>467</v>
      </c>
    </row>
    <row r="148" spans="1:56" s="9" customFormat="1" ht="11.25" customHeight="1" x14ac:dyDescent="0.15">
      <c r="A148" s="20">
        <v>147</v>
      </c>
      <c r="B148" s="20"/>
      <c r="C148" s="9" t="s">
        <v>272</v>
      </c>
      <c r="E148" s="10" t="s">
        <v>273</v>
      </c>
      <c r="F148" s="123">
        <v>1278</v>
      </c>
      <c r="G148" s="7">
        <f ca="1">INT((F148*Valores!$C$2*100)+0.5)/100</f>
        <v>6562.15</v>
      </c>
      <c r="H148" s="134">
        <v>0</v>
      </c>
      <c r="I148" s="77">
        <f ca="1">INT((H148*Valores!$C$2*100)+0.5)/100</f>
        <v>0</v>
      </c>
      <c r="J148" s="147">
        <v>0</v>
      </c>
      <c r="K148" s="77">
        <f ca="1">INT((J148*Valores!$C$2*100)+0.5)/100</f>
        <v>0</v>
      </c>
      <c r="L148" s="120">
        <v>0</v>
      </c>
      <c r="M148" s="77">
        <f ca="1">INT((L148*Valores!$C$2*100)+0.5)/100</f>
        <v>0</v>
      </c>
      <c r="N148" s="77">
        <f t="shared" ca="1" si="28"/>
        <v>0</v>
      </c>
      <c r="O148" s="77">
        <f t="shared" ca="1" si="29"/>
        <v>7321.28</v>
      </c>
      <c r="P148" s="61">
        <f>Valores!$C$20</f>
        <v>2991.57</v>
      </c>
      <c r="Q148" s="61">
        <f ca="1">Valores!$D$4</f>
        <v>2296.75</v>
      </c>
      <c r="R148" s="79">
        <v>0</v>
      </c>
      <c r="S148" s="79">
        <f>Valores!$C$42</f>
        <v>759.13</v>
      </c>
      <c r="T148" s="61">
        <f>Valores!$C$24</f>
        <v>2190.94</v>
      </c>
      <c r="U148" s="77">
        <f t="shared" ca="1" si="21"/>
        <v>4381.88</v>
      </c>
      <c r="V148" s="77">
        <v>0</v>
      </c>
      <c r="W148" s="77">
        <v>0</v>
      </c>
      <c r="X148" s="116">
        <v>0</v>
      </c>
      <c r="Y148" s="77">
        <f ca="1">X148*Valores!$C$2</f>
        <v>0</v>
      </c>
      <c r="Z148" s="77">
        <v>0</v>
      </c>
      <c r="AA148" s="89">
        <f>Valores!$C$29</f>
        <v>131.68</v>
      </c>
      <c r="AB148" s="77">
        <f t="shared" ca="1" si="22"/>
        <v>0</v>
      </c>
      <c r="AC148" s="77">
        <f>Valores!$C$30</f>
        <v>131.68</v>
      </c>
      <c r="AD148" s="116">
        <v>0</v>
      </c>
      <c r="AE148" s="77">
        <f ca="1">INT(((AD148*Valores!$C$2)*100)+0.5)/100</f>
        <v>0</v>
      </c>
      <c r="AF148" s="77">
        <f>Valores!$C$51</f>
        <v>267.87</v>
      </c>
      <c r="AG148" s="77">
        <f>Valores!$C$52</f>
        <v>76.540000000000006</v>
      </c>
      <c r="AH148" s="77">
        <f ca="1">SUM(G148,I148,K148,M148,N148,O148,P148,Q148,R148,S148,U148,V148,W148,Y148,Z148,AA148,AB148,AC148,AE148,AF148,AG148)*Valores!$C$54</f>
        <v>0</v>
      </c>
      <c r="AI148" s="141">
        <f t="shared" ca="1" si="25"/>
        <v>24920.530000000002</v>
      </c>
      <c r="AJ148" s="61">
        <f>Valores!$C$35</f>
        <v>182.07</v>
      </c>
      <c r="AK148" s="79">
        <f>Valores!$C$8</f>
        <v>204.1</v>
      </c>
      <c r="AL148" s="89">
        <v>0</v>
      </c>
      <c r="AM148" s="79">
        <f ca="1">IF($G$4="SI",SUM(AK148+AL148),AK148)*Valores!$C$54</f>
        <v>0</v>
      </c>
      <c r="AN148" s="12">
        <f t="shared" ca="1" si="26"/>
        <v>386.16999999999996</v>
      </c>
      <c r="AO148" s="13">
        <f ca="1">AI148*-Valores!$C$56</f>
        <v>-3239.6689000000006</v>
      </c>
      <c r="AP148" s="13">
        <f ca="1">AI148*-Valores!$C$57</f>
        <v>-124.60265000000001</v>
      </c>
      <c r="AQ148" s="78">
        <f ca="1">AI148*-Valores!$C$58</f>
        <v>-1121.4238500000001</v>
      </c>
      <c r="AR148" s="78">
        <f ca="1">AI148*-Valores!$C$59</f>
        <v>-672.85431000000017</v>
      </c>
      <c r="AS148" s="78">
        <f ca="1">AI148*-Valores!$C$60</f>
        <v>-74.761590000000012</v>
      </c>
      <c r="AT148" s="15">
        <f t="shared" ca="1" si="23"/>
        <v>20821.0046</v>
      </c>
      <c r="AU148" s="15">
        <f t="shared" ca="1" si="24"/>
        <v>21194.812550000002</v>
      </c>
      <c r="AV148" s="78">
        <f ca="1">AI148*Valores!$C$61</f>
        <v>3987.2848000000004</v>
      </c>
      <c r="AW148" s="78">
        <f ca="1">AI148*Valores!$C$62</f>
        <v>1121.4238500000001</v>
      </c>
      <c r="AX148" s="78">
        <f ca="1">AI148*Valores!$C$64</f>
        <v>249.20530000000002</v>
      </c>
      <c r="AY148" s="78">
        <f ca="1">AI148*Valores!$C$65</f>
        <v>872.21855000000016</v>
      </c>
      <c r="AZ148" s="78">
        <f ca="1">AI148*Valores!$C$66</f>
        <v>149.52318000000002</v>
      </c>
      <c r="BA148" s="78">
        <f t="shared" ca="1" si="27"/>
        <v>1345.7086200000003</v>
      </c>
      <c r="BB148" s="20"/>
      <c r="BC148" s="20"/>
      <c r="BD148" s="9" t="s">
        <v>466</v>
      </c>
    </row>
    <row r="149" spans="1:56" s="9" customFormat="1" ht="11.25" customHeight="1" x14ac:dyDescent="0.15">
      <c r="A149" s="20">
        <v>148</v>
      </c>
      <c r="B149" s="20"/>
      <c r="C149" s="9" t="s">
        <v>274</v>
      </c>
      <c r="E149" s="10" t="s">
        <v>275</v>
      </c>
      <c r="F149" s="123">
        <v>1278</v>
      </c>
      <c r="G149" s="7">
        <f ca="1">INT((F149*Valores!$C$2*100)+0.5)/100</f>
        <v>6562.15</v>
      </c>
      <c r="H149" s="134">
        <v>0</v>
      </c>
      <c r="I149" s="77">
        <f ca="1">INT((H149*Valores!$C$2*100)+0.5)/100</f>
        <v>0</v>
      </c>
      <c r="J149" s="147">
        <v>0</v>
      </c>
      <c r="K149" s="77">
        <f ca="1">INT((J149*Valores!$C$2*100)+0.5)/100</f>
        <v>0</v>
      </c>
      <c r="L149" s="120">
        <v>0</v>
      </c>
      <c r="M149" s="77">
        <f ca="1">INT((L149*Valores!$C$2*100)+0.5)/100</f>
        <v>0</v>
      </c>
      <c r="N149" s="77">
        <f t="shared" ca="1" si="28"/>
        <v>0</v>
      </c>
      <c r="O149" s="77">
        <f t="shared" ca="1" si="29"/>
        <v>7321.28</v>
      </c>
      <c r="P149" s="61">
        <f>Valores!$C$20</f>
        <v>2991.57</v>
      </c>
      <c r="Q149" s="61">
        <f ca="1">Valores!$D$4</f>
        <v>2296.75</v>
      </c>
      <c r="R149" s="79">
        <v>0</v>
      </c>
      <c r="S149" s="79">
        <f>Valores!$C$42</f>
        <v>759.13</v>
      </c>
      <c r="T149" s="61">
        <f>Valores!$C$24</f>
        <v>2190.94</v>
      </c>
      <c r="U149" s="77">
        <f t="shared" ca="1" si="21"/>
        <v>4381.88</v>
      </c>
      <c r="V149" s="77">
        <v>0</v>
      </c>
      <c r="W149" s="77">
        <v>0</v>
      </c>
      <c r="X149" s="116">
        <v>0</v>
      </c>
      <c r="Y149" s="77">
        <f ca="1">X149*Valores!$C$2</f>
        <v>0</v>
      </c>
      <c r="Z149" s="77">
        <v>0</v>
      </c>
      <c r="AA149" s="89">
        <f>Valores!$C$29</f>
        <v>131.68</v>
      </c>
      <c r="AB149" s="77">
        <f t="shared" ca="1" si="22"/>
        <v>0</v>
      </c>
      <c r="AC149" s="77">
        <f>Valores!$C$30</f>
        <v>131.68</v>
      </c>
      <c r="AD149" s="116">
        <v>0</v>
      </c>
      <c r="AE149" s="77">
        <f ca="1">INT(((AD149*Valores!$C$2)*100)+0.5)/100</f>
        <v>0</v>
      </c>
      <c r="AF149" s="77">
        <f>Valores!$C$51</f>
        <v>267.87</v>
      </c>
      <c r="AG149" s="77">
        <f>Valores!$C$52</f>
        <v>76.540000000000006</v>
      </c>
      <c r="AH149" s="77">
        <f ca="1">SUM(G149,I149,K149,M149,N149,O149,P149,Q149,R149,S149,U149,V149,W149,Y149,Z149,AA149,AB149,AC149,AE149,AF149,AG149)*Valores!$C$54</f>
        <v>0</v>
      </c>
      <c r="AI149" s="141">
        <f t="shared" ca="1" si="25"/>
        <v>24920.530000000002</v>
      </c>
      <c r="AJ149" s="61">
        <f>Valores!$C$35</f>
        <v>182.07</v>
      </c>
      <c r="AK149" s="79">
        <f>Valores!$C$8</f>
        <v>204.1</v>
      </c>
      <c r="AL149" s="89">
        <v>0</v>
      </c>
      <c r="AM149" s="79">
        <f ca="1">IF($G$4="SI",SUM(AK149+AL149),AK149)*Valores!$C$54</f>
        <v>0</v>
      </c>
      <c r="AN149" s="12">
        <f t="shared" ca="1" si="26"/>
        <v>386.16999999999996</v>
      </c>
      <c r="AO149" s="13">
        <f ca="1">AI149*-Valores!$C$56</f>
        <v>-3239.6689000000006</v>
      </c>
      <c r="AP149" s="13">
        <f ca="1">AI149*-Valores!$C$57</f>
        <v>-124.60265000000001</v>
      </c>
      <c r="AQ149" s="78">
        <f ca="1">AI149*-Valores!$C$58</f>
        <v>-1121.4238500000001</v>
      </c>
      <c r="AR149" s="78">
        <f ca="1">AI149*-Valores!$C$59</f>
        <v>-672.85431000000017</v>
      </c>
      <c r="AS149" s="78">
        <f ca="1">AI149*-Valores!$C$60</f>
        <v>-74.761590000000012</v>
      </c>
      <c r="AT149" s="15">
        <f t="shared" ca="1" si="23"/>
        <v>20821.0046</v>
      </c>
      <c r="AU149" s="15">
        <f t="shared" ca="1" si="24"/>
        <v>21194.812550000002</v>
      </c>
      <c r="AV149" s="78">
        <f ca="1">AI149*Valores!$C$61</f>
        <v>3987.2848000000004</v>
      </c>
      <c r="AW149" s="78">
        <f ca="1">AI149*Valores!$C$62</f>
        <v>1121.4238500000001</v>
      </c>
      <c r="AX149" s="78">
        <f ca="1">AI149*Valores!$C$64</f>
        <v>249.20530000000002</v>
      </c>
      <c r="AY149" s="78">
        <f ca="1">AI149*Valores!$C$65</f>
        <v>872.21855000000016</v>
      </c>
      <c r="AZ149" s="78">
        <f ca="1">AI149*Valores!$C$66</f>
        <v>149.52318000000002</v>
      </c>
      <c r="BA149" s="78">
        <f t="shared" ca="1" si="27"/>
        <v>1345.7086200000003</v>
      </c>
      <c r="BB149" s="20"/>
      <c r="BC149" s="55"/>
      <c r="BD149" s="9" t="s">
        <v>466</v>
      </c>
    </row>
    <row r="150" spans="1:56" s="9" customFormat="1" ht="11.25" customHeight="1" x14ac:dyDescent="0.15">
      <c r="A150" s="20">
        <v>149</v>
      </c>
      <c r="B150" s="20"/>
      <c r="C150" s="9" t="s">
        <v>276</v>
      </c>
      <c r="E150" s="10" t="s">
        <v>277</v>
      </c>
      <c r="F150" s="123">
        <v>1060</v>
      </c>
      <c r="G150" s="7">
        <f ca="1">INT((F150*Valores!$C$2*100)+0.5)/100</f>
        <v>5442.78</v>
      </c>
      <c r="H150" s="134">
        <v>0</v>
      </c>
      <c r="I150" s="77">
        <f ca="1">INT((H150*Valores!$C$2*100)+0.5)/100</f>
        <v>0</v>
      </c>
      <c r="J150" s="147">
        <v>0</v>
      </c>
      <c r="K150" s="77">
        <f ca="1">INT((J150*Valores!$C$2*100)+0.5)/100</f>
        <v>0</v>
      </c>
      <c r="L150" s="120">
        <v>0</v>
      </c>
      <c r="M150" s="77">
        <f ca="1">INT((L150*Valores!$C$2*100)+0.5)/100</f>
        <v>0</v>
      </c>
      <c r="N150" s="77">
        <f t="shared" ca="1" si="28"/>
        <v>0</v>
      </c>
      <c r="O150" s="77">
        <f t="shared" ca="1" si="29"/>
        <v>6201.91</v>
      </c>
      <c r="P150" s="61">
        <f>Valores!$C$20</f>
        <v>2991.57</v>
      </c>
      <c r="Q150" s="61">
        <f ca="1">Valores!$D$4</f>
        <v>2296.75</v>
      </c>
      <c r="R150" s="87">
        <f>Valores!$C$26</f>
        <v>2298.92</v>
      </c>
      <c r="S150" s="87">
        <f>Valores!$C$42</f>
        <v>759.13</v>
      </c>
      <c r="T150" s="77">
        <f>Valores!$C$23</f>
        <v>2221.56</v>
      </c>
      <c r="U150" s="77">
        <f t="shared" ca="1" si="21"/>
        <v>4443.12</v>
      </c>
      <c r="V150" s="77">
        <v>0</v>
      </c>
      <c r="W150" s="77">
        <v>0</v>
      </c>
      <c r="X150" s="116">
        <v>0</v>
      </c>
      <c r="Y150" s="77">
        <f ca="1">X150*Valores!$C$2</f>
        <v>0</v>
      </c>
      <c r="Z150" s="77">
        <v>0</v>
      </c>
      <c r="AA150" s="89">
        <f>Valores!$C$29</f>
        <v>131.68</v>
      </c>
      <c r="AB150" s="77">
        <f t="shared" ca="1" si="22"/>
        <v>0</v>
      </c>
      <c r="AC150" s="77">
        <f>Valores!$C$30</f>
        <v>131.68</v>
      </c>
      <c r="AD150" s="116">
        <v>0</v>
      </c>
      <c r="AE150" s="77">
        <f ca="1">INT(((AD150*Valores!$C$2)*100)+0.5)/100</f>
        <v>0</v>
      </c>
      <c r="AF150" s="77">
        <f>Valores!$C$51</f>
        <v>267.87</v>
      </c>
      <c r="AG150" s="77">
        <f>Valores!$C$52</f>
        <v>76.540000000000006</v>
      </c>
      <c r="AH150" s="77">
        <f ca="1">SUM(G150,I150,K150,M150,N150,O150,P150,Q150,R150,S150,U150,V150,W150,Y150,Z150,AA150,AB150,AC150,AE150,AF150,AG150)*Valores!$C$54</f>
        <v>0</v>
      </c>
      <c r="AI150" s="141">
        <f t="shared" ca="1" si="25"/>
        <v>25041.95</v>
      </c>
      <c r="AJ150" s="61">
        <f>Valores!$C$35</f>
        <v>182.07</v>
      </c>
      <c r="AK150" s="79">
        <f>Valores!$C$8</f>
        <v>204.1</v>
      </c>
      <c r="AL150" s="89">
        <v>112.25</v>
      </c>
      <c r="AM150" s="79">
        <f ca="1">IF($G$4="SI",SUM(AK150+AL150),AK150)*Valores!$C$54</f>
        <v>0</v>
      </c>
      <c r="AN150" s="12">
        <f t="shared" ca="1" si="26"/>
        <v>498.41999999999996</v>
      </c>
      <c r="AO150" s="13">
        <f ca="1">AI150*-Valores!$C$56</f>
        <v>-3255.4535000000001</v>
      </c>
      <c r="AP150" s="13">
        <f ca="1">AI150*-Valores!$C$57</f>
        <v>-125.20975</v>
      </c>
      <c r="AQ150" s="78">
        <f ca="1">AI150*-Valores!$C$58</f>
        <v>-1126.8877500000001</v>
      </c>
      <c r="AR150" s="78">
        <f ca="1">AI150*-Valores!$C$59</f>
        <v>-676.13265000000013</v>
      </c>
      <c r="AS150" s="78">
        <f ca="1">AI150*-Valores!$C$60</f>
        <v>-75.12585</v>
      </c>
      <c r="AT150" s="15">
        <f t="shared" ca="1" si="23"/>
        <v>21032.818999999996</v>
      </c>
      <c r="AU150" s="15">
        <f t="shared" ca="1" si="24"/>
        <v>21408.448249999998</v>
      </c>
      <c r="AV150" s="78">
        <f ca="1">AI150*Valores!$C$61</f>
        <v>4006.712</v>
      </c>
      <c r="AW150" s="78">
        <f ca="1">AI150*Valores!$C$62</f>
        <v>1126.8877500000001</v>
      </c>
      <c r="AX150" s="78">
        <f ca="1">AI150*Valores!$C$64</f>
        <v>250.4195</v>
      </c>
      <c r="AY150" s="78">
        <f ca="1">AI150*Valores!$C$65</f>
        <v>876.46825000000013</v>
      </c>
      <c r="AZ150" s="78">
        <f ca="1">AI150*Valores!$C$66</f>
        <v>150.2517</v>
      </c>
      <c r="BA150" s="78">
        <f t="shared" ca="1" si="27"/>
        <v>1352.2653</v>
      </c>
      <c r="BB150" s="20"/>
      <c r="BC150" s="20"/>
      <c r="BD150" s="9" t="s">
        <v>467</v>
      </c>
    </row>
    <row r="151" spans="1:56" s="9" customFormat="1" ht="11.25" customHeight="1" x14ac:dyDescent="0.15">
      <c r="A151" s="55">
        <v>150</v>
      </c>
      <c r="B151" s="55" t="s">
        <v>462</v>
      </c>
      <c r="C151" s="52" t="s">
        <v>278</v>
      </c>
      <c r="D151" s="52"/>
      <c r="E151" s="53" t="s">
        <v>279</v>
      </c>
      <c r="F151" s="124">
        <v>1278</v>
      </c>
      <c r="G151" s="129">
        <f ca="1">INT((F151*Valores!$C$2*100)+0.5)/100</f>
        <v>6562.15</v>
      </c>
      <c r="H151" s="133">
        <v>0</v>
      </c>
      <c r="I151" s="80">
        <f ca="1">INT((H151*Valores!$C$2*100)+0.5)/100</f>
        <v>0</v>
      </c>
      <c r="J151" s="148">
        <v>0</v>
      </c>
      <c r="K151" s="80">
        <f ca="1">INT((J151*Valores!$C$2*100)+0.5)/100</f>
        <v>0</v>
      </c>
      <c r="L151" s="121">
        <v>0</v>
      </c>
      <c r="M151" s="80">
        <f ca="1">INT((L151*Valores!$C$2*100)+0.5)/100</f>
        <v>0</v>
      </c>
      <c r="N151" s="80">
        <f t="shared" ca="1" si="28"/>
        <v>0</v>
      </c>
      <c r="O151" s="80">
        <f t="shared" ca="1" si="29"/>
        <v>7321.28</v>
      </c>
      <c r="P151" s="85">
        <f>Valores!$C$20</f>
        <v>2991.57</v>
      </c>
      <c r="Q151" s="85">
        <f ca="1">Valores!$D$4</f>
        <v>2296.75</v>
      </c>
      <c r="R151" s="88">
        <f>Valores!$C$26</f>
        <v>2298.92</v>
      </c>
      <c r="S151" s="88">
        <f>Valores!$C$42</f>
        <v>759.13</v>
      </c>
      <c r="T151" s="85">
        <f>Valores!$C$24</f>
        <v>2190.94</v>
      </c>
      <c r="U151" s="80">
        <f t="shared" ca="1" si="21"/>
        <v>4381.88</v>
      </c>
      <c r="V151" s="80">
        <v>0</v>
      </c>
      <c r="W151" s="80">
        <v>0</v>
      </c>
      <c r="X151" s="115">
        <v>0</v>
      </c>
      <c r="Y151" s="80">
        <f ca="1">X151*Valores!$C$2</f>
        <v>0</v>
      </c>
      <c r="Z151" s="80">
        <v>0</v>
      </c>
      <c r="AA151" s="90">
        <f>Valores!$C$29</f>
        <v>131.68</v>
      </c>
      <c r="AB151" s="80">
        <f t="shared" ca="1" si="22"/>
        <v>0</v>
      </c>
      <c r="AC151" s="80">
        <f>Valores!$C$30</f>
        <v>131.68</v>
      </c>
      <c r="AD151" s="115">
        <v>0</v>
      </c>
      <c r="AE151" s="80">
        <f ca="1">INT(((AD151*Valores!$C$2)*100)+0.5)/100</f>
        <v>0</v>
      </c>
      <c r="AF151" s="80">
        <f>Valores!$C$51</f>
        <v>267.87</v>
      </c>
      <c r="AG151" s="80">
        <f>Valores!$C$52</f>
        <v>76.540000000000006</v>
      </c>
      <c r="AH151" s="80">
        <f ca="1">SUM(G151,I151,K151,M151,N151,O151,P151,Q151,R151,S151,U151,V151,W151,Y151,Z151,AA151,AB151,AC151,AE151,AF151,AG151)*Valores!$C$54</f>
        <v>0</v>
      </c>
      <c r="AI151" s="142">
        <f t="shared" ca="1" si="25"/>
        <v>27219.45</v>
      </c>
      <c r="AJ151" s="85">
        <f>Valores!$C$35</f>
        <v>182.07</v>
      </c>
      <c r="AK151" s="82">
        <f>Valores!$C$8</f>
        <v>204.1</v>
      </c>
      <c r="AL151" s="90">
        <v>0</v>
      </c>
      <c r="AM151" s="82">
        <f ca="1">IF($G$4="SI",SUM(AK151+AL151),AK151)*Valores!$C$54</f>
        <v>0</v>
      </c>
      <c r="AN151" s="186">
        <f t="shared" ca="1" si="26"/>
        <v>386.16999999999996</v>
      </c>
      <c r="AO151" s="155">
        <f ca="1">AI151*-Valores!$C$56</f>
        <v>-3538.5285000000003</v>
      </c>
      <c r="AP151" s="155">
        <f ca="1">AI151*-Valores!$C$57</f>
        <v>-136.09725</v>
      </c>
      <c r="AQ151" s="81">
        <f ca="1">AI151*-Valores!$C$58</f>
        <v>-1224.8752500000001</v>
      </c>
      <c r="AR151" s="81">
        <f ca="1">AI151*-Valores!$C$59</f>
        <v>-734.92515000000014</v>
      </c>
      <c r="AS151" s="81">
        <f ca="1">AI151*-Valores!$C$60</f>
        <v>-81.658349999999999</v>
      </c>
      <c r="AT151" s="54">
        <f t="shared" ca="1" si="23"/>
        <v>22706.118999999999</v>
      </c>
      <c r="AU151" s="54">
        <f t="shared" ca="1" si="24"/>
        <v>23114.410749999999</v>
      </c>
      <c r="AV151" s="81">
        <f ca="1">AI151*Valores!$C$61</f>
        <v>4355.1120000000001</v>
      </c>
      <c r="AW151" s="81">
        <f ca="1">AI151*Valores!$C$62</f>
        <v>1224.8752500000001</v>
      </c>
      <c r="AX151" s="81">
        <f ca="1">AI151*Valores!$C$64</f>
        <v>272.19450000000001</v>
      </c>
      <c r="AY151" s="81">
        <f ca="1">AI151*Valores!$C$65</f>
        <v>952.6807500000001</v>
      </c>
      <c r="AZ151" s="81">
        <f ca="1">AI151*Valores!$C$66</f>
        <v>163.3167</v>
      </c>
      <c r="BA151" s="81">
        <f t="shared" ca="1" si="27"/>
        <v>1469.8503000000003</v>
      </c>
      <c r="BB151" s="55"/>
      <c r="BC151" s="55">
        <v>22</v>
      </c>
      <c r="BD151" s="52" t="s">
        <v>467</v>
      </c>
    </row>
    <row r="152" spans="1:56" s="9" customFormat="1" ht="11.25" customHeight="1" x14ac:dyDescent="0.15">
      <c r="A152" s="20">
        <v>151</v>
      </c>
      <c r="B152" s="20"/>
      <c r="C152" s="9" t="s">
        <v>280</v>
      </c>
      <c r="E152" s="10" t="s">
        <v>281</v>
      </c>
      <c r="F152" s="123">
        <v>1278</v>
      </c>
      <c r="G152" s="7">
        <f ca="1">INT((F152*Valores!$C$2*100)+0.5)/100</f>
        <v>6562.15</v>
      </c>
      <c r="H152" s="134">
        <v>0</v>
      </c>
      <c r="I152" s="77">
        <f ca="1">INT((H152*Valores!$C$2*100)+0.5)/100</f>
        <v>0</v>
      </c>
      <c r="J152" s="147">
        <v>0</v>
      </c>
      <c r="K152" s="77">
        <f ca="1">INT((J152*Valores!$C$2*100)+0.5)/100</f>
        <v>0</v>
      </c>
      <c r="L152" s="120">
        <v>0</v>
      </c>
      <c r="M152" s="77">
        <f ca="1">INT((L152*Valores!$C$2*100)+0.5)/100</f>
        <v>0</v>
      </c>
      <c r="N152" s="77">
        <f t="shared" ca="1" si="28"/>
        <v>0</v>
      </c>
      <c r="O152" s="77">
        <f t="shared" ca="1" si="29"/>
        <v>7321.28</v>
      </c>
      <c r="P152" s="61">
        <f>Valores!$C$20</f>
        <v>2991.57</v>
      </c>
      <c r="Q152" s="61">
        <f ca="1">Valores!$D$4</f>
        <v>2296.75</v>
      </c>
      <c r="R152" s="79">
        <f>Valores!$C$26</f>
        <v>2298.92</v>
      </c>
      <c r="S152" s="79">
        <f>Valores!$C$42</f>
        <v>759.13</v>
      </c>
      <c r="T152" s="77">
        <f>Valores!$C$23</f>
        <v>2221.56</v>
      </c>
      <c r="U152" s="77">
        <f t="shared" ca="1" si="21"/>
        <v>4443.12</v>
      </c>
      <c r="V152" s="77">
        <v>0</v>
      </c>
      <c r="W152" s="77">
        <v>0</v>
      </c>
      <c r="X152" s="116">
        <v>0</v>
      </c>
      <c r="Y152" s="77">
        <f ca="1">X152*Valores!$C$2</f>
        <v>0</v>
      </c>
      <c r="Z152" s="77">
        <v>0</v>
      </c>
      <c r="AA152" s="89">
        <f>Valores!$C$29</f>
        <v>131.68</v>
      </c>
      <c r="AB152" s="77">
        <f t="shared" ca="1" si="22"/>
        <v>0</v>
      </c>
      <c r="AC152" s="77">
        <f>Valores!$C$30</f>
        <v>131.68</v>
      </c>
      <c r="AD152" s="116">
        <v>0</v>
      </c>
      <c r="AE152" s="77">
        <f ca="1">INT(((AD152*Valores!$C$2)*100)+0.5)/100</f>
        <v>0</v>
      </c>
      <c r="AF152" s="77">
        <f>Valores!$C$51</f>
        <v>267.87</v>
      </c>
      <c r="AG152" s="77">
        <f>Valores!$C$52</f>
        <v>76.540000000000006</v>
      </c>
      <c r="AH152" s="77">
        <f ca="1">SUM(G152,I152,K152,M152,N152,O152,P152,Q152,R152,S152,U152,V152,W152,Y152,Z152,AA152,AB152,AC152,AE152,AF152,AG152)*Valores!$C$54</f>
        <v>0</v>
      </c>
      <c r="AI152" s="141">
        <f t="shared" ca="1" si="25"/>
        <v>27280.69</v>
      </c>
      <c r="AJ152" s="61">
        <f>Valores!$C$35</f>
        <v>182.07</v>
      </c>
      <c r="AK152" s="79">
        <f>Valores!$C$8</f>
        <v>204.1</v>
      </c>
      <c r="AL152" s="89">
        <v>0</v>
      </c>
      <c r="AM152" s="79">
        <f ca="1">IF($G$4="SI",SUM(AK152+AL152),AK152)*Valores!$C$54</f>
        <v>0</v>
      </c>
      <c r="AN152" s="12">
        <f t="shared" ca="1" si="26"/>
        <v>386.16999999999996</v>
      </c>
      <c r="AO152" s="13">
        <f ca="1">AI152*-Valores!$C$56</f>
        <v>-3546.4897000000001</v>
      </c>
      <c r="AP152" s="13">
        <f ca="1">AI152*-Valores!$C$57</f>
        <v>-136.40344999999999</v>
      </c>
      <c r="AQ152" s="78">
        <f ca="1">AI152*-Valores!$C$58</f>
        <v>-1227.63105</v>
      </c>
      <c r="AR152" s="78">
        <f ca="1">AI152*-Valores!$C$59</f>
        <v>-736.57863000000009</v>
      </c>
      <c r="AS152" s="78">
        <f ca="1">AI152*-Valores!$C$60</f>
        <v>-81.842069999999993</v>
      </c>
      <c r="AT152" s="15">
        <f t="shared" ca="1" si="23"/>
        <v>22756.335799999993</v>
      </c>
      <c r="AU152" s="15">
        <f t="shared" ca="1" si="24"/>
        <v>23165.546149999995</v>
      </c>
      <c r="AV152" s="78">
        <f ca="1">AI152*Valores!$C$61</f>
        <v>4364.9103999999998</v>
      </c>
      <c r="AW152" s="78">
        <f ca="1">AI152*Valores!$C$62</f>
        <v>1227.63105</v>
      </c>
      <c r="AX152" s="78">
        <f ca="1">AI152*Valores!$C$64</f>
        <v>272.80689999999998</v>
      </c>
      <c r="AY152" s="78">
        <f ca="1">AI152*Valores!$C$65</f>
        <v>954.82415000000003</v>
      </c>
      <c r="AZ152" s="78">
        <f ca="1">AI152*Valores!$C$66</f>
        <v>163.68413999999999</v>
      </c>
      <c r="BA152" s="78">
        <f t="shared" ca="1" si="27"/>
        <v>1473.15726</v>
      </c>
      <c r="BB152" s="20"/>
      <c r="BC152" s="20">
        <v>25</v>
      </c>
      <c r="BD152" s="9" t="s">
        <v>467</v>
      </c>
    </row>
    <row r="153" spans="1:56" s="9" customFormat="1" ht="11.25" customHeight="1" x14ac:dyDescent="0.15">
      <c r="A153" s="20">
        <v>152</v>
      </c>
      <c r="B153" s="20"/>
      <c r="C153" s="9" t="s">
        <v>282</v>
      </c>
      <c r="E153" s="10" t="s">
        <v>283</v>
      </c>
      <c r="F153" s="123">
        <v>1065</v>
      </c>
      <c r="G153" s="7">
        <f ca="1">INT((F153*Valores!$C$2*100)+0.5)/100</f>
        <v>5468.46</v>
      </c>
      <c r="H153" s="134">
        <v>0</v>
      </c>
      <c r="I153" s="77">
        <f ca="1">INT((H153*Valores!$C$2*100)+0.5)/100</f>
        <v>0</v>
      </c>
      <c r="J153" s="147">
        <v>0</v>
      </c>
      <c r="K153" s="77">
        <f ca="1">INT((J153*Valores!$C$2*100)+0.5)/100</f>
        <v>0</v>
      </c>
      <c r="L153" s="120">
        <v>0</v>
      </c>
      <c r="M153" s="77">
        <f ca="1">INT((L153*Valores!$C$2*100)+0.5)/100</f>
        <v>0</v>
      </c>
      <c r="N153" s="77">
        <f t="shared" ca="1" si="28"/>
        <v>0</v>
      </c>
      <c r="O153" s="77">
        <f t="shared" ca="1" si="29"/>
        <v>6132.7</v>
      </c>
      <c r="P153" s="61">
        <f>Valores!$C$20</f>
        <v>2991.57</v>
      </c>
      <c r="Q153" s="61">
        <f ca="1">Valores!$D$4</f>
        <v>2296.75</v>
      </c>
      <c r="R153" s="79">
        <f>Valores!$C$27</f>
        <v>2099.9299999999998</v>
      </c>
      <c r="S153" s="79">
        <f>Valores!$C$41</f>
        <v>664.24</v>
      </c>
      <c r="T153" s="61">
        <f>Valores!$C$23</f>
        <v>2221.56</v>
      </c>
      <c r="U153" s="77">
        <f t="shared" ca="1" si="21"/>
        <v>4443.12</v>
      </c>
      <c r="V153" s="77">
        <v>0</v>
      </c>
      <c r="W153" s="77">
        <v>0</v>
      </c>
      <c r="X153" s="116">
        <v>0</v>
      </c>
      <c r="Y153" s="77">
        <f ca="1">X153*Valores!$C$2</f>
        <v>0</v>
      </c>
      <c r="Z153" s="77">
        <v>0</v>
      </c>
      <c r="AA153" s="89">
        <f>Valores!$C$29</f>
        <v>131.68</v>
      </c>
      <c r="AB153" s="77">
        <f t="shared" ca="1" si="22"/>
        <v>0</v>
      </c>
      <c r="AC153" s="77">
        <f>Valores!$C$30</f>
        <v>131.68</v>
      </c>
      <c r="AD153" s="116">
        <v>0</v>
      </c>
      <c r="AE153" s="77">
        <f ca="1">INT(((AD153*Valores!$C$2)*100)+0.5)/100</f>
        <v>0</v>
      </c>
      <c r="AF153" s="77">
        <f>Valores!$C$51</f>
        <v>267.87</v>
      </c>
      <c r="AG153" s="77">
        <f>Valores!$C$52</f>
        <v>76.540000000000006</v>
      </c>
      <c r="AH153" s="77">
        <f ca="1">SUM(G153,I153,K153,M153,N153,O153,P153,Q153,R153,S153,U153,V153,W153,Y153,Z153,AA153,AB153,AC153,AE153,AF153,AG153)*Valores!$C$54</f>
        <v>0</v>
      </c>
      <c r="AI153" s="141">
        <f t="shared" ca="1" si="25"/>
        <v>24704.54</v>
      </c>
      <c r="AJ153" s="61">
        <f>Valores!$C$35</f>
        <v>182.07</v>
      </c>
      <c r="AK153" s="79">
        <f>Valores!$C$7</f>
        <v>178.59</v>
      </c>
      <c r="AL153" s="89">
        <v>112.25</v>
      </c>
      <c r="AM153" s="79">
        <f ca="1">IF($G$4="SI",SUM(AK153+AL153),AK153)*Valores!$C$54</f>
        <v>0</v>
      </c>
      <c r="AN153" s="12">
        <f t="shared" ca="1" si="26"/>
        <v>472.90999999999997</v>
      </c>
      <c r="AO153" s="13">
        <f ca="1">AI153*-Valores!$C$56</f>
        <v>-3211.5902000000001</v>
      </c>
      <c r="AP153" s="13">
        <f ca="1">AI153*-Valores!$C$57</f>
        <v>-123.5227</v>
      </c>
      <c r="AQ153" s="78">
        <f ca="1">AI153*-Valores!$C$58</f>
        <v>-1111.7043000000001</v>
      </c>
      <c r="AR153" s="78">
        <f ca="1">AI153*-Valores!$C$59</f>
        <v>-667.02258000000006</v>
      </c>
      <c r="AS153" s="78">
        <f ca="1">AI153*-Valores!$C$60</f>
        <v>-74.113619999999997</v>
      </c>
      <c r="AT153" s="15">
        <f t="shared" ca="1" si="23"/>
        <v>20730.632799999999</v>
      </c>
      <c r="AU153" s="15">
        <f t="shared" ca="1" si="24"/>
        <v>21101.2009</v>
      </c>
      <c r="AV153" s="78">
        <f ca="1">AI153*Valores!$C$61</f>
        <v>3952.7264</v>
      </c>
      <c r="AW153" s="78">
        <f ca="1">AI153*Valores!$C$62</f>
        <v>1111.7043000000001</v>
      </c>
      <c r="AX153" s="78">
        <f ca="1">AI153*Valores!$C$64</f>
        <v>247.0454</v>
      </c>
      <c r="AY153" s="78">
        <f ca="1">AI153*Valores!$C$65</f>
        <v>864.65890000000013</v>
      </c>
      <c r="AZ153" s="78">
        <f ca="1">AI153*Valores!$C$66</f>
        <v>148.22723999999999</v>
      </c>
      <c r="BA153" s="78">
        <f t="shared" ca="1" si="27"/>
        <v>1334.0451600000001</v>
      </c>
      <c r="BB153" s="20"/>
      <c r="BC153" s="20">
        <v>25</v>
      </c>
      <c r="BD153" s="9" t="s">
        <v>467</v>
      </c>
    </row>
    <row r="154" spans="1:56" s="9" customFormat="1" ht="11.25" customHeight="1" x14ac:dyDescent="0.15">
      <c r="A154" s="20">
        <v>153</v>
      </c>
      <c r="B154" s="20"/>
      <c r="C154" s="9" t="s">
        <v>284</v>
      </c>
      <c r="E154" s="10" t="s">
        <v>285</v>
      </c>
      <c r="F154" s="123">
        <v>947</v>
      </c>
      <c r="G154" s="7">
        <f ca="1">INT((F154*Valores!$C$2*100)+0.5)/100</f>
        <v>4862.5600000000004</v>
      </c>
      <c r="H154" s="134">
        <v>0</v>
      </c>
      <c r="I154" s="77">
        <f ca="1">INT((H154*Valores!$C$2*100)+0.5)/100</f>
        <v>0</v>
      </c>
      <c r="J154" s="147">
        <v>0</v>
      </c>
      <c r="K154" s="77">
        <f ca="1">INT((J154*Valores!$C$2*100)+0.5)/100</f>
        <v>0</v>
      </c>
      <c r="L154" s="120">
        <v>0</v>
      </c>
      <c r="M154" s="77">
        <f ca="1">INT((L154*Valores!$C$2*100)+0.5)/100</f>
        <v>0</v>
      </c>
      <c r="N154" s="77">
        <f t="shared" ca="1" si="28"/>
        <v>0</v>
      </c>
      <c r="O154" s="77">
        <f t="shared" ca="1" si="29"/>
        <v>5526.8</v>
      </c>
      <c r="P154" s="61">
        <f>Valores!$C$20</f>
        <v>2991.57</v>
      </c>
      <c r="Q154" s="61">
        <f ca="1">Valores!$D$4</f>
        <v>2296.75</v>
      </c>
      <c r="R154" s="79">
        <f>Valores!$C$27</f>
        <v>2099.9299999999998</v>
      </c>
      <c r="S154" s="79">
        <f>Valores!$C$41</f>
        <v>664.24</v>
      </c>
      <c r="T154" s="61">
        <f>Valores!$C$23</f>
        <v>2221.56</v>
      </c>
      <c r="U154" s="77">
        <f t="shared" ca="1" si="21"/>
        <v>4443.12</v>
      </c>
      <c r="V154" s="77">
        <v>0</v>
      </c>
      <c r="W154" s="77">
        <v>0</v>
      </c>
      <c r="X154" s="116">
        <v>0</v>
      </c>
      <c r="Y154" s="77">
        <f ca="1">X154*Valores!$C$2</f>
        <v>0</v>
      </c>
      <c r="Z154" s="77">
        <v>0</v>
      </c>
      <c r="AA154" s="89">
        <f>Valores!$C$29</f>
        <v>131.68</v>
      </c>
      <c r="AB154" s="77">
        <f t="shared" ca="1" si="22"/>
        <v>0</v>
      </c>
      <c r="AC154" s="77">
        <f>Valores!$C$30</f>
        <v>131.68</v>
      </c>
      <c r="AD154" s="116">
        <v>0</v>
      </c>
      <c r="AE154" s="77">
        <f ca="1">INT(((AD154*Valores!$C$2)*100)+0.5)/100</f>
        <v>0</v>
      </c>
      <c r="AF154" s="77">
        <f>Valores!$C$51</f>
        <v>267.87</v>
      </c>
      <c r="AG154" s="77">
        <f>Valores!$C$52</f>
        <v>76.540000000000006</v>
      </c>
      <c r="AH154" s="77">
        <f ca="1">SUM(G154,I154,K154,M154,N154,O154,P154,Q154,R154,S154,U154,V154,W154,Y154,Z154,AA154,AB154,AC154,AE154,AF154,AG154)*Valores!$C$54</f>
        <v>0</v>
      </c>
      <c r="AI154" s="141">
        <f t="shared" ca="1" si="25"/>
        <v>23492.74</v>
      </c>
      <c r="AJ154" s="61">
        <f>Valores!$C$35</f>
        <v>182.07</v>
      </c>
      <c r="AK154" s="79">
        <f>Valores!$C$7</f>
        <v>178.59</v>
      </c>
      <c r="AL154" s="89">
        <v>112.25</v>
      </c>
      <c r="AM154" s="79">
        <f ca="1">IF($G$4="SI",SUM(AK154+AL154),AK154)*Valores!$C$54</f>
        <v>0</v>
      </c>
      <c r="AN154" s="12">
        <f t="shared" ca="1" si="26"/>
        <v>472.90999999999997</v>
      </c>
      <c r="AO154" s="13">
        <f ca="1">AI154*-Valores!$C$56</f>
        <v>-3054.0562000000004</v>
      </c>
      <c r="AP154" s="13">
        <f ca="1">AI154*-Valores!$C$57</f>
        <v>-117.46370000000002</v>
      </c>
      <c r="AQ154" s="78">
        <f ca="1">AI154*-Valores!$C$58</f>
        <v>-1057.1732999999999</v>
      </c>
      <c r="AR154" s="78">
        <f ca="1">AI154*-Valores!$C$59</f>
        <v>-634.30398000000014</v>
      </c>
      <c r="AS154" s="78">
        <f ca="1">AI154*-Valores!$C$60</f>
        <v>-70.478220000000007</v>
      </c>
      <c r="AT154" s="15">
        <f t="shared" ca="1" si="23"/>
        <v>19736.956800000004</v>
      </c>
      <c r="AU154" s="15">
        <f t="shared" ca="1" si="24"/>
        <v>20089.347900000001</v>
      </c>
      <c r="AV154" s="78">
        <f ca="1">AI154*Valores!$C$61</f>
        <v>3758.8384000000005</v>
      </c>
      <c r="AW154" s="78">
        <f ca="1">AI154*Valores!$C$62</f>
        <v>1057.1732999999999</v>
      </c>
      <c r="AX154" s="78">
        <f ca="1">AI154*Valores!$C$64</f>
        <v>234.92740000000003</v>
      </c>
      <c r="AY154" s="78">
        <f ca="1">AI154*Valores!$C$65</f>
        <v>822.24590000000012</v>
      </c>
      <c r="AZ154" s="78">
        <f ca="1">AI154*Valores!$C$66</f>
        <v>140.95644000000001</v>
      </c>
      <c r="BA154" s="78">
        <f t="shared" ca="1" si="27"/>
        <v>1268.6079600000003</v>
      </c>
      <c r="BB154" s="20"/>
      <c r="BC154" s="55">
        <v>22</v>
      </c>
      <c r="BD154" s="9" t="s">
        <v>467</v>
      </c>
    </row>
    <row r="155" spans="1:56" s="9" customFormat="1" ht="11.25" customHeight="1" x14ac:dyDescent="0.15">
      <c r="A155" s="20">
        <v>154</v>
      </c>
      <c r="B155" s="20"/>
      <c r="C155" s="9" t="s">
        <v>286</v>
      </c>
      <c r="E155" s="10" t="s">
        <v>287</v>
      </c>
      <c r="F155" s="123">
        <v>1800</v>
      </c>
      <c r="G155" s="7">
        <f ca="1">INT((F155*Valores!$C$2*100)+0.5)/100</f>
        <v>9242.4599999999991</v>
      </c>
      <c r="H155" s="134">
        <v>0</v>
      </c>
      <c r="I155" s="77">
        <f ca="1">INT((H155*Valores!$C$2*100)+0.5)/100</f>
        <v>0</v>
      </c>
      <c r="J155" s="147">
        <v>0</v>
      </c>
      <c r="K155" s="77">
        <f ca="1">INT((J155*Valores!$C$2*100)+0.5)/100</f>
        <v>0</v>
      </c>
      <c r="L155" s="120">
        <v>0</v>
      </c>
      <c r="M155" s="77">
        <f ca="1">INT((L155*Valores!$C$2*100)+0.5)/100</f>
        <v>0</v>
      </c>
      <c r="N155" s="77">
        <f t="shared" ca="1" si="28"/>
        <v>0</v>
      </c>
      <c r="O155" s="77">
        <f t="shared" ca="1" si="29"/>
        <v>10381.15</v>
      </c>
      <c r="P155" s="61">
        <f>Valores!$C$15</f>
        <v>3144.64</v>
      </c>
      <c r="Q155" s="61">
        <f ca="1">Valores!$D$4</f>
        <v>2296.75</v>
      </c>
      <c r="R155" s="61">
        <f>Valores!$C$26</f>
        <v>2298.92</v>
      </c>
      <c r="S155" s="87">
        <f>Valores!$C$43</f>
        <v>1138.69</v>
      </c>
      <c r="T155" s="77">
        <f>Valores!$C$23</f>
        <v>2221.56</v>
      </c>
      <c r="U155" s="77">
        <f t="shared" ca="1" si="21"/>
        <v>4443.12</v>
      </c>
      <c r="V155" s="77">
        <v>0</v>
      </c>
      <c r="W155" s="77">
        <v>0</v>
      </c>
      <c r="X155" s="116">
        <v>0</v>
      </c>
      <c r="Y155" s="77">
        <f ca="1">X155*Valores!$C$2</f>
        <v>0</v>
      </c>
      <c r="Z155" s="77">
        <v>0</v>
      </c>
      <c r="AA155" s="89">
        <f>Valores!$C$29</f>
        <v>131.68</v>
      </c>
      <c r="AB155" s="77">
        <f t="shared" ca="1" si="22"/>
        <v>0</v>
      </c>
      <c r="AC155" s="77">
        <f>Valores!$C$30</f>
        <v>131.68</v>
      </c>
      <c r="AD155" s="116">
        <v>0</v>
      </c>
      <c r="AE155" s="77">
        <f ca="1">INT(((AD155*Valores!$C$2)*100)+0.5)/100</f>
        <v>0</v>
      </c>
      <c r="AF155" s="77">
        <f>Valores!$C$51</f>
        <v>267.87</v>
      </c>
      <c r="AG155" s="77">
        <f>Valores!$C$52</f>
        <v>76.540000000000006</v>
      </c>
      <c r="AH155" s="77">
        <f ca="1">SUM(G155,I155,K155,M155,N155,O155,P155,Q155,R155,S155,U155,V155,W155,Y155,Z155,AA155,AB155,AC155,AE155,AF155,AG155)*Valores!$C$54</f>
        <v>0</v>
      </c>
      <c r="AI155" s="141">
        <f t="shared" ca="1" si="25"/>
        <v>33553.5</v>
      </c>
      <c r="AJ155" s="61">
        <f>Valores!$C$35</f>
        <v>182.07</v>
      </c>
      <c r="AK155" s="79">
        <f>Valores!$C$9</f>
        <v>306.14</v>
      </c>
      <c r="AL155" s="89">
        <v>0</v>
      </c>
      <c r="AM155" s="79">
        <f ca="1">IF($G$4="SI",SUM(AK155+AL155),AK155)*Valores!$C$54</f>
        <v>0</v>
      </c>
      <c r="AN155" s="12">
        <f t="shared" ca="1" si="26"/>
        <v>488.21</v>
      </c>
      <c r="AO155" s="13">
        <f ca="1">AI155*-Valores!$C$56</f>
        <v>-4361.9549999999999</v>
      </c>
      <c r="AP155" s="13">
        <f ca="1">AI155*-Valores!$C$57</f>
        <v>-167.76750000000001</v>
      </c>
      <c r="AQ155" s="78">
        <f ca="1">AI155*-Valores!$C$58</f>
        <v>-1509.9075</v>
      </c>
      <c r="AR155" s="78">
        <f ca="1">AI155*-Valores!$C$59</f>
        <v>-905.94450000000006</v>
      </c>
      <c r="AS155" s="78">
        <f ca="1">AI155*-Valores!$C$60</f>
        <v>-100.6605</v>
      </c>
      <c r="AT155" s="15">
        <f t="shared" ca="1" si="23"/>
        <v>28002.079999999994</v>
      </c>
      <c r="AU155" s="15">
        <f t="shared" ca="1" si="24"/>
        <v>28505.382499999996</v>
      </c>
      <c r="AV155" s="78">
        <f ca="1">AI155*Valores!$C$61</f>
        <v>5368.56</v>
      </c>
      <c r="AW155" s="78">
        <f ca="1">AI155*Valores!$C$62</f>
        <v>1509.9075</v>
      </c>
      <c r="AX155" s="78">
        <f ca="1">AI155*Valores!$C$64</f>
        <v>335.53500000000003</v>
      </c>
      <c r="AY155" s="78">
        <f ca="1">AI155*Valores!$C$65</f>
        <v>1174.3725000000002</v>
      </c>
      <c r="AZ155" s="78">
        <f ca="1">AI155*Valores!$C$66</f>
        <v>201.321</v>
      </c>
      <c r="BA155" s="78">
        <f t="shared" ca="1" si="27"/>
        <v>1811.8890000000001</v>
      </c>
      <c r="BB155" s="20"/>
      <c r="BC155" s="20"/>
      <c r="BD155" s="9" t="s">
        <v>467</v>
      </c>
    </row>
    <row r="156" spans="1:56" s="9" customFormat="1" ht="11.25" customHeight="1" x14ac:dyDescent="0.15">
      <c r="A156" s="55">
        <v>155</v>
      </c>
      <c r="B156" s="55" t="s">
        <v>462</v>
      </c>
      <c r="C156" s="52" t="s">
        <v>288</v>
      </c>
      <c r="D156" s="52"/>
      <c r="E156" s="53" t="s">
        <v>289</v>
      </c>
      <c r="F156" s="124">
        <v>1278</v>
      </c>
      <c r="G156" s="129">
        <f ca="1">INT((F156*Valores!$C$2*100)+0.5)/100</f>
        <v>6562.15</v>
      </c>
      <c r="H156" s="133">
        <v>0</v>
      </c>
      <c r="I156" s="80">
        <f ca="1">INT((H156*Valores!$C$2*100)+0.5)/100</f>
        <v>0</v>
      </c>
      <c r="J156" s="148">
        <v>0</v>
      </c>
      <c r="K156" s="80">
        <f ca="1">INT((J156*Valores!$C$2*100)+0.5)/100</f>
        <v>0</v>
      </c>
      <c r="L156" s="121">
        <v>0</v>
      </c>
      <c r="M156" s="80">
        <f ca="1">INT((L156*Valores!$C$2*100)+0.5)/100</f>
        <v>0</v>
      </c>
      <c r="N156" s="80">
        <f t="shared" ca="1" si="28"/>
        <v>0</v>
      </c>
      <c r="O156" s="80">
        <f t="shared" ca="1" si="29"/>
        <v>7321.28</v>
      </c>
      <c r="P156" s="85">
        <f>Valores!$C$15</f>
        <v>3144.64</v>
      </c>
      <c r="Q156" s="85">
        <f ca="1">Valores!$D$4</f>
        <v>2296.75</v>
      </c>
      <c r="R156" s="85">
        <f>Valores!$C$26</f>
        <v>2298.92</v>
      </c>
      <c r="S156" s="88">
        <f>Valores!$C$42</f>
        <v>759.13</v>
      </c>
      <c r="T156" s="80">
        <f>Valores!$C$23</f>
        <v>2221.56</v>
      </c>
      <c r="U156" s="80">
        <f t="shared" ca="1" si="21"/>
        <v>4443.12</v>
      </c>
      <c r="V156" s="80">
        <v>0</v>
      </c>
      <c r="W156" s="80">
        <v>0</v>
      </c>
      <c r="X156" s="115">
        <v>0</v>
      </c>
      <c r="Y156" s="80">
        <f ca="1">X156*Valores!$C$2</f>
        <v>0</v>
      </c>
      <c r="Z156" s="80">
        <v>0</v>
      </c>
      <c r="AA156" s="90">
        <f>Valores!$C$29</f>
        <v>131.68</v>
      </c>
      <c r="AB156" s="80">
        <f t="shared" ca="1" si="22"/>
        <v>0</v>
      </c>
      <c r="AC156" s="80">
        <f>Valores!$C$30</f>
        <v>131.68</v>
      </c>
      <c r="AD156" s="115">
        <v>0</v>
      </c>
      <c r="AE156" s="80">
        <f ca="1">INT(((AD156*Valores!$C$2)*100)+0.5)/100</f>
        <v>0</v>
      </c>
      <c r="AF156" s="80">
        <f>Valores!$C$51</f>
        <v>267.87</v>
      </c>
      <c r="AG156" s="80">
        <f>Valores!$C$52</f>
        <v>76.540000000000006</v>
      </c>
      <c r="AH156" s="80">
        <f ca="1">SUM(G156,I156,K156,M156,N156,O156,P156,Q156,R156,S156,U156,V156,W156,Y156,Z156,AA156,AB156,AC156,AE156,AF156,AG156)*Valores!$C$54</f>
        <v>0</v>
      </c>
      <c r="AI156" s="142">
        <f t="shared" ca="1" si="25"/>
        <v>27433.759999999998</v>
      </c>
      <c r="AJ156" s="85">
        <f>Valores!$C$35</f>
        <v>182.07</v>
      </c>
      <c r="AK156" s="82">
        <f>Valores!$C$8</f>
        <v>204.1</v>
      </c>
      <c r="AL156" s="90">
        <v>112.25</v>
      </c>
      <c r="AM156" s="82">
        <f ca="1">IF($G$4="SI",SUM(AK156+AL156),AK156)*Valores!$C$54</f>
        <v>0</v>
      </c>
      <c r="AN156" s="186">
        <f t="shared" ca="1" si="26"/>
        <v>498.41999999999996</v>
      </c>
      <c r="AO156" s="155">
        <f ca="1">AI156*-Valores!$C$56</f>
        <v>-3566.3887999999997</v>
      </c>
      <c r="AP156" s="155">
        <f ca="1">AI156*-Valores!$C$57</f>
        <v>-137.1688</v>
      </c>
      <c r="AQ156" s="81">
        <f ca="1">AI156*-Valores!$C$58</f>
        <v>-1234.5192</v>
      </c>
      <c r="AR156" s="81">
        <f ca="1">AI156*-Valores!$C$59</f>
        <v>-740.71152000000006</v>
      </c>
      <c r="AS156" s="81">
        <f ca="1">AI156*-Valores!$C$60</f>
        <v>-82.301279999999991</v>
      </c>
      <c r="AT156" s="54">
        <f t="shared" ca="1" si="23"/>
        <v>22994.103199999998</v>
      </c>
      <c r="AU156" s="54">
        <f t="shared" ca="1" si="24"/>
        <v>23405.609599999996</v>
      </c>
      <c r="AV156" s="81">
        <f ca="1">AI156*Valores!$C$61</f>
        <v>4389.4016000000001</v>
      </c>
      <c r="AW156" s="81">
        <f ca="1">AI156*Valores!$C$62</f>
        <v>1234.5192</v>
      </c>
      <c r="AX156" s="81">
        <f ca="1">AI156*Valores!$C$64</f>
        <v>274.33760000000001</v>
      </c>
      <c r="AY156" s="81">
        <f ca="1">AI156*Valores!$C$65</f>
        <v>960.1816</v>
      </c>
      <c r="AZ156" s="81">
        <f ca="1">AI156*Valores!$C$66</f>
        <v>164.60255999999998</v>
      </c>
      <c r="BA156" s="81">
        <f t="shared" ca="1" si="27"/>
        <v>1481.4230400000001</v>
      </c>
      <c r="BB156" s="55"/>
      <c r="BC156" s="55">
        <v>27</v>
      </c>
      <c r="BD156" s="52" t="s">
        <v>467</v>
      </c>
    </row>
    <row r="157" spans="1:56" s="9" customFormat="1" ht="11.25" customHeight="1" x14ac:dyDescent="0.15">
      <c r="A157" s="20">
        <v>156</v>
      </c>
      <c r="B157" s="20"/>
      <c r="C157" s="9" t="s">
        <v>290</v>
      </c>
      <c r="E157" s="10" t="s">
        <v>291</v>
      </c>
      <c r="F157" s="123">
        <v>1214</v>
      </c>
      <c r="G157" s="7">
        <f ca="1">INT((F157*Valores!$C$2*100)+0.5)/100</f>
        <v>6233.53</v>
      </c>
      <c r="H157" s="134">
        <v>0</v>
      </c>
      <c r="I157" s="77">
        <f ca="1">INT((H157*Valores!$C$2*100)+0.5)/100</f>
        <v>0</v>
      </c>
      <c r="J157" s="147">
        <v>0</v>
      </c>
      <c r="K157" s="77">
        <f ca="1">INT((J157*Valores!$C$2*100)+0.5)/100</f>
        <v>0</v>
      </c>
      <c r="L157" s="120">
        <v>0</v>
      </c>
      <c r="M157" s="77">
        <f ca="1">INT((L157*Valores!$C$2*100)+0.5)/100</f>
        <v>0</v>
      </c>
      <c r="N157" s="77">
        <f t="shared" ca="1" si="28"/>
        <v>0</v>
      </c>
      <c r="O157" s="77">
        <f t="shared" ca="1" si="29"/>
        <v>6992.66</v>
      </c>
      <c r="P157" s="61">
        <f>Valores!$C$20</f>
        <v>2991.57</v>
      </c>
      <c r="Q157" s="61">
        <f ca="1">Valores!$D$4</f>
        <v>2296.75</v>
      </c>
      <c r="R157" s="77">
        <f>Valores!$C$26</f>
        <v>2298.92</v>
      </c>
      <c r="S157" s="79">
        <f>Valores!$C$42</f>
        <v>759.13</v>
      </c>
      <c r="T157" s="77">
        <f>Valores!$C$23</f>
        <v>2221.56</v>
      </c>
      <c r="U157" s="77">
        <f t="shared" ca="1" si="21"/>
        <v>4443.12</v>
      </c>
      <c r="V157" s="77">
        <v>0</v>
      </c>
      <c r="W157" s="77">
        <v>0</v>
      </c>
      <c r="X157" s="116">
        <v>0</v>
      </c>
      <c r="Y157" s="77">
        <f ca="1">X157*Valores!$C$2</f>
        <v>0</v>
      </c>
      <c r="Z157" s="77">
        <v>0</v>
      </c>
      <c r="AA157" s="89">
        <f>Valores!$C$29</f>
        <v>131.68</v>
      </c>
      <c r="AB157" s="77">
        <f t="shared" ca="1" si="22"/>
        <v>0</v>
      </c>
      <c r="AC157" s="77">
        <f>Valores!$C$30</f>
        <v>131.68</v>
      </c>
      <c r="AD157" s="116">
        <v>0</v>
      </c>
      <c r="AE157" s="77">
        <f ca="1">INT(((AD157*Valores!$C$2)*100)+0.5)/100</f>
        <v>0</v>
      </c>
      <c r="AF157" s="77">
        <f>Valores!$C$51</f>
        <v>267.87</v>
      </c>
      <c r="AG157" s="77">
        <f>Valores!$C$52</f>
        <v>76.540000000000006</v>
      </c>
      <c r="AH157" s="77">
        <f ca="1">SUM(G157,I157,K157,M157,N157,O157,P157,Q157,R157,S157,U157,V157,W157,Y157,Z157,AA157,AB157,AC157,AE157,AF157,AG157)*Valores!$C$54</f>
        <v>0</v>
      </c>
      <c r="AI157" s="141">
        <f t="shared" ca="1" si="25"/>
        <v>26623.45</v>
      </c>
      <c r="AJ157" s="61">
        <f>Valores!$C$35</f>
        <v>182.07</v>
      </c>
      <c r="AK157" s="79">
        <f>Valores!$C$8</f>
        <v>204.1</v>
      </c>
      <c r="AL157" s="89">
        <v>0</v>
      </c>
      <c r="AM157" s="79">
        <f ca="1">IF($G$4="SI",SUM(AK157+AL157),AK157)*Valores!$C$54</f>
        <v>0</v>
      </c>
      <c r="AN157" s="12">
        <f t="shared" ca="1" si="26"/>
        <v>386.16999999999996</v>
      </c>
      <c r="AO157" s="13">
        <f ca="1">AI157*-Valores!$C$56</f>
        <v>-3461.0485000000003</v>
      </c>
      <c r="AP157" s="13">
        <f ca="1">AI157*-Valores!$C$57</f>
        <v>-133.11725000000001</v>
      </c>
      <c r="AQ157" s="78">
        <f ca="1">AI157*-Valores!$C$58</f>
        <v>-1198.0552499999999</v>
      </c>
      <c r="AR157" s="78">
        <f ca="1">AI157*-Valores!$C$59</f>
        <v>-718.83315000000016</v>
      </c>
      <c r="AS157" s="78">
        <f ca="1">AI157*-Valores!$C$60</f>
        <v>-79.870350000000002</v>
      </c>
      <c r="AT157" s="15">
        <f t="shared" ca="1" si="23"/>
        <v>22217.398999999998</v>
      </c>
      <c r="AU157" s="15">
        <f t="shared" ca="1" si="24"/>
        <v>22616.750749999999</v>
      </c>
      <c r="AV157" s="78">
        <f ca="1">AI157*Valores!$C$61</f>
        <v>4259.7520000000004</v>
      </c>
      <c r="AW157" s="78">
        <f ca="1">AI157*Valores!$C$62</f>
        <v>1198.0552499999999</v>
      </c>
      <c r="AX157" s="78">
        <f ca="1">AI157*Valores!$C$64</f>
        <v>266.23450000000003</v>
      </c>
      <c r="AY157" s="78">
        <f ca="1">AI157*Valores!$C$65</f>
        <v>931.82075000000009</v>
      </c>
      <c r="AZ157" s="78">
        <f ca="1">AI157*Valores!$C$66</f>
        <v>159.7407</v>
      </c>
      <c r="BA157" s="78">
        <f t="shared" ca="1" si="27"/>
        <v>1437.6663000000001</v>
      </c>
      <c r="BB157" s="20"/>
      <c r="BC157" s="20"/>
      <c r="BD157" s="9" t="s">
        <v>467</v>
      </c>
    </row>
    <row r="158" spans="1:56" s="9" customFormat="1" ht="11.25" customHeight="1" x14ac:dyDescent="0.15">
      <c r="A158" s="20">
        <v>157</v>
      </c>
      <c r="B158" s="20"/>
      <c r="C158" s="9" t="s">
        <v>292</v>
      </c>
      <c r="E158" s="10" t="s">
        <v>293</v>
      </c>
      <c r="F158" s="123">
        <f>1106+78</f>
        <v>1184</v>
      </c>
      <c r="G158" s="7">
        <f ca="1">INT((F158*Valores!$C$2*100)+0.5)/100</f>
        <v>6079.48</v>
      </c>
      <c r="H158" s="134">
        <v>0</v>
      </c>
      <c r="I158" s="77">
        <f ca="1">INT((H158*Valores!$C$2*100)+0.5)/100</f>
        <v>0</v>
      </c>
      <c r="J158" s="147">
        <v>0</v>
      </c>
      <c r="K158" s="77">
        <f ca="1">INT((J158*Valores!$C$2*100)+0.5)/100</f>
        <v>0</v>
      </c>
      <c r="L158" s="120">
        <v>0</v>
      </c>
      <c r="M158" s="77">
        <f ca="1">INT((L158*Valores!$C$2*100)+0.5)/100</f>
        <v>0</v>
      </c>
      <c r="N158" s="77">
        <f t="shared" ca="1" si="28"/>
        <v>0</v>
      </c>
      <c r="O158" s="77">
        <f t="shared" ca="1" si="29"/>
        <v>6838.61</v>
      </c>
      <c r="P158" s="61">
        <f>Valores!$C$20</f>
        <v>2991.57</v>
      </c>
      <c r="Q158" s="61">
        <f ca="1">Valores!$D$4</f>
        <v>2296.75</v>
      </c>
      <c r="R158" s="77">
        <v>0</v>
      </c>
      <c r="S158" s="79">
        <f>Valores!$C$42</f>
        <v>759.13</v>
      </c>
      <c r="T158" s="61">
        <f>Valores!$C$24</f>
        <v>2190.94</v>
      </c>
      <c r="U158" s="77">
        <f t="shared" ca="1" si="21"/>
        <v>4381.88</v>
      </c>
      <c r="V158" s="77">
        <v>0</v>
      </c>
      <c r="W158" s="77">
        <v>0</v>
      </c>
      <c r="X158" s="116">
        <v>0</v>
      </c>
      <c r="Y158" s="77">
        <f ca="1">X158*Valores!$C$2</f>
        <v>0</v>
      </c>
      <c r="Z158" s="77">
        <v>0</v>
      </c>
      <c r="AA158" s="89">
        <f>Valores!$C$29</f>
        <v>131.68</v>
      </c>
      <c r="AB158" s="77">
        <f t="shared" ca="1" si="22"/>
        <v>0</v>
      </c>
      <c r="AC158" s="77">
        <f>Valores!$C$30</f>
        <v>131.68</v>
      </c>
      <c r="AD158" s="116">
        <v>0</v>
      </c>
      <c r="AE158" s="77">
        <f ca="1">INT(((AD158*Valores!$C$2)*100)+0.5)/100</f>
        <v>0</v>
      </c>
      <c r="AF158" s="77">
        <f>Valores!$C$51</f>
        <v>267.87</v>
      </c>
      <c r="AG158" s="77">
        <f>Valores!$C$52</f>
        <v>76.540000000000006</v>
      </c>
      <c r="AH158" s="77">
        <f ca="1">SUM(G158,I158,K158,M158,N158,O158,P158,Q158,R158,S158,U158,V158,W158,Y158,Z158,AA158,AB158,AC158,AE158,AF158,AG158)*Valores!$C$54</f>
        <v>0</v>
      </c>
      <c r="AI158" s="141">
        <f t="shared" ca="1" si="25"/>
        <v>23955.190000000002</v>
      </c>
      <c r="AJ158" s="61">
        <f>Valores!$C$35</f>
        <v>182.07</v>
      </c>
      <c r="AK158" s="79">
        <f>Valores!$C$8</f>
        <v>204.1</v>
      </c>
      <c r="AL158" s="89">
        <v>0</v>
      </c>
      <c r="AM158" s="79">
        <f ca="1">IF($G$4="SI",SUM(AK158+AL158),AK158)*Valores!$C$54</f>
        <v>0</v>
      </c>
      <c r="AN158" s="12">
        <f t="shared" ca="1" si="26"/>
        <v>386.16999999999996</v>
      </c>
      <c r="AO158" s="13">
        <f ca="1">AI158*-Valores!$C$56</f>
        <v>-3114.1747000000005</v>
      </c>
      <c r="AP158" s="13">
        <f ca="1">AI158*-Valores!$C$57</f>
        <v>-119.77595000000001</v>
      </c>
      <c r="AQ158" s="78">
        <f ca="1">AI158*-Valores!$C$58</f>
        <v>-1077.9835500000002</v>
      </c>
      <c r="AR158" s="78">
        <f ca="1">AI158*-Valores!$C$59</f>
        <v>-646.79013000000009</v>
      </c>
      <c r="AS158" s="78">
        <f ca="1">AI158*-Valores!$C$60</f>
        <v>-71.865570000000005</v>
      </c>
      <c r="AT158" s="15">
        <f t="shared" ca="1" si="23"/>
        <v>20029.425800000001</v>
      </c>
      <c r="AU158" s="15">
        <f t="shared" ca="1" si="24"/>
        <v>20388.753649999999</v>
      </c>
      <c r="AV158" s="78">
        <f ca="1">AI158*Valores!$C$61</f>
        <v>3832.8304000000003</v>
      </c>
      <c r="AW158" s="78">
        <f ca="1">AI158*Valores!$C$62</f>
        <v>1077.9835500000002</v>
      </c>
      <c r="AX158" s="78">
        <f ca="1">AI158*Valores!$C$64</f>
        <v>239.55190000000002</v>
      </c>
      <c r="AY158" s="78">
        <f ca="1">AI158*Valores!$C$65</f>
        <v>838.43165000000022</v>
      </c>
      <c r="AZ158" s="78">
        <f ca="1">AI158*Valores!$C$66</f>
        <v>143.73114000000001</v>
      </c>
      <c r="BA158" s="78">
        <f t="shared" ca="1" si="27"/>
        <v>1293.5802600000002</v>
      </c>
      <c r="BB158" s="20"/>
      <c r="BC158" s="20"/>
      <c r="BD158" s="9" t="s">
        <v>466</v>
      </c>
    </row>
    <row r="159" spans="1:56" s="9" customFormat="1" ht="11.25" customHeight="1" x14ac:dyDescent="0.15">
      <c r="A159" s="20">
        <v>158</v>
      </c>
      <c r="B159" s="20"/>
      <c r="C159" s="9" t="s">
        <v>294</v>
      </c>
      <c r="E159" s="10" t="s">
        <v>295</v>
      </c>
      <c r="F159" s="123">
        <v>971</v>
      </c>
      <c r="G159" s="7">
        <f ca="1">INT((F159*Valores!$C$2*100)+0.5)/100</f>
        <v>4985.79</v>
      </c>
      <c r="H159" s="134">
        <v>0</v>
      </c>
      <c r="I159" s="77">
        <f ca="1">INT((H159*Valores!$C$2*100)+0.5)/100</f>
        <v>0</v>
      </c>
      <c r="J159" s="147">
        <v>0</v>
      </c>
      <c r="K159" s="77">
        <f ca="1">INT((J159*Valores!$C$2*100)+0.5)/100</f>
        <v>0</v>
      </c>
      <c r="L159" s="120">
        <v>0</v>
      </c>
      <c r="M159" s="77">
        <f ca="1">INT((L159*Valores!$C$2*100)+0.5)/100</f>
        <v>0</v>
      </c>
      <c r="N159" s="77">
        <f t="shared" ca="1" si="28"/>
        <v>0</v>
      </c>
      <c r="O159" s="77">
        <f t="shared" ca="1" si="29"/>
        <v>5650.03</v>
      </c>
      <c r="P159" s="61">
        <f>Valores!$C$20</f>
        <v>2991.57</v>
      </c>
      <c r="Q159" s="61">
        <f ca="1">Valores!$D$4</f>
        <v>2296.75</v>
      </c>
      <c r="R159" s="61">
        <f>Valores!$C$27</f>
        <v>2099.9299999999998</v>
      </c>
      <c r="S159" s="87">
        <f>Valores!$C$41</f>
        <v>664.24</v>
      </c>
      <c r="T159" s="77">
        <f>Valores!$C$23</f>
        <v>2221.56</v>
      </c>
      <c r="U159" s="77">
        <f t="shared" ca="1" si="21"/>
        <v>4443.12</v>
      </c>
      <c r="V159" s="77">
        <v>0</v>
      </c>
      <c r="W159" s="77">
        <v>0</v>
      </c>
      <c r="X159" s="116">
        <v>0</v>
      </c>
      <c r="Y159" s="77">
        <f ca="1">X159*Valores!$C$2</f>
        <v>0</v>
      </c>
      <c r="Z159" s="77">
        <v>0</v>
      </c>
      <c r="AA159" s="89">
        <f>Valores!$C$29</f>
        <v>131.68</v>
      </c>
      <c r="AB159" s="77">
        <f t="shared" ca="1" si="22"/>
        <v>0</v>
      </c>
      <c r="AC159" s="77">
        <f>Valores!$C$30</f>
        <v>131.68</v>
      </c>
      <c r="AD159" s="116">
        <v>0</v>
      </c>
      <c r="AE159" s="77">
        <f ca="1">INT(((AD159*Valores!$C$2)*100)+0.5)/100</f>
        <v>0</v>
      </c>
      <c r="AF159" s="77">
        <f>Valores!$C$51</f>
        <v>267.87</v>
      </c>
      <c r="AG159" s="77">
        <f>Valores!$C$52</f>
        <v>76.540000000000006</v>
      </c>
      <c r="AH159" s="77">
        <f ca="1">SUM(G159,I159,K159,M159,N159,O159,P159,Q159,R159,S159,U159,V159,W159,Y159,Z159,AA159,AB159,AC159,AE159,AF159,AG159)*Valores!$C$54</f>
        <v>0</v>
      </c>
      <c r="AI159" s="141">
        <f t="shared" ca="1" si="25"/>
        <v>23739.200000000001</v>
      </c>
      <c r="AJ159" s="61">
        <f>Valores!$C$35</f>
        <v>182.07</v>
      </c>
      <c r="AK159" s="79">
        <f>Valores!$C$7</f>
        <v>178.59</v>
      </c>
      <c r="AL159" s="89">
        <v>102.26</v>
      </c>
      <c r="AM159" s="79">
        <f ca="1">IF($G$4="SI",SUM(AK159+AL159),AK159)*Valores!$C$54</f>
        <v>0</v>
      </c>
      <c r="AN159" s="12">
        <f t="shared" ca="1" si="26"/>
        <v>462.91999999999996</v>
      </c>
      <c r="AO159" s="13">
        <f ca="1">AI159*-Valores!$C$56</f>
        <v>-3086.096</v>
      </c>
      <c r="AP159" s="13">
        <f ca="1">AI159*-Valores!$C$57</f>
        <v>-118.69600000000001</v>
      </c>
      <c r="AQ159" s="78">
        <f ca="1">AI159*-Valores!$C$58</f>
        <v>-1068.2639999999999</v>
      </c>
      <c r="AR159" s="78">
        <f ca="1">AI159*-Valores!$C$59</f>
        <v>-640.9584000000001</v>
      </c>
      <c r="AS159" s="78">
        <f ca="1">AI159*-Valores!$C$60</f>
        <v>-71.217600000000004</v>
      </c>
      <c r="AT159" s="15">
        <f t="shared" ca="1" si="23"/>
        <v>19929.063999999998</v>
      </c>
      <c r="AU159" s="15">
        <f t="shared" ca="1" si="24"/>
        <v>20285.151999999998</v>
      </c>
      <c r="AV159" s="78">
        <f ca="1">AI159*Valores!$C$61</f>
        <v>3798.2720000000004</v>
      </c>
      <c r="AW159" s="78">
        <f ca="1">AI159*Valores!$C$62</f>
        <v>1068.2639999999999</v>
      </c>
      <c r="AX159" s="78">
        <f ca="1">AI159*Valores!$C$64</f>
        <v>237.39200000000002</v>
      </c>
      <c r="AY159" s="78">
        <f ca="1">AI159*Valores!$C$65</f>
        <v>830.87200000000007</v>
      </c>
      <c r="AZ159" s="78">
        <f ca="1">AI159*Valores!$C$66</f>
        <v>142.43520000000001</v>
      </c>
      <c r="BA159" s="78">
        <f t="shared" ca="1" si="27"/>
        <v>1281.9168</v>
      </c>
      <c r="BB159" s="20">
        <v>12</v>
      </c>
      <c r="BC159" s="55">
        <v>12</v>
      </c>
      <c r="BD159" s="9" t="s">
        <v>467</v>
      </c>
    </row>
    <row r="160" spans="1:56" s="9" customFormat="1" ht="11.25" customHeight="1" x14ac:dyDescent="0.15">
      <c r="A160" s="20">
        <v>159</v>
      </c>
      <c r="B160" s="20"/>
      <c r="C160" s="9" t="s">
        <v>294</v>
      </c>
      <c r="E160" s="10" t="s">
        <v>386</v>
      </c>
      <c r="F160" s="123">
        <v>971</v>
      </c>
      <c r="G160" s="7">
        <f ca="1">INT((F160*Valores!$C$2*100)+0.5)/100</f>
        <v>4985.79</v>
      </c>
      <c r="H160" s="134">
        <v>0</v>
      </c>
      <c r="I160" s="77">
        <f ca="1">INT((H160*Valores!$C$2*100)+0.5)/100</f>
        <v>0</v>
      </c>
      <c r="J160" s="147">
        <v>0</v>
      </c>
      <c r="K160" s="77">
        <f ca="1">INT((J160*Valores!$C$2*100)+0.5)/100</f>
        <v>0</v>
      </c>
      <c r="L160" s="120">
        <v>0</v>
      </c>
      <c r="M160" s="77">
        <f ca="1">INT((L160*Valores!$C$2*100)+0.5)/100</f>
        <v>0</v>
      </c>
      <c r="N160" s="77">
        <f t="shared" ca="1" si="28"/>
        <v>0</v>
      </c>
      <c r="O160" s="77">
        <f t="shared" ca="1" si="29"/>
        <v>8178.3600000000006</v>
      </c>
      <c r="P160" s="61">
        <f>Valores!$C$20</f>
        <v>2991.57</v>
      </c>
      <c r="Q160" s="61">
        <f ca="1">Valores!$D$4</f>
        <v>2296.75</v>
      </c>
      <c r="R160" s="61">
        <f>Valores!$C$27</f>
        <v>2099.9299999999998</v>
      </c>
      <c r="S160" s="87">
        <f>Valores!$C$43</f>
        <v>1138.69</v>
      </c>
      <c r="T160" s="77">
        <f>Valores!$C$23</f>
        <v>2221.56</v>
      </c>
      <c r="U160" s="77">
        <f t="shared" ca="1" si="21"/>
        <v>4443.12</v>
      </c>
      <c r="V160" s="77">
        <v>0</v>
      </c>
      <c r="W160" s="77">
        <v>0</v>
      </c>
      <c r="X160" s="113">
        <v>400</v>
      </c>
      <c r="Y160" s="77">
        <f ca="1">X160*Valores!$C$2</f>
        <v>2053.8799999999997</v>
      </c>
      <c r="Z160" s="61">
        <f ca="1">SUM(K160,I160,G160,S160)*Valores!$C$3</f>
        <v>918.67199999999991</v>
      </c>
      <c r="AA160" s="89">
        <f>Valores!$C$29</f>
        <v>131.68</v>
      </c>
      <c r="AB160" s="77">
        <f t="shared" ca="1" si="22"/>
        <v>0</v>
      </c>
      <c r="AC160" s="77">
        <f>Valores!$C$30</f>
        <v>131.68</v>
      </c>
      <c r="AD160" s="116">
        <v>94</v>
      </c>
      <c r="AE160" s="77">
        <f ca="1">INT(((AD160*Valores!$C$2)*100)+0.5)/100</f>
        <v>482.66</v>
      </c>
      <c r="AF160" s="77">
        <f>Valores!$C$51</f>
        <v>267.87</v>
      </c>
      <c r="AG160" s="77">
        <f>Valores!$C$52</f>
        <v>76.540000000000006</v>
      </c>
      <c r="AH160" s="77">
        <f ca="1">SUM(G160,I160,K160,M160,N160,O160,P160,Q160,R160,S160,U160,V160,W160,Y160,Z160,AA160,AB160,AC160,AE160,AF160,AG160)*Valores!$C$54</f>
        <v>0</v>
      </c>
      <c r="AI160" s="141">
        <f t="shared" ca="1" si="25"/>
        <v>30197.191999999999</v>
      </c>
      <c r="AJ160" s="61">
        <f>Valores!$C$35</f>
        <v>182.07</v>
      </c>
      <c r="AK160" s="79">
        <f>Valores!$C$9</f>
        <v>306.14</v>
      </c>
      <c r="AL160" s="89">
        <v>102.26</v>
      </c>
      <c r="AM160" s="79">
        <f ca="1">IF($G$4="SI",SUM(AK160+AL160),AK160)*Valores!$C$54</f>
        <v>0</v>
      </c>
      <c r="AN160" s="12">
        <f t="shared" ca="1" si="26"/>
        <v>590.47</v>
      </c>
      <c r="AO160" s="13">
        <f ca="1">AI160*-Valores!$C$56</f>
        <v>-3925.6349599999999</v>
      </c>
      <c r="AP160" s="13">
        <f ca="1">AI160*-Valores!$C$57</f>
        <v>-150.98596000000001</v>
      </c>
      <c r="AQ160" s="78">
        <f ca="1">AI160*-Valores!$C$58</f>
        <v>-1358.8736399999998</v>
      </c>
      <c r="AR160" s="78">
        <f ca="1">AI160*-Valores!$C$59</f>
        <v>-815.32418400000006</v>
      </c>
      <c r="AS160" s="78">
        <f ca="1">AI160*-Valores!$C$60</f>
        <v>-90.591576000000003</v>
      </c>
      <c r="AT160" s="15">
        <f t="shared" ca="1" si="23"/>
        <v>25352.167440000001</v>
      </c>
      <c r="AU160" s="15">
        <f t="shared" ca="1" si="24"/>
        <v>25805.125319999999</v>
      </c>
      <c r="AV160" s="78">
        <f ca="1">AI160*Valores!$C$61</f>
        <v>4831.5507200000002</v>
      </c>
      <c r="AW160" s="78">
        <f ca="1">AI160*Valores!$C$62</f>
        <v>1358.8736399999998</v>
      </c>
      <c r="AX160" s="78">
        <f ca="1">AI160*Valores!$C$64</f>
        <v>301.97192000000001</v>
      </c>
      <c r="AY160" s="78">
        <f ca="1">AI160*Valores!$C$65</f>
        <v>1056.9017200000001</v>
      </c>
      <c r="AZ160" s="78">
        <f ca="1">AI160*Valores!$C$66</f>
        <v>181.18315200000001</v>
      </c>
      <c r="BA160" s="78">
        <f t="shared" ca="1" si="27"/>
        <v>1630.6483680000001</v>
      </c>
      <c r="BB160" s="20">
        <v>12</v>
      </c>
      <c r="BC160" s="20">
        <v>18</v>
      </c>
      <c r="BD160" s="9" t="s">
        <v>467</v>
      </c>
    </row>
    <row r="161" spans="1:56" s="9" customFormat="1" ht="11.25" customHeight="1" x14ac:dyDescent="0.15">
      <c r="A161" s="55">
        <v>160</v>
      </c>
      <c r="B161" s="55" t="s">
        <v>462</v>
      </c>
      <c r="C161" s="52" t="s">
        <v>294</v>
      </c>
      <c r="D161" s="52"/>
      <c r="E161" s="53" t="s">
        <v>463</v>
      </c>
      <c r="F161" s="124">
        <v>971</v>
      </c>
      <c r="G161" s="129">
        <f ca="1">INT((F161*Valores!$C$2*100)+0.5)/100</f>
        <v>4985.79</v>
      </c>
      <c r="H161" s="133">
        <v>0</v>
      </c>
      <c r="I161" s="80">
        <f ca="1">INT((H161*Valores!$C$2*100)+0.5)/100</f>
        <v>0</v>
      </c>
      <c r="J161" s="148">
        <v>0</v>
      </c>
      <c r="K161" s="80">
        <f ca="1">INT((J161*Valores!$C$2*100)+0.5)/100</f>
        <v>0</v>
      </c>
      <c r="L161" s="121">
        <v>0</v>
      </c>
      <c r="M161" s="80">
        <f ca="1">INT((L161*Valores!$C$2*100)+0.5)/100</f>
        <v>0</v>
      </c>
      <c r="N161" s="80">
        <f t="shared" ca="1" si="28"/>
        <v>0</v>
      </c>
      <c r="O161" s="80">
        <f t="shared" ca="1" si="29"/>
        <v>7260.3453</v>
      </c>
      <c r="P161" s="85">
        <f>Valores!$C$20</f>
        <v>2991.57</v>
      </c>
      <c r="Q161" s="85">
        <f ca="1">Valores!$D$4</f>
        <v>2296.75</v>
      </c>
      <c r="R161" s="85">
        <f>Valores!$C$27</f>
        <v>2099.9299999999998</v>
      </c>
      <c r="S161" s="88">
        <v>225.81</v>
      </c>
      <c r="T161" s="80">
        <f>Valores!$C$23</f>
        <v>2221.56</v>
      </c>
      <c r="U161" s="80">
        <f t="shared" ca="1" si="21"/>
        <v>4443.12</v>
      </c>
      <c r="V161" s="80">
        <v>0</v>
      </c>
      <c r="W161" s="80">
        <v>0</v>
      </c>
      <c r="X161" s="114">
        <v>399</v>
      </c>
      <c r="Y161" s="80">
        <f ca="1">X161*Valores!$C$2</f>
        <v>2048.7453</v>
      </c>
      <c r="Z161" s="85">
        <f ca="1">SUM(K161,I161,G161,S161)*Valores!$C$3</f>
        <v>781.74</v>
      </c>
      <c r="AA161" s="90">
        <f>Valores!$C$29</f>
        <v>131.68</v>
      </c>
      <c r="AB161" s="80">
        <f t="shared" ca="1" si="22"/>
        <v>0</v>
      </c>
      <c r="AC161" s="80">
        <f>Valores!$C$30</f>
        <v>131.68</v>
      </c>
      <c r="AD161" s="115">
        <v>94</v>
      </c>
      <c r="AE161" s="80">
        <f ca="1">INT(((AD161*Valores!$C$2)*100)+0.5)/100</f>
        <v>482.66</v>
      </c>
      <c r="AF161" s="80">
        <f>Valores!$C$51</f>
        <v>267.87</v>
      </c>
      <c r="AG161" s="80">
        <f>Valores!$C$52</f>
        <v>76.540000000000006</v>
      </c>
      <c r="AH161" s="80">
        <f ca="1">SUM(G161,I161,K161,M161,N161,O161,P161,Q161,R161,S161,U161,V161,W161,Y161,Z161,AA161,AB161,AC161,AE161,AF161,AG161)*Valores!$C$54</f>
        <v>0</v>
      </c>
      <c r="AI161" s="142">
        <f t="shared" ca="1" si="25"/>
        <v>28224.230600000003</v>
      </c>
      <c r="AJ161" s="85">
        <f>Valores!$C$35</f>
        <v>182.07</v>
      </c>
      <c r="AK161" s="82">
        <v>0</v>
      </c>
      <c r="AL161" s="90">
        <v>0</v>
      </c>
      <c r="AM161" s="82">
        <f ca="1">IF($G$4="SI",SUM(AK161+AL161),AK161)*Valores!$C$54</f>
        <v>0</v>
      </c>
      <c r="AN161" s="186">
        <f t="shared" ca="1" si="26"/>
        <v>182.07</v>
      </c>
      <c r="AO161" s="155">
        <f ca="1">AI161*-Valores!$C$56</f>
        <v>-3669.1499780000004</v>
      </c>
      <c r="AP161" s="155">
        <f ca="1">AI161*-Valores!$C$57</f>
        <v>-141.12115300000002</v>
      </c>
      <c r="AQ161" s="81">
        <f ca="1">AI161*-Valores!$C$58</f>
        <v>-1270.090377</v>
      </c>
      <c r="AR161" s="81">
        <f ca="1">AI161*-Valores!$C$59</f>
        <v>-762.05422620000013</v>
      </c>
      <c r="AS161" s="81">
        <f ca="1">AI161*-Valores!$C$60</f>
        <v>-84.67269180000001</v>
      </c>
      <c r="AT161" s="54">
        <f t="shared" ca="1" si="23"/>
        <v>23325.939092000001</v>
      </c>
      <c r="AU161" s="54">
        <f t="shared" ca="1" si="24"/>
        <v>23749.302551000001</v>
      </c>
      <c r="AV161" s="81">
        <f ca="1">AI161*Valores!$C$61</f>
        <v>4515.8768960000007</v>
      </c>
      <c r="AW161" s="81">
        <f ca="1">AI161*Valores!$C$62</f>
        <v>1270.090377</v>
      </c>
      <c r="AX161" s="81">
        <f ca="1">AI161*Valores!$C$64</f>
        <v>282.24230600000004</v>
      </c>
      <c r="AY161" s="81">
        <f ca="1">AI161*Valores!$C$65</f>
        <v>987.84807100000023</v>
      </c>
      <c r="AZ161" s="81">
        <f ca="1">AI161*Valores!$C$66</f>
        <v>169.34538360000002</v>
      </c>
      <c r="BA161" s="81">
        <f t="shared" ca="1" si="27"/>
        <v>1524.1084524000003</v>
      </c>
      <c r="BB161" s="55">
        <v>12</v>
      </c>
      <c r="BC161" s="55">
        <v>18</v>
      </c>
      <c r="BD161" s="52" t="s">
        <v>466</v>
      </c>
    </row>
    <row r="162" spans="1:56" s="9" customFormat="1" ht="11.25" customHeight="1" x14ac:dyDescent="0.15">
      <c r="A162" s="20">
        <v>161</v>
      </c>
      <c r="B162" s="20"/>
      <c r="C162" s="9" t="s">
        <v>296</v>
      </c>
      <c r="E162" s="10" t="s">
        <v>297</v>
      </c>
      <c r="F162" s="123">
        <v>810</v>
      </c>
      <c r="G162" s="7">
        <f ca="1">INT((F162*Valores!$C$2*100)+0.5)/100</f>
        <v>4159.1099999999997</v>
      </c>
      <c r="H162" s="134">
        <v>0</v>
      </c>
      <c r="I162" s="77">
        <f ca="1">INT((H162*Valores!$C$2*100)+0.5)/100</f>
        <v>0</v>
      </c>
      <c r="J162" s="147">
        <v>0</v>
      </c>
      <c r="K162" s="77">
        <f ca="1">INT((J162*Valores!$C$2*100)+0.5)/100</f>
        <v>0</v>
      </c>
      <c r="L162" s="120">
        <v>0</v>
      </c>
      <c r="M162" s="77">
        <f ca="1">INT((L162*Valores!$C$2*100)+0.5)/100</f>
        <v>0</v>
      </c>
      <c r="N162" s="77">
        <f t="shared" ca="1" si="28"/>
        <v>0</v>
      </c>
      <c r="O162" s="77">
        <f t="shared" ca="1" si="29"/>
        <v>4823.3499999999995</v>
      </c>
      <c r="P162" s="61">
        <f>Valores!$C$20</f>
        <v>2991.57</v>
      </c>
      <c r="Q162" s="61">
        <f ca="1">Valores!$D$4</f>
        <v>2296.75</v>
      </c>
      <c r="R162" s="61">
        <f>Valores!$C$27</f>
        <v>2099.9299999999998</v>
      </c>
      <c r="S162" s="87">
        <f>Valores!$C$41</f>
        <v>664.24</v>
      </c>
      <c r="T162" s="61">
        <f>Valores!$C$24</f>
        <v>2190.94</v>
      </c>
      <c r="U162" s="77">
        <f t="shared" ca="1" si="21"/>
        <v>4381.88</v>
      </c>
      <c r="V162" s="77">
        <v>0</v>
      </c>
      <c r="W162" s="77">
        <v>0</v>
      </c>
      <c r="X162" s="116">
        <v>0</v>
      </c>
      <c r="Y162" s="77">
        <f ca="1">X162*Valores!$C$2</f>
        <v>0</v>
      </c>
      <c r="Z162" s="77">
        <v>0</v>
      </c>
      <c r="AA162" s="89">
        <f>Valores!$C$29</f>
        <v>131.68</v>
      </c>
      <c r="AB162" s="77">
        <f t="shared" ca="1" si="22"/>
        <v>0</v>
      </c>
      <c r="AC162" s="77">
        <f>Valores!$C$30</f>
        <v>131.68</v>
      </c>
      <c r="AD162" s="116">
        <v>0</v>
      </c>
      <c r="AE162" s="77">
        <f ca="1">INT(((AD162*Valores!$C$2)*100)+0.5)/100</f>
        <v>0</v>
      </c>
      <c r="AF162" s="77">
        <f>Valores!$C$51</f>
        <v>267.87</v>
      </c>
      <c r="AG162" s="77">
        <f>Valores!$C$52</f>
        <v>76.540000000000006</v>
      </c>
      <c r="AH162" s="77">
        <f ca="1">SUM(G162,I162,K162,M162,N162,O162,P162,Q162,R162,S162,U162,V162,W162,Y162,Z162,AA162,AB162,AC162,AE162,AF162,AG162)*Valores!$C$54</f>
        <v>0</v>
      </c>
      <c r="AI162" s="141">
        <f t="shared" ca="1" si="25"/>
        <v>22024.600000000002</v>
      </c>
      <c r="AJ162" s="61">
        <f>Valores!$C$35</f>
        <v>182.07</v>
      </c>
      <c r="AK162" s="79">
        <f>Valores!$C$7</f>
        <v>178.59</v>
      </c>
      <c r="AL162" s="89">
        <v>89.8</v>
      </c>
      <c r="AM162" s="79">
        <f ca="1">IF($G$4="SI",SUM(AK162+AL162),AK162)*Valores!$C$54</f>
        <v>0</v>
      </c>
      <c r="AN162" s="12">
        <f t="shared" ca="1" si="26"/>
        <v>450.46</v>
      </c>
      <c r="AO162" s="13">
        <f ca="1">AI162*-Valores!$C$56</f>
        <v>-2863.1980000000003</v>
      </c>
      <c r="AP162" s="13">
        <f ca="1">AI162*-Valores!$C$57</f>
        <v>-110.12300000000002</v>
      </c>
      <c r="AQ162" s="78">
        <f ca="1">AI162*-Valores!$C$58</f>
        <v>-991.10700000000008</v>
      </c>
      <c r="AR162" s="78">
        <f ca="1">AI162*-Valores!$C$59</f>
        <v>-594.66420000000016</v>
      </c>
      <c r="AS162" s="78">
        <f ca="1">AI162*-Valores!$C$60</f>
        <v>-66.073800000000006</v>
      </c>
      <c r="AT162" s="15">
        <f t="shared" ca="1" si="23"/>
        <v>18510.632000000001</v>
      </c>
      <c r="AU162" s="15">
        <f t="shared" ca="1" si="24"/>
        <v>18841.001000000004</v>
      </c>
      <c r="AV162" s="78">
        <f ca="1">AI162*Valores!$C$61</f>
        <v>3523.9360000000006</v>
      </c>
      <c r="AW162" s="78">
        <f ca="1">AI162*Valores!$C$62</f>
        <v>991.10700000000008</v>
      </c>
      <c r="AX162" s="78">
        <f ca="1">AI162*Valores!$C$64</f>
        <v>220.24600000000004</v>
      </c>
      <c r="AY162" s="78">
        <f ca="1">AI162*Valores!$C$65</f>
        <v>770.8610000000001</v>
      </c>
      <c r="AZ162" s="78">
        <f ca="1">AI162*Valores!$C$66</f>
        <v>132.14760000000001</v>
      </c>
      <c r="BA162" s="78">
        <f t="shared" ca="1" si="27"/>
        <v>1189.3284000000003</v>
      </c>
      <c r="BB162" s="20"/>
      <c r="BC162" s="20"/>
      <c r="BD162" s="9" t="s">
        <v>467</v>
      </c>
    </row>
    <row r="163" spans="1:56" s="9" customFormat="1" ht="11.25" customHeight="1" x14ac:dyDescent="0.15">
      <c r="A163" s="20">
        <v>162</v>
      </c>
      <c r="B163" s="20"/>
      <c r="C163" s="9" t="s">
        <v>298</v>
      </c>
      <c r="E163" s="10" t="s">
        <v>299</v>
      </c>
      <c r="F163" s="123">
        <v>1065</v>
      </c>
      <c r="G163" s="7">
        <f ca="1">INT((F163*Valores!$C$2*100)+0.5)/100</f>
        <v>5468.46</v>
      </c>
      <c r="H163" s="134">
        <v>0</v>
      </c>
      <c r="I163" s="77">
        <f ca="1">INT((H163*Valores!$C$2*100)+0.5)/100</f>
        <v>0</v>
      </c>
      <c r="J163" s="147">
        <v>0</v>
      </c>
      <c r="K163" s="77">
        <f ca="1">INT((J163*Valores!$C$2*100)+0.5)/100</f>
        <v>0</v>
      </c>
      <c r="L163" s="120">
        <v>0</v>
      </c>
      <c r="M163" s="77">
        <f ca="1">INT((L163*Valores!$C$2*100)+0.5)/100</f>
        <v>0</v>
      </c>
      <c r="N163" s="77">
        <f t="shared" ca="1" si="28"/>
        <v>0</v>
      </c>
      <c r="O163" s="77">
        <f t="shared" ca="1" si="29"/>
        <v>6132.7</v>
      </c>
      <c r="P163" s="61">
        <f>Valores!$C$20</f>
        <v>2991.57</v>
      </c>
      <c r="Q163" s="61">
        <f ca="1">Valores!$D$4</f>
        <v>2296.75</v>
      </c>
      <c r="R163" s="79">
        <f>Valores!$C$27</f>
        <v>2099.9299999999998</v>
      </c>
      <c r="S163" s="79">
        <f>Valores!$C$41</f>
        <v>664.24</v>
      </c>
      <c r="T163" s="61">
        <f>Valores!$C$23</f>
        <v>2221.56</v>
      </c>
      <c r="U163" s="77">
        <f t="shared" ca="1" si="21"/>
        <v>4443.12</v>
      </c>
      <c r="V163" s="77">
        <v>0</v>
      </c>
      <c r="W163" s="77">
        <v>0</v>
      </c>
      <c r="X163" s="116">
        <v>0</v>
      </c>
      <c r="Y163" s="77">
        <f ca="1">X163*Valores!$C$2</f>
        <v>0</v>
      </c>
      <c r="Z163" s="77">
        <v>0</v>
      </c>
      <c r="AA163" s="89">
        <f>Valores!$C$29</f>
        <v>131.68</v>
      </c>
      <c r="AB163" s="77">
        <f t="shared" ca="1" si="22"/>
        <v>0</v>
      </c>
      <c r="AC163" s="77">
        <f>Valores!$C$30</f>
        <v>131.68</v>
      </c>
      <c r="AD163" s="116">
        <v>0</v>
      </c>
      <c r="AE163" s="77">
        <f ca="1">INT(((AD163*Valores!$C$2)*100)+0.5)/100</f>
        <v>0</v>
      </c>
      <c r="AF163" s="77">
        <f>Valores!$C$51</f>
        <v>267.87</v>
      </c>
      <c r="AG163" s="77">
        <f>Valores!$C$52</f>
        <v>76.540000000000006</v>
      </c>
      <c r="AH163" s="77">
        <f ca="1">SUM(G163,I163,K163,M163,N163,O163,P163,Q163,R163,S163,U163,V163,W163,Y163,Z163,AA163,AB163,AC163,AE163,AF163,AG163)*Valores!$C$54</f>
        <v>0</v>
      </c>
      <c r="AI163" s="141">
        <f t="shared" ca="1" si="25"/>
        <v>24704.54</v>
      </c>
      <c r="AJ163" s="61">
        <f>Valores!$C$35</f>
        <v>182.07</v>
      </c>
      <c r="AK163" s="79">
        <f>Valores!$C$7</f>
        <v>178.59</v>
      </c>
      <c r="AL163" s="89">
        <v>112.25</v>
      </c>
      <c r="AM163" s="79">
        <f ca="1">IF($G$4="SI",SUM(AK163+AL163),AK163)*Valores!$C$54</f>
        <v>0</v>
      </c>
      <c r="AN163" s="12">
        <f t="shared" ca="1" si="26"/>
        <v>472.90999999999997</v>
      </c>
      <c r="AO163" s="13">
        <f ca="1">AI163*-Valores!$C$56</f>
        <v>-3211.5902000000001</v>
      </c>
      <c r="AP163" s="13">
        <f ca="1">AI163*-Valores!$C$57</f>
        <v>-123.5227</v>
      </c>
      <c r="AQ163" s="78">
        <f ca="1">AI163*-Valores!$C$58</f>
        <v>-1111.7043000000001</v>
      </c>
      <c r="AR163" s="78">
        <f ca="1">AI163*-Valores!$C$59</f>
        <v>-667.02258000000006</v>
      </c>
      <c r="AS163" s="78">
        <f ca="1">AI163*-Valores!$C$60</f>
        <v>-74.113619999999997</v>
      </c>
      <c r="AT163" s="15">
        <f t="shared" ca="1" si="23"/>
        <v>20730.632799999999</v>
      </c>
      <c r="AU163" s="15">
        <f t="shared" ca="1" si="24"/>
        <v>21101.2009</v>
      </c>
      <c r="AV163" s="78">
        <f ca="1">AI163*Valores!$C$61</f>
        <v>3952.7264</v>
      </c>
      <c r="AW163" s="78">
        <f ca="1">AI163*Valores!$C$62</f>
        <v>1111.7043000000001</v>
      </c>
      <c r="AX163" s="78">
        <f ca="1">AI163*Valores!$C$64</f>
        <v>247.0454</v>
      </c>
      <c r="AY163" s="78">
        <f ca="1">AI163*Valores!$C$65</f>
        <v>864.65890000000013</v>
      </c>
      <c r="AZ163" s="78">
        <f ca="1">AI163*Valores!$C$66</f>
        <v>148.22723999999999</v>
      </c>
      <c r="BA163" s="78">
        <f t="shared" ca="1" si="27"/>
        <v>1334.0451600000001</v>
      </c>
      <c r="BB163" s="20"/>
      <c r="BC163" s="20">
        <v>27</v>
      </c>
      <c r="BD163" s="9" t="s">
        <v>467</v>
      </c>
    </row>
    <row r="164" spans="1:56" s="9" customFormat="1" ht="11.25" customHeight="1" x14ac:dyDescent="0.15">
      <c r="A164" s="20">
        <v>163</v>
      </c>
      <c r="B164" s="20"/>
      <c r="C164" s="9" t="s">
        <v>298</v>
      </c>
      <c r="E164" s="10" t="s">
        <v>440</v>
      </c>
      <c r="F164" s="123">
        <v>1065</v>
      </c>
      <c r="G164" s="7">
        <f ca="1">INT((F164*Valores!$C$2*100)+0.5)/100</f>
        <v>5468.46</v>
      </c>
      <c r="H164" s="134">
        <v>0</v>
      </c>
      <c r="I164" s="77">
        <f ca="1">INT((H164*Valores!$C$2*100)+0.5)/100</f>
        <v>0</v>
      </c>
      <c r="J164" s="147">
        <v>0</v>
      </c>
      <c r="K164" s="77">
        <f ca="1">INT((J164*Valores!$C$2*100)+0.5)/100</f>
        <v>0</v>
      </c>
      <c r="L164" s="120">
        <v>0</v>
      </c>
      <c r="M164" s="77">
        <f ca="1">INT((L164*Valores!$C$2*100)+0.5)/100</f>
        <v>0</v>
      </c>
      <c r="N164" s="77">
        <f t="shared" ca="1" si="28"/>
        <v>0</v>
      </c>
      <c r="O164" s="77">
        <f t="shared" ca="1" si="29"/>
        <v>6132.7</v>
      </c>
      <c r="P164" s="61">
        <f>Valores!$C$20</f>
        <v>2991.57</v>
      </c>
      <c r="Q164" s="61">
        <f ca="1">Valores!$D$4</f>
        <v>2296.75</v>
      </c>
      <c r="R164" s="79">
        <f>Valores!$C$27</f>
        <v>2099.9299999999998</v>
      </c>
      <c r="S164" s="140">
        <f>Valores!$C$41</f>
        <v>664.24</v>
      </c>
      <c r="T164" s="77">
        <f>Valores!$C$23</f>
        <v>2221.56</v>
      </c>
      <c r="U164" s="77">
        <f t="shared" ca="1" si="21"/>
        <v>4443.12</v>
      </c>
      <c r="V164" s="77">
        <v>0</v>
      </c>
      <c r="W164" s="77">
        <v>0</v>
      </c>
      <c r="X164" s="116">
        <v>0</v>
      </c>
      <c r="Y164" s="77">
        <f ca="1">X164*Valores!$C$2</f>
        <v>0</v>
      </c>
      <c r="Z164" s="77">
        <v>0</v>
      </c>
      <c r="AA164" s="89">
        <f>Valores!$C$29</f>
        <v>131.68</v>
      </c>
      <c r="AB164" s="77">
        <f t="shared" ca="1" si="22"/>
        <v>0</v>
      </c>
      <c r="AC164" s="77">
        <f>Valores!$C$30</f>
        <v>131.68</v>
      </c>
      <c r="AD164" s="116">
        <v>94</v>
      </c>
      <c r="AE164" s="77">
        <f ca="1">INT(((AD164*Valores!$C$2)*100)+0.5)/100</f>
        <v>482.66</v>
      </c>
      <c r="AF164" s="77">
        <f>Valores!$C$51</f>
        <v>267.87</v>
      </c>
      <c r="AG164" s="77">
        <f>Valores!$C$52</f>
        <v>76.540000000000006</v>
      </c>
      <c r="AH164" s="77">
        <f ca="1">SUM(G164,I164,K164,M164,N164,O164,P164,Q164,R164,S164,U164,V164,W164,Y164,Z164,AA164,AB164,AC164,AE164,AF164,AG164)*Valores!$C$54</f>
        <v>0</v>
      </c>
      <c r="AI164" s="141">
        <f t="shared" ca="1" si="25"/>
        <v>25187.200000000001</v>
      </c>
      <c r="AJ164" s="61">
        <f>Valores!$C$35</f>
        <v>182.07</v>
      </c>
      <c r="AK164" s="79">
        <f>Valores!$C$7</f>
        <v>178.59</v>
      </c>
      <c r="AL164" s="89">
        <v>112.25</v>
      </c>
      <c r="AM164" s="79">
        <f ca="1">IF($G$4="SI",SUM(AK164+AL164),AK164)*Valores!$C$54</f>
        <v>0</v>
      </c>
      <c r="AN164" s="12">
        <f t="shared" ca="1" si="26"/>
        <v>472.90999999999997</v>
      </c>
      <c r="AO164" s="13">
        <f ca="1">AI164*-Valores!$C$56</f>
        <v>-3274.3360000000002</v>
      </c>
      <c r="AP164" s="13">
        <f ca="1">AI164*-Valores!$C$57</f>
        <v>-125.93600000000001</v>
      </c>
      <c r="AQ164" s="78">
        <f ca="1">AI164*-Valores!$C$58</f>
        <v>-1133.424</v>
      </c>
      <c r="AR164" s="78">
        <f ca="1">AI164*-Valores!$C$59</f>
        <v>-680.0544000000001</v>
      </c>
      <c r="AS164" s="78">
        <f ca="1">AI164*-Valores!$C$60</f>
        <v>-75.561599999999999</v>
      </c>
      <c r="AT164" s="15">
        <f t="shared" ca="1" si="23"/>
        <v>21126.414000000001</v>
      </c>
      <c r="AU164" s="15">
        <f t="shared" ca="1" si="24"/>
        <v>21504.221999999998</v>
      </c>
      <c r="AV164" s="78">
        <f ca="1">AI164*Valores!$C$61</f>
        <v>4029.9520000000002</v>
      </c>
      <c r="AW164" s="78">
        <f ca="1">AI164*Valores!$C$62</f>
        <v>1133.424</v>
      </c>
      <c r="AX164" s="78">
        <f ca="1">AI164*Valores!$C$64</f>
        <v>251.87200000000001</v>
      </c>
      <c r="AY164" s="78">
        <f ca="1">AI164*Valores!$C$65</f>
        <v>881.55200000000013</v>
      </c>
      <c r="AZ164" s="78">
        <f ca="1">AI164*Valores!$C$66</f>
        <v>151.1232</v>
      </c>
      <c r="BA164" s="78">
        <f t="shared" ca="1" si="27"/>
        <v>1360.1088</v>
      </c>
      <c r="BB164" s="20"/>
      <c r="BC164" s="55">
        <v>27</v>
      </c>
      <c r="BD164" s="9" t="s">
        <v>467</v>
      </c>
    </row>
    <row r="165" spans="1:56" s="9" customFormat="1" ht="11.25" customHeight="1" x14ac:dyDescent="0.15">
      <c r="A165" s="20">
        <v>164</v>
      </c>
      <c r="B165" s="20"/>
      <c r="C165" s="9" t="s">
        <v>300</v>
      </c>
      <c r="E165" s="10" t="s">
        <v>301</v>
      </c>
      <c r="F165" s="123">
        <v>98</v>
      </c>
      <c r="G165" s="7">
        <f ca="1">INT((F165*Valores!$C$2*100)+0.5)/100</f>
        <v>503.2</v>
      </c>
      <c r="H165" s="134">
        <v>2686</v>
      </c>
      <c r="I165" s="77">
        <f ca="1">INT((H165*Valores!$C$2*100)+0.5)/100</f>
        <v>13791.8</v>
      </c>
      <c r="J165" s="147">
        <v>0</v>
      </c>
      <c r="K165" s="77">
        <f ca="1">INT((J165*Valores!$C$2*100)+0.5)/100</f>
        <v>0</v>
      </c>
      <c r="L165" s="120">
        <v>0</v>
      </c>
      <c r="M165" s="77">
        <f ca="1">INT((L165*Valores!$C$2*100)+0.5)/100</f>
        <v>0</v>
      </c>
      <c r="N165" s="77">
        <f t="shared" ca="1" si="28"/>
        <v>0</v>
      </c>
      <c r="O165" s="77">
        <f t="shared" ca="1" si="29"/>
        <v>19027.98</v>
      </c>
      <c r="P165" s="87">
        <f>Valores!$C$15</f>
        <v>3144.64</v>
      </c>
      <c r="Q165" s="61">
        <f ca="1">Valores!$D$4</f>
        <v>2296.75</v>
      </c>
      <c r="R165" s="61">
        <f>Valores!$C$26</f>
        <v>2298.92</v>
      </c>
      <c r="S165" s="87">
        <f>Valores!$C$43</f>
        <v>1138.69</v>
      </c>
      <c r="T165" s="77">
        <f>Valores!$C$23</f>
        <v>2221.56</v>
      </c>
      <c r="U165" s="77">
        <f t="shared" ca="1" si="21"/>
        <v>4443.12</v>
      </c>
      <c r="V165" s="77">
        <v>0</v>
      </c>
      <c r="W165" s="77">
        <v>0</v>
      </c>
      <c r="X165" s="113">
        <v>700</v>
      </c>
      <c r="Y165" s="77">
        <f ca="1">X165*Valores!$C$2</f>
        <v>3594.2899999999995</v>
      </c>
      <c r="Z165" s="61">
        <f ca="1">SUM(K165,I165,G165,S165)*Valores!$C$3</f>
        <v>2315.0535</v>
      </c>
      <c r="AA165" s="89">
        <f>Valores!$C$29</f>
        <v>131.68</v>
      </c>
      <c r="AB165" s="77">
        <f t="shared" ca="1" si="22"/>
        <v>0</v>
      </c>
      <c r="AC165" s="77">
        <f>Valores!$C$30</f>
        <v>131.68</v>
      </c>
      <c r="AD165" s="116">
        <v>94</v>
      </c>
      <c r="AE165" s="77">
        <f ca="1">INT(((AD165*Valores!$C$2)*100)+0.5)/100</f>
        <v>482.66</v>
      </c>
      <c r="AF165" s="77">
        <f>Valores!$C$51</f>
        <v>267.87</v>
      </c>
      <c r="AG165" s="77">
        <f>Valores!$C$52</f>
        <v>76.540000000000006</v>
      </c>
      <c r="AH165" s="77">
        <f ca="1">SUM(G165,I165,K165,M165,N165,O165,P165,Q165,R165,S165,U165,V165,W165,Y165,Z165,AA165,AB165,AC165,AE165,AF165,AG165)*Valores!$C$54</f>
        <v>0</v>
      </c>
      <c r="AI165" s="141">
        <f t="shared" ca="1" si="25"/>
        <v>53644.873500000009</v>
      </c>
      <c r="AJ165" s="61">
        <f>Valores!$C$35</f>
        <v>182.07</v>
      </c>
      <c r="AK165" s="79">
        <f>Valores!$C$9</f>
        <v>306.14</v>
      </c>
      <c r="AL165" s="89">
        <v>0</v>
      </c>
      <c r="AM165" s="79">
        <f ca="1">IF($G$4="SI",SUM(AK165+AL165),AK165)*Valores!$C$54</f>
        <v>0</v>
      </c>
      <c r="AN165" s="12">
        <f t="shared" ca="1" si="26"/>
        <v>488.21</v>
      </c>
      <c r="AO165" s="13">
        <f ca="1">AI165*-Valores!$C$56</f>
        <v>-6973.8335550000011</v>
      </c>
      <c r="AP165" s="13">
        <f ca="1">AI165*-Valores!$C$57</f>
        <v>-268.22436750000003</v>
      </c>
      <c r="AQ165" s="78">
        <f ca="1">AI165*-Valores!$C$58</f>
        <v>-2414.0193075000002</v>
      </c>
      <c r="AR165" s="78">
        <f ca="1">AI165*-Valores!$C$59</f>
        <v>-1448.4115845000003</v>
      </c>
      <c r="AS165" s="78">
        <f ca="1">AI165*-Valores!$C$60</f>
        <v>-160.93462050000002</v>
      </c>
      <c r="AT165" s="15">
        <f t="shared" ca="1" si="23"/>
        <v>44477.006270000013</v>
      </c>
      <c r="AU165" s="15">
        <f t="shared" ca="1" si="24"/>
        <v>45281.67937250001</v>
      </c>
      <c r="AV165" s="78">
        <f ca="1">AI165*Valores!$C$61</f>
        <v>8583.1797600000009</v>
      </c>
      <c r="AW165" s="78">
        <f ca="1">AI165*Valores!$C$62</f>
        <v>2414.0193075000002</v>
      </c>
      <c r="AX165" s="78">
        <f ca="1">AI165*Valores!$C$64</f>
        <v>536.44873500000006</v>
      </c>
      <c r="AY165" s="78">
        <f ca="1">AI165*Valores!$C$65</f>
        <v>1877.5705725000005</v>
      </c>
      <c r="AZ165" s="78">
        <f ca="1">AI165*Valores!$C$66</f>
        <v>321.86924100000005</v>
      </c>
      <c r="BA165" s="78">
        <f t="shared" ca="1" si="27"/>
        <v>2896.8231690000011</v>
      </c>
      <c r="BB165" s="20"/>
      <c r="BC165" s="20">
        <v>45</v>
      </c>
      <c r="BD165" s="9" t="s">
        <v>467</v>
      </c>
    </row>
    <row r="166" spans="1:56" s="9" customFormat="1" ht="11.25" customHeight="1" x14ac:dyDescent="0.15">
      <c r="A166" s="55">
        <v>165</v>
      </c>
      <c r="B166" s="55" t="s">
        <v>462</v>
      </c>
      <c r="C166" s="52" t="s">
        <v>302</v>
      </c>
      <c r="D166" s="52"/>
      <c r="E166" s="53" t="s">
        <v>303</v>
      </c>
      <c r="F166" s="124">
        <v>93</v>
      </c>
      <c r="G166" s="129">
        <f ca="1">INT((F166*Valores!$C$2*100)+0.5)/100</f>
        <v>477.53</v>
      </c>
      <c r="H166" s="114">
        <v>2547</v>
      </c>
      <c r="I166" s="80">
        <f ca="1">INT((H166*Valores!$C$2*100)+0.5)/100</f>
        <v>13078.08</v>
      </c>
      <c r="J166" s="148">
        <v>0</v>
      </c>
      <c r="K166" s="80">
        <f ca="1">INT((J166*Valores!$C$2*100)+0.5)/100</f>
        <v>0</v>
      </c>
      <c r="L166" s="121">
        <v>0</v>
      </c>
      <c r="M166" s="80">
        <f ca="1">INT((L166*Valores!$C$2*100)+0.5)/100</f>
        <v>0</v>
      </c>
      <c r="N166" s="80">
        <f t="shared" ca="1" si="28"/>
        <v>0</v>
      </c>
      <c r="O166" s="80">
        <f t="shared" ca="1" si="29"/>
        <v>18288.59</v>
      </c>
      <c r="P166" s="88">
        <f>Valores!$C$20</f>
        <v>2991.57</v>
      </c>
      <c r="Q166" s="85">
        <f ca="1">Valores!$D$4</f>
        <v>2296.75</v>
      </c>
      <c r="R166" s="85">
        <f>Valores!$C$26</f>
        <v>2298.92</v>
      </c>
      <c r="S166" s="88">
        <f>Valores!$C$43</f>
        <v>1138.69</v>
      </c>
      <c r="T166" s="80">
        <f>Valores!$C$23</f>
        <v>2221.56</v>
      </c>
      <c r="U166" s="80">
        <f t="shared" ca="1" si="21"/>
        <v>4443.12</v>
      </c>
      <c r="V166" s="80">
        <v>0</v>
      </c>
      <c r="W166" s="80">
        <v>0</v>
      </c>
      <c r="X166" s="114">
        <v>700</v>
      </c>
      <c r="Y166" s="80">
        <f ca="1">X166*Valores!$C$2</f>
        <v>3594.2899999999995</v>
      </c>
      <c r="Z166" s="85">
        <f ca="1">SUM(K166,I166,G166,S166)*Valores!$C$3</f>
        <v>2204.145</v>
      </c>
      <c r="AA166" s="90">
        <f>Valores!$C$29</f>
        <v>131.68</v>
      </c>
      <c r="AB166" s="80">
        <f t="shared" ca="1" si="22"/>
        <v>0</v>
      </c>
      <c r="AC166" s="80">
        <f>Valores!$C$30</f>
        <v>131.68</v>
      </c>
      <c r="AD166" s="115">
        <v>94</v>
      </c>
      <c r="AE166" s="80">
        <f ca="1">INT(((AD166*Valores!$C$2)*100)+0.5)/100</f>
        <v>482.66</v>
      </c>
      <c r="AF166" s="80">
        <f>Valores!$C$51</f>
        <v>267.87</v>
      </c>
      <c r="AG166" s="80">
        <f>Valores!$C$52</f>
        <v>76.540000000000006</v>
      </c>
      <c r="AH166" s="80">
        <f ca="1">SUM(G166,I166,K166,M166,N166,O166,P166,Q166,R166,S166,U166,V166,W166,Y166,Z166,AA166,AB166,AC166,AE166,AF166,AG166)*Valores!$C$54</f>
        <v>0</v>
      </c>
      <c r="AI166" s="142">
        <f t="shared" ca="1" si="25"/>
        <v>51902.115000000013</v>
      </c>
      <c r="AJ166" s="85">
        <f>Valores!$C$35</f>
        <v>182.07</v>
      </c>
      <c r="AK166" s="82">
        <f>Valores!$C$9</f>
        <v>306.14</v>
      </c>
      <c r="AL166" s="90">
        <v>0</v>
      </c>
      <c r="AM166" s="82">
        <f ca="1">IF($G$4="SI",SUM(AK166+AL166),AK166)*Valores!$C$54</f>
        <v>0</v>
      </c>
      <c r="AN166" s="186">
        <f t="shared" ca="1" si="26"/>
        <v>488.21</v>
      </c>
      <c r="AO166" s="155">
        <f ca="1">AI166*-Valores!$C$56</f>
        <v>-6747.2749500000018</v>
      </c>
      <c r="AP166" s="155">
        <f ca="1">AI166*-Valores!$C$57</f>
        <v>-259.51057500000007</v>
      </c>
      <c r="AQ166" s="81">
        <f ca="1">AI166*-Valores!$C$58</f>
        <v>-2335.5951750000004</v>
      </c>
      <c r="AR166" s="81">
        <f ca="1">AI166*-Valores!$C$59</f>
        <v>-1401.3571050000005</v>
      </c>
      <c r="AS166" s="81">
        <f ca="1">AI166*-Valores!$C$60</f>
        <v>-155.70634500000003</v>
      </c>
      <c r="AT166" s="54">
        <f t="shared" ca="1" si="23"/>
        <v>43047.94430000001</v>
      </c>
      <c r="AU166" s="54">
        <f t="shared" ca="1" si="24"/>
        <v>43826.476025000011</v>
      </c>
      <c r="AV166" s="81">
        <f ca="1">AI166*Valores!$C$61</f>
        <v>8304.3384000000024</v>
      </c>
      <c r="AW166" s="81">
        <f ca="1">AI166*Valores!$C$62</f>
        <v>2335.5951750000004</v>
      </c>
      <c r="AX166" s="81">
        <f ca="1">AI166*Valores!$C$64</f>
        <v>519.02115000000015</v>
      </c>
      <c r="AY166" s="81">
        <f ca="1">AI166*Valores!$C$65</f>
        <v>1816.5740250000006</v>
      </c>
      <c r="AZ166" s="81">
        <f ca="1">AI166*Valores!$C$66</f>
        <v>311.41269000000005</v>
      </c>
      <c r="BA166" s="81">
        <f t="shared" ca="1" si="27"/>
        <v>2802.714210000001</v>
      </c>
      <c r="BB166" s="55"/>
      <c r="BC166" s="55">
        <v>45</v>
      </c>
      <c r="BD166" s="52" t="s">
        <v>467</v>
      </c>
    </row>
    <row r="167" spans="1:56" s="9" customFormat="1" ht="11.25" customHeight="1" x14ac:dyDescent="0.15">
      <c r="A167" s="20">
        <v>166</v>
      </c>
      <c r="B167" s="20"/>
      <c r="C167" s="9" t="s">
        <v>304</v>
      </c>
      <c r="E167" s="10" t="s">
        <v>305</v>
      </c>
      <c r="F167" s="123">
        <v>89</v>
      </c>
      <c r="G167" s="7">
        <f ca="1">INT((F167*Valores!$C$2*100)+0.5)/100</f>
        <v>456.99</v>
      </c>
      <c r="H167" s="134">
        <v>2251</v>
      </c>
      <c r="I167" s="77">
        <f ca="1">INT((H167*Valores!$C$2*100)+0.5)/100</f>
        <v>11558.21</v>
      </c>
      <c r="J167" s="147">
        <v>0</v>
      </c>
      <c r="K167" s="77">
        <f ca="1">INT((J167*Valores!$C$2*100)+0.5)/100</f>
        <v>0</v>
      </c>
      <c r="L167" s="120">
        <v>0</v>
      </c>
      <c r="M167" s="77">
        <f ca="1">INT((L167*Valores!$C$2*100)+0.5)/100</f>
        <v>0</v>
      </c>
      <c r="N167" s="77">
        <f t="shared" ca="1" si="28"/>
        <v>0</v>
      </c>
      <c r="O167" s="77">
        <f t="shared" ca="1" si="29"/>
        <v>16748.179999999997</v>
      </c>
      <c r="P167" s="87">
        <f>Valores!$C$20</f>
        <v>2991.57</v>
      </c>
      <c r="Q167" s="61">
        <f ca="1">Valores!$D$4</f>
        <v>2296.75</v>
      </c>
      <c r="R167" s="61">
        <f>Valores!$C$26</f>
        <v>2298.92</v>
      </c>
      <c r="S167" s="87">
        <f>Valores!$C$43</f>
        <v>1138.69</v>
      </c>
      <c r="T167" s="77">
        <f>Valores!$C$23</f>
        <v>2221.56</v>
      </c>
      <c r="U167" s="77">
        <f t="shared" ca="1" si="21"/>
        <v>4443.12</v>
      </c>
      <c r="V167" s="77">
        <v>0</v>
      </c>
      <c r="W167" s="77">
        <v>0</v>
      </c>
      <c r="X167" s="113">
        <v>700</v>
      </c>
      <c r="Y167" s="77">
        <f ca="1">X167*Valores!$C$2</f>
        <v>3594.2899999999995</v>
      </c>
      <c r="Z167" s="61">
        <f ca="1">SUM(K167,I167,G167,S167)*Valores!$C$3</f>
        <v>1973.0834999999997</v>
      </c>
      <c r="AA167" s="89">
        <f>Valores!$C$29</f>
        <v>131.68</v>
      </c>
      <c r="AB167" s="77">
        <f t="shared" ca="1" si="22"/>
        <v>0</v>
      </c>
      <c r="AC167" s="77">
        <f>Valores!$C$30</f>
        <v>131.68</v>
      </c>
      <c r="AD167" s="116">
        <v>94</v>
      </c>
      <c r="AE167" s="77">
        <f ca="1">INT(((AD167*Valores!$C$2)*100)+0.5)/100</f>
        <v>482.66</v>
      </c>
      <c r="AF167" s="77">
        <f>Valores!$C$51</f>
        <v>267.87</v>
      </c>
      <c r="AG167" s="77">
        <f>Valores!$C$52</f>
        <v>76.540000000000006</v>
      </c>
      <c r="AH167" s="77">
        <f ca="1">SUM(G167,I167,K167,M167,N167,O167,P167,Q167,R167,S167,U167,V167,W167,Y167,Z167,AA167,AB167,AC167,AE167,AF167,AG167)*Valores!$C$54</f>
        <v>0</v>
      </c>
      <c r="AI167" s="141">
        <f t="shared" ca="1" si="25"/>
        <v>48590.233500000009</v>
      </c>
      <c r="AJ167" s="61">
        <f>Valores!$C$35</f>
        <v>182.07</v>
      </c>
      <c r="AK167" s="79">
        <f>Valores!$C$9</f>
        <v>306.14</v>
      </c>
      <c r="AL167" s="89">
        <v>224.5</v>
      </c>
      <c r="AM167" s="79">
        <f ca="1">IF($G$4="SI",SUM(AK167+AL167),AK167)*Valores!$C$54</f>
        <v>0</v>
      </c>
      <c r="AN167" s="12">
        <f t="shared" ca="1" si="26"/>
        <v>712.71</v>
      </c>
      <c r="AO167" s="13">
        <f ca="1">AI167*-Valores!$C$56</f>
        <v>-6316.7303550000015</v>
      </c>
      <c r="AP167" s="13">
        <f ca="1">AI167*-Valores!$C$57</f>
        <v>-242.95116750000005</v>
      </c>
      <c r="AQ167" s="78">
        <f ca="1">AI167*-Valores!$C$58</f>
        <v>-2186.5605075000003</v>
      </c>
      <c r="AR167" s="78">
        <f ca="1">AI167*-Valores!$C$59</f>
        <v>-1311.9363045000005</v>
      </c>
      <c r="AS167" s="78">
        <f ca="1">AI167*-Valores!$C$60</f>
        <v>-145.77070050000003</v>
      </c>
      <c r="AT167" s="15">
        <f t="shared" ca="1" si="23"/>
        <v>40556.701470000007</v>
      </c>
      <c r="AU167" s="15">
        <f t="shared" ca="1" si="24"/>
        <v>41285.554972500009</v>
      </c>
      <c r="AV167" s="78">
        <f ca="1">AI167*Valores!$C$61</f>
        <v>7774.4373600000017</v>
      </c>
      <c r="AW167" s="78">
        <f ca="1">AI167*Valores!$C$62</f>
        <v>2186.5605075000003</v>
      </c>
      <c r="AX167" s="78">
        <f ca="1">AI167*Valores!$C$64</f>
        <v>485.90233500000011</v>
      </c>
      <c r="AY167" s="78">
        <f ca="1">AI167*Valores!$C$65</f>
        <v>1700.6581725000005</v>
      </c>
      <c r="AZ167" s="78">
        <f ca="1">AI167*Valores!$C$66</f>
        <v>291.54140100000006</v>
      </c>
      <c r="BA167" s="78">
        <f t="shared" ca="1" si="27"/>
        <v>2623.8726090000005</v>
      </c>
      <c r="BB167" s="20"/>
      <c r="BC167" s="20">
        <v>45</v>
      </c>
      <c r="BD167" s="9" t="s">
        <v>467</v>
      </c>
    </row>
    <row r="168" spans="1:56" s="9" customFormat="1" ht="11.25" customHeight="1" x14ac:dyDescent="0.15">
      <c r="A168" s="20">
        <v>167</v>
      </c>
      <c r="B168" s="20"/>
      <c r="C168" s="9" t="s">
        <v>306</v>
      </c>
      <c r="E168" s="10" t="s">
        <v>307</v>
      </c>
      <c r="F168" s="123">
        <v>83</v>
      </c>
      <c r="G168" s="7">
        <f ca="1">INT((F168*Valores!$C$2*100)+0.5)/100</f>
        <v>426.18</v>
      </c>
      <c r="H168" s="134">
        <v>2352</v>
      </c>
      <c r="I168" s="77">
        <f ca="1">INT((H168*Valores!$C$2*100)+0.5)/100</f>
        <v>12076.81</v>
      </c>
      <c r="J168" s="147">
        <v>0</v>
      </c>
      <c r="K168" s="77">
        <f ca="1">INT((J168*Valores!$C$2*100)+0.5)/100</f>
        <v>0</v>
      </c>
      <c r="L168" s="120">
        <v>0</v>
      </c>
      <c r="M168" s="77">
        <f ca="1">INT((L168*Valores!$C$2*100)+0.5)/100</f>
        <v>0</v>
      </c>
      <c r="N168" s="77">
        <f t="shared" ca="1" si="28"/>
        <v>0</v>
      </c>
      <c r="O168" s="77">
        <f t="shared" ca="1" si="29"/>
        <v>17235.969999999998</v>
      </c>
      <c r="P168" s="61">
        <f>Valores!$C$20</f>
        <v>2991.57</v>
      </c>
      <c r="Q168" s="61">
        <f ca="1">Valores!$D$4</f>
        <v>2296.75</v>
      </c>
      <c r="R168" s="77">
        <v>0</v>
      </c>
      <c r="S168" s="79">
        <f>Valores!$C$43</f>
        <v>1138.69</v>
      </c>
      <c r="T168" s="77">
        <f>Valores!$C$23</f>
        <v>2221.56</v>
      </c>
      <c r="U168" s="77">
        <f t="shared" ca="1" si="21"/>
        <v>4443.12</v>
      </c>
      <c r="V168" s="77">
        <v>0</v>
      </c>
      <c r="W168" s="77">
        <v>0</v>
      </c>
      <c r="X168" s="113">
        <v>700</v>
      </c>
      <c r="Y168" s="77">
        <f ca="1">X168*Valores!$C$2</f>
        <v>3594.2899999999995</v>
      </c>
      <c r="Z168" s="61">
        <f ca="1">SUM(K168,I168,G168,S168)*Valores!$C$3</f>
        <v>2046.252</v>
      </c>
      <c r="AA168" s="89">
        <f>Valores!$C$29</f>
        <v>131.68</v>
      </c>
      <c r="AB168" s="77">
        <f t="shared" ca="1" si="22"/>
        <v>0</v>
      </c>
      <c r="AC168" s="77">
        <f>Valores!$C$30</f>
        <v>131.68</v>
      </c>
      <c r="AD168" s="116">
        <v>94</v>
      </c>
      <c r="AE168" s="77">
        <f ca="1">INT(((AD168*Valores!$C$2)*100)+0.5)/100</f>
        <v>482.66</v>
      </c>
      <c r="AF168" s="77">
        <f>Valores!$C$51</f>
        <v>267.87</v>
      </c>
      <c r="AG168" s="77">
        <f>Valores!$C$52</f>
        <v>76.540000000000006</v>
      </c>
      <c r="AH168" s="77">
        <f ca="1">SUM(G168,I168,K168,M168,N168,O168,P168,Q168,R168,S168,U168,V168,W168,Y168,Z168,AA168,AB168,AC168,AE168,AF168,AG168)*Valores!$C$54</f>
        <v>0</v>
      </c>
      <c r="AI168" s="141">
        <f t="shared" ca="1" si="25"/>
        <v>47340.062000000013</v>
      </c>
      <c r="AJ168" s="61">
        <f>Valores!$C$35</f>
        <v>182.07</v>
      </c>
      <c r="AK168" s="79">
        <f>Valores!$C$9</f>
        <v>306.14</v>
      </c>
      <c r="AL168" s="89">
        <v>0</v>
      </c>
      <c r="AM168" s="79">
        <f ca="1">IF($G$4="SI",SUM(AK168+AL168),AK168)*Valores!$C$54</f>
        <v>0</v>
      </c>
      <c r="AN168" s="12">
        <f t="shared" ca="1" si="26"/>
        <v>488.21</v>
      </c>
      <c r="AO168" s="13">
        <f ca="1">AI168*-Valores!$C$56</f>
        <v>-6154.2080600000018</v>
      </c>
      <c r="AP168" s="13">
        <f ca="1">AI168*-Valores!$C$57</f>
        <v>-236.70031000000006</v>
      </c>
      <c r="AQ168" s="78">
        <f ca="1">AI168*-Valores!$C$58</f>
        <v>-2130.3027900000006</v>
      </c>
      <c r="AR168" s="78">
        <f ca="1">AI168*-Valores!$C$59</f>
        <v>-1278.1816740000004</v>
      </c>
      <c r="AS168" s="78">
        <f ca="1">AI168*-Valores!$C$60</f>
        <v>-142.02018600000005</v>
      </c>
      <c r="AT168" s="15">
        <f t="shared" ca="1" si="23"/>
        <v>39307.060840000006</v>
      </c>
      <c r="AU168" s="15">
        <f t="shared" ca="1" si="24"/>
        <v>40017.161770000006</v>
      </c>
      <c r="AV168" s="78">
        <f ca="1">AI168*Valores!$C$61</f>
        <v>7574.4099200000019</v>
      </c>
      <c r="AW168" s="78">
        <f ca="1">AI168*Valores!$C$62</f>
        <v>2130.3027900000006</v>
      </c>
      <c r="AX168" s="78">
        <f ca="1">AI168*Valores!$C$64</f>
        <v>473.40062000000012</v>
      </c>
      <c r="AY168" s="78">
        <f ca="1">AI168*Valores!$C$65</f>
        <v>1656.9021700000005</v>
      </c>
      <c r="AZ168" s="78">
        <f ca="1">AI168*Valores!$C$66</f>
        <v>284.0403720000001</v>
      </c>
      <c r="BA168" s="78">
        <f t="shared" ca="1" si="27"/>
        <v>2556.3633480000008</v>
      </c>
      <c r="BB168" s="20"/>
      <c r="BC168" s="20">
        <v>45</v>
      </c>
      <c r="BD168" s="9" t="s">
        <v>466</v>
      </c>
    </row>
    <row r="169" spans="1:56" s="9" customFormat="1" ht="11.25" customHeight="1" x14ac:dyDescent="0.15">
      <c r="A169" s="20">
        <v>168</v>
      </c>
      <c r="B169" s="20"/>
      <c r="C169" s="9" t="s">
        <v>308</v>
      </c>
      <c r="E169" s="10" t="s">
        <v>309</v>
      </c>
      <c r="F169" s="123">
        <v>83</v>
      </c>
      <c r="G169" s="7">
        <f ca="1">INT((F169*Valores!$C$2*100)+0.5)/100</f>
        <v>426.18</v>
      </c>
      <c r="H169" s="134">
        <v>2092</v>
      </c>
      <c r="I169" s="77">
        <f ca="1">INT((H169*Valores!$C$2*100)+0.5)/100</f>
        <v>10741.79</v>
      </c>
      <c r="J169" s="147">
        <v>0</v>
      </c>
      <c r="K169" s="77">
        <f ca="1">INT((J169*Valores!$C$2*100)+0.5)/100</f>
        <v>0</v>
      </c>
      <c r="L169" s="120">
        <v>0</v>
      </c>
      <c r="M169" s="77">
        <f ca="1">INT((L169*Valores!$C$2*100)+0.5)/100</f>
        <v>0</v>
      </c>
      <c r="N169" s="77">
        <f t="shared" ca="1" si="28"/>
        <v>0</v>
      </c>
      <c r="O169" s="77">
        <f t="shared" ca="1" si="29"/>
        <v>15900.95</v>
      </c>
      <c r="P169" s="61">
        <f>Valores!$C$20</f>
        <v>2991.57</v>
      </c>
      <c r="Q169" s="61">
        <f ca="1">Valores!$D$4</f>
        <v>2296.75</v>
      </c>
      <c r="R169" s="77">
        <v>0</v>
      </c>
      <c r="S169" s="79">
        <f>Valores!$C$43</f>
        <v>1138.69</v>
      </c>
      <c r="T169" s="77">
        <f>Valores!$C$23</f>
        <v>2221.56</v>
      </c>
      <c r="U169" s="77">
        <f t="shared" ca="1" si="21"/>
        <v>4443.12</v>
      </c>
      <c r="V169" s="77">
        <v>0</v>
      </c>
      <c r="W169" s="77">
        <v>0</v>
      </c>
      <c r="X169" s="113">
        <v>700</v>
      </c>
      <c r="Y169" s="77">
        <f ca="1">X169*Valores!$C$2</f>
        <v>3594.2899999999995</v>
      </c>
      <c r="Z169" s="61">
        <f ca="1">SUM(K169,I169,G169,S169)*Valores!$C$3</f>
        <v>1845.9990000000003</v>
      </c>
      <c r="AA169" s="89">
        <f>Valores!$C$29</f>
        <v>131.68</v>
      </c>
      <c r="AB169" s="77">
        <f t="shared" ca="1" si="22"/>
        <v>0</v>
      </c>
      <c r="AC169" s="77">
        <f>Valores!$C$30</f>
        <v>131.68</v>
      </c>
      <c r="AD169" s="116">
        <v>94</v>
      </c>
      <c r="AE169" s="77">
        <f ca="1">INT(((AD169*Valores!$C$2)*100)+0.5)/100</f>
        <v>482.66</v>
      </c>
      <c r="AF169" s="77">
        <f>Valores!$C$51</f>
        <v>267.87</v>
      </c>
      <c r="AG169" s="77">
        <f>Valores!$C$52</f>
        <v>76.540000000000006</v>
      </c>
      <c r="AH169" s="77">
        <f ca="1">SUM(G169,I169,K169,M169,N169,O169,P169,Q169,R169,S169,U169,V169,W169,Y169,Z169,AA169,AB169,AC169,AE169,AF169,AG169)*Valores!$C$54</f>
        <v>0</v>
      </c>
      <c r="AI169" s="141">
        <f t="shared" ca="1" si="25"/>
        <v>44469.769000000015</v>
      </c>
      <c r="AJ169" s="61">
        <f>Valores!$C$35</f>
        <v>182.07</v>
      </c>
      <c r="AK169" s="79">
        <f>Valores!$C$9</f>
        <v>306.14</v>
      </c>
      <c r="AL169" s="89">
        <v>0</v>
      </c>
      <c r="AM169" s="79">
        <f ca="1">IF($G$4="SI",SUM(AK169+AL169),AK169)*Valores!$C$54</f>
        <v>0</v>
      </c>
      <c r="AN169" s="12">
        <f t="shared" ca="1" si="26"/>
        <v>488.21</v>
      </c>
      <c r="AO169" s="13">
        <f ca="1">AI169*-Valores!$C$56</f>
        <v>-5781.0699700000023</v>
      </c>
      <c r="AP169" s="13">
        <f ca="1">AI169*-Valores!$C$57</f>
        <v>-222.34884500000007</v>
      </c>
      <c r="AQ169" s="78">
        <f ca="1">AI169*-Valores!$C$58</f>
        <v>-2001.1396050000005</v>
      </c>
      <c r="AR169" s="78">
        <f ca="1">AI169*-Valores!$C$59</f>
        <v>-1200.6837630000005</v>
      </c>
      <c r="AS169" s="78">
        <f ca="1">AI169*-Valores!$C$60</f>
        <v>-133.40930700000004</v>
      </c>
      <c r="AT169" s="15">
        <f t="shared" ca="1" si="23"/>
        <v>36953.420580000005</v>
      </c>
      <c r="AU169" s="15">
        <f t="shared" ca="1" si="24"/>
        <v>37620.467115000007</v>
      </c>
      <c r="AV169" s="78">
        <f ca="1">AI169*Valores!$C$61</f>
        <v>7115.1630400000022</v>
      </c>
      <c r="AW169" s="78">
        <f ca="1">AI169*Valores!$C$62</f>
        <v>2001.1396050000005</v>
      </c>
      <c r="AX169" s="78">
        <f ca="1">AI169*Valores!$C$64</f>
        <v>444.69769000000014</v>
      </c>
      <c r="AY169" s="78">
        <f ca="1">AI169*Valores!$C$65</f>
        <v>1556.4419150000006</v>
      </c>
      <c r="AZ169" s="78">
        <f ca="1">AI169*Valores!$C$66</f>
        <v>266.81861400000008</v>
      </c>
      <c r="BA169" s="78">
        <f t="shared" ca="1" si="27"/>
        <v>2401.3675260000009</v>
      </c>
      <c r="BB169" s="20"/>
      <c r="BC169" s="55">
        <v>45</v>
      </c>
      <c r="BD169" s="9" t="s">
        <v>466</v>
      </c>
    </row>
    <row r="170" spans="1:56" s="9" customFormat="1" ht="11.25" customHeight="1" x14ac:dyDescent="0.15">
      <c r="A170" s="20">
        <v>169</v>
      </c>
      <c r="B170" s="20"/>
      <c r="C170" s="9" t="s">
        <v>310</v>
      </c>
      <c r="E170" s="10" t="s">
        <v>311</v>
      </c>
      <c r="F170" s="123">
        <v>82</v>
      </c>
      <c r="G170" s="7">
        <f ca="1">INT((F170*Valores!$C$2*100)+0.5)/100</f>
        <v>421.05</v>
      </c>
      <c r="H170" s="134">
        <v>1941</v>
      </c>
      <c r="I170" s="77">
        <f ca="1">INT((H170*Valores!$C$2*100)+0.5)/100</f>
        <v>9966.4500000000007</v>
      </c>
      <c r="J170" s="147">
        <v>0</v>
      </c>
      <c r="K170" s="77">
        <f ca="1">INT((J170*Valores!$C$2*100)+0.5)/100</f>
        <v>0</v>
      </c>
      <c r="L170" s="120">
        <v>0</v>
      </c>
      <c r="M170" s="77">
        <f ca="1">INT((L170*Valores!$C$2*100)+0.5)/100</f>
        <v>0</v>
      </c>
      <c r="N170" s="77">
        <f t="shared" ca="1" si="28"/>
        <v>0</v>
      </c>
      <c r="O170" s="77">
        <f t="shared" ca="1" si="29"/>
        <v>15120.48</v>
      </c>
      <c r="P170" s="61">
        <f>Valores!$C$20</f>
        <v>2991.57</v>
      </c>
      <c r="Q170" s="61">
        <f ca="1">Valores!$D$4</f>
        <v>2296.75</v>
      </c>
      <c r="R170" s="77">
        <v>0</v>
      </c>
      <c r="S170" s="79">
        <f>Valores!$C$43</f>
        <v>1138.69</v>
      </c>
      <c r="T170" s="77">
        <f>Valores!$C$23</f>
        <v>2221.56</v>
      </c>
      <c r="U170" s="77">
        <f t="shared" ca="1" si="21"/>
        <v>4443.12</v>
      </c>
      <c r="V170" s="77">
        <v>0</v>
      </c>
      <c r="W170" s="77">
        <v>0</v>
      </c>
      <c r="X170" s="113">
        <v>700</v>
      </c>
      <c r="Y170" s="77">
        <f ca="1">X170*Valores!$C$2</f>
        <v>3594.2899999999995</v>
      </c>
      <c r="Z170" s="61">
        <f ca="1">SUM(K170,I170,G170,S170)*Valores!$C$3</f>
        <v>1728.9285</v>
      </c>
      <c r="AA170" s="89">
        <f>Valores!$C$29</f>
        <v>131.68</v>
      </c>
      <c r="AB170" s="77">
        <f t="shared" ca="1" si="22"/>
        <v>0</v>
      </c>
      <c r="AC170" s="77">
        <f>Valores!$C$30</f>
        <v>131.68</v>
      </c>
      <c r="AD170" s="116">
        <v>94</v>
      </c>
      <c r="AE170" s="77">
        <f ca="1">INT(((AD170*Valores!$C$2)*100)+0.5)/100</f>
        <v>482.66</v>
      </c>
      <c r="AF170" s="77">
        <f>Valores!$C$51</f>
        <v>267.87</v>
      </c>
      <c r="AG170" s="77">
        <f>Valores!$C$52</f>
        <v>76.540000000000006</v>
      </c>
      <c r="AH170" s="77">
        <f ca="1">SUM(G170,I170,K170,M170,N170,O170,P170,Q170,R170,S170,U170,V170,W170,Y170,Z170,AA170,AB170,AC170,AE170,AF170,AG170)*Valores!$C$54</f>
        <v>0</v>
      </c>
      <c r="AI170" s="141">
        <f t="shared" ca="1" si="25"/>
        <v>42791.758500000011</v>
      </c>
      <c r="AJ170" s="61">
        <f>Valores!$C$35</f>
        <v>182.07</v>
      </c>
      <c r="AK170" s="79">
        <f>Valores!$C$9</f>
        <v>306.14</v>
      </c>
      <c r="AL170" s="89">
        <v>0</v>
      </c>
      <c r="AM170" s="79">
        <f ca="1">IF($G$4="SI",SUM(AK170+AL170),AK170)*Valores!$C$54</f>
        <v>0</v>
      </c>
      <c r="AN170" s="12">
        <f t="shared" ca="1" si="26"/>
        <v>488.21</v>
      </c>
      <c r="AO170" s="13">
        <f ca="1">AI170*-Valores!$C$56</f>
        <v>-5562.9286050000019</v>
      </c>
      <c r="AP170" s="13">
        <f ca="1">AI170*-Valores!$C$57</f>
        <v>-213.95879250000007</v>
      </c>
      <c r="AQ170" s="78">
        <f ca="1">AI170*-Valores!$C$58</f>
        <v>-1925.6291325000004</v>
      </c>
      <c r="AR170" s="78">
        <f ca="1">AI170*-Valores!$C$59</f>
        <v>-1155.3774795000004</v>
      </c>
      <c r="AS170" s="78">
        <f ca="1">AI170*-Valores!$C$60</f>
        <v>-128.37527550000004</v>
      </c>
      <c r="AT170" s="15">
        <f t="shared" ca="1" si="23"/>
        <v>35577.451970000009</v>
      </c>
      <c r="AU170" s="15">
        <f t="shared" ca="1" si="24"/>
        <v>36219.328347500006</v>
      </c>
      <c r="AV170" s="78">
        <f ca="1">AI170*Valores!$C$61</f>
        <v>6846.6813600000023</v>
      </c>
      <c r="AW170" s="78">
        <f ca="1">AI170*Valores!$C$62</f>
        <v>1925.6291325000004</v>
      </c>
      <c r="AX170" s="78">
        <f ca="1">AI170*Valores!$C$64</f>
        <v>427.91758500000014</v>
      </c>
      <c r="AY170" s="78">
        <f ca="1">AI170*Valores!$C$65</f>
        <v>1497.7115475000005</v>
      </c>
      <c r="AZ170" s="78">
        <f ca="1">AI170*Valores!$C$66</f>
        <v>256.75055100000009</v>
      </c>
      <c r="BA170" s="78">
        <f t="shared" ca="1" si="27"/>
        <v>2310.7549590000008</v>
      </c>
      <c r="BB170" s="20"/>
      <c r="BC170" s="20">
        <v>45</v>
      </c>
      <c r="BD170" s="9" t="s">
        <v>466</v>
      </c>
    </row>
    <row r="171" spans="1:56" s="9" customFormat="1" ht="11.25" customHeight="1" x14ac:dyDescent="0.15">
      <c r="A171" s="55">
        <v>170</v>
      </c>
      <c r="B171" s="55" t="s">
        <v>462</v>
      </c>
      <c r="C171" s="52" t="s">
        <v>312</v>
      </c>
      <c r="D171" s="52"/>
      <c r="E171" s="53" t="s">
        <v>313</v>
      </c>
      <c r="F171" s="124">
        <v>79</v>
      </c>
      <c r="G171" s="129">
        <f ca="1">INT((F171*Valores!$C$2*100)+0.5)/100</f>
        <v>405.64</v>
      </c>
      <c r="H171" s="133">
        <v>2161</v>
      </c>
      <c r="I171" s="80">
        <f ca="1">INT((H171*Valores!$C$2*100)+0.5)/100</f>
        <v>11096.09</v>
      </c>
      <c r="J171" s="148">
        <v>0</v>
      </c>
      <c r="K171" s="80">
        <f ca="1">INT((J171*Valores!$C$2*100)+0.5)/100</f>
        <v>0</v>
      </c>
      <c r="L171" s="121">
        <v>0</v>
      </c>
      <c r="M171" s="80">
        <f ca="1">INT((L171*Valores!$C$2*100)+0.5)/100</f>
        <v>0</v>
      </c>
      <c r="N171" s="80">
        <f t="shared" ca="1" si="28"/>
        <v>0</v>
      </c>
      <c r="O171" s="80">
        <f t="shared" ca="1" si="29"/>
        <v>16234.71</v>
      </c>
      <c r="P171" s="85">
        <f>Valores!$C$20</f>
        <v>2991.57</v>
      </c>
      <c r="Q171" s="85">
        <f ca="1">Valores!$D$4</f>
        <v>2296.75</v>
      </c>
      <c r="R171" s="80">
        <v>0</v>
      </c>
      <c r="S171" s="82">
        <f>Valores!$C$43</f>
        <v>1138.69</v>
      </c>
      <c r="T171" s="80">
        <f>Valores!$C$23</f>
        <v>2221.56</v>
      </c>
      <c r="U171" s="80">
        <f t="shared" ca="1" si="21"/>
        <v>4443.12</v>
      </c>
      <c r="V171" s="80">
        <v>0</v>
      </c>
      <c r="W171" s="80">
        <v>0</v>
      </c>
      <c r="X171" s="114">
        <v>700</v>
      </c>
      <c r="Y171" s="80">
        <f ca="1">X171*Valores!$C$2</f>
        <v>3594.2899999999995</v>
      </c>
      <c r="Z171" s="85">
        <f ca="1">SUM(K171,I171,G171,S171)*Valores!$C$3</f>
        <v>1896.0629999999999</v>
      </c>
      <c r="AA171" s="90">
        <f>Valores!$C$29</f>
        <v>131.68</v>
      </c>
      <c r="AB171" s="80">
        <f t="shared" ca="1" si="22"/>
        <v>0</v>
      </c>
      <c r="AC171" s="80">
        <f>Valores!$C$30</f>
        <v>131.68</v>
      </c>
      <c r="AD171" s="115">
        <v>94</v>
      </c>
      <c r="AE171" s="80">
        <f ca="1">INT(((AD171*Valores!$C$2)*100)+0.5)/100</f>
        <v>482.66</v>
      </c>
      <c r="AF171" s="80">
        <f>Valores!$C$51</f>
        <v>267.87</v>
      </c>
      <c r="AG171" s="80">
        <f>Valores!$C$52</f>
        <v>76.540000000000006</v>
      </c>
      <c r="AH171" s="80">
        <f ca="1">SUM(G171,I171,K171,M171,N171,O171,P171,Q171,R171,S171,U171,V171,W171,Y171,Z171,AA171,AB171,AC171,AE171,AF171,AG171)*Valores!$C$54</f>
        <v>0</v>
      </c>
      <c r="AI171" s="142">
        <f t="shared" ca="1" si="25"/>
        <v>45187.35300000001</v>
      </c>
      <c r="AJ171" s="85">
        <f>Valores!$C$35</f>
        <v>182.07</v>
      </c>
      <c r="AK171" s="82">
        <f>Valores!$C$9</f>
        <v>306.14</v>
      </c>
      <c r="AL171" s="90">
        <v>0</v>
      </c>
      <c r="AM171" s="82">
        <f ca="1">IF($G$4="SI",SUM(AK171+AL171),AK171)*Valores!$C$54</f>
        <v>0</v>
      </c>
      <c r="AN171" s="186">
        <f t="shared" ca="1" si="26"/>
        <v>488.21</v>
      </c>
      <c r="AO171" s="155">
        <f ca="1">AI171*-Valores!$C$56</f>
        <v>-5874.3558900000016</v>
      </c>
      <c r="AP171" s="155">
        <f ca="1">AI171*-Valores!$C$57</f>
        <v>-225.93676500000007</v>
      </c>
      <c r="AQ171" s="81">
        <f ca="1">AI171*-Valores!$C$58</f>
        <v>-2033.4308850000004</v>
      </c>
      <c r="AR171" s="81">
        <f ca="1">AI171*-Valores!$C$59</f>
        <v>-1220.0585310000004</v>
      </c>
      <c r="AS171" s="81">
        <f ca="1">AI171*-Valores!$C$60</f>
        <v>-135.56205900000003</v>
      </c>
      <c r="AT171" s="54">
        <f t="shared" ca="1" si="23"/>
        <v>37541.83946000001</v>
      </c>
      <c r="AU171" s="54">
        <f t="shared" ca="1" si="24"/>
        <v>38219.649755000006</v>
      </c>
      <c r="AV171" s="81">
        <f ca="1">AI171*Valores!$C$61</f>
        <v>7229.9764800000021</v>
      </c>
      <c r="AW171" s="81">
        <f ca="1">AI171*Valores!$C$62</f>
        <v>2033.4308850000004</v>
      </c>
      <c r="AX171" s="81">
        <f ca="1">AI171*Valores!$C$64</f>
        <v>451.87353000000013</v>
      </c>
      <c r="AY171" s="81">
        <f ca="1">AI171*Valores!$C$65</f>
        <v>1581.5573550000006</v>
      </c>
      <c r="AZ171" s="81">
        <f ca="1">AI171*Valores!$C$66</f>
        <v>271.12411800000007</v>
      </c>
      <c r="BA171" s="81">
        <f t="shared" ca="1" si="27"/>
        <v>2440.1170620000007</v>
      </c>
      <c r="BB171" s="55"/>
      <c r="BC171" s="55">
        <v>45</v>
      </c>
      <c r="BD171" s="52" t="s">
        <v>466</v>
      </c>
    </row>
    <row r="172" spans="1:56" s="9" customFormat="1" ht="11.25" customHeight="1" x14ac:dyDescent="0.15">
      <c r="A172" s="20">
        <v>171</v>
      </c>
      <c r="B172" s="20"/>
      <c r="C172" s="9" t="s">
        <v>314</v>
      </c>
      <c r="E172" s="10" t="s">
        <v>315</v>
      </c>
      <c r="F172" s="123">
        <v>98</v>
      </c>
      <c r="G172" s="7">
        <f ca="1">INT((F172*Valores!$C$2*100)+0.5)/100</f>
        <v>503.2</v>
      </c>
      <c r="H172" s="134">
        <v>2686</v>
      </c>
      <c r="I172" s="77">
        <f ca="1">INT((H172*Valores!$C$2*100)+0.5)/100</f>
        <v>13791.8</v>
      </c>
      <c r="J172" s="147">
        <v>0</v>
      </c>
      <c r="K172" s="77">
        <f ca="1">INT((J172*Valores!$C$2*100)+0.5)/100</f>
        <v>0</v>
      </c>
      <c r="L172" s="120">
        <v>0</v>
      </c>
      <c r="M172" s="77">
        <f ca="1">INT((L172*Valores!$C$2*100)+0.5)/100</f>
        <v>0</v>
      </c>
      <c r="N172" s="77">
        <f t="shared" ca="1" si="28"/>
        <v>0</v>
      </c>
      <c r="O172" s="77">
        <f t="shared" ca="1" si="29"/>
        <v>19027.98</v>
      </c>
      <c r="P172" s="77">
        <f>Valores!$C$20</f>
        <v>2991.57</v>
      </c>
      <c r="Q172" s="61">
        <f ca="1">Valores!$D$4</f>
        <v>2296.75</v>
      </c>
      <c r="R172" s="77">
        <v>0</v>
      </c>
      <c r="S172" s="79">
        <f>Valores!$C$43</f>
        <v>1138.69</v>
      </c>
      <c r="T172" s="77">
        <f>Valores!$C$23</f>
        <v>2221.56</v>
      </c>
      <c r="U172" s="77">
        <f t="shared" ca="1" si="21"/>
        <v>4443.12</v>
      </c>
      <c r="V172" s="77">
        <v>0</v>
      </c>
      <c r="W172" s="77">
        <v>0</v>
      </c>
      <c r="X172" s="113">
        <v>700</v>
      </c>
      <c r="Y172" s="77">
        <f ca="1">X172*Valores!$C$2</f>
        <v>3594.2899999999995</v>
      </c>
      <c r="Z172" s="61">
        <f ca="1">SUM(K172,I172,G172,S172)*Valores!$C$3</f>
        <v>2315.0535</v>
      </c>
      <c r="AA172" s="89">
        <f>Valores!$C$29</f>
        <v>131.68</v>
      </c>
      <c r="AB172" s="77">
        <f t="shared" ca="1" si="22"/>
        <v>0</v>
      </c>
      <c r="AC172" s="77">
        <f>Valores!$C$30</f>
        <v>131.68</v>
      </c>
      <c r="AD172" s="116">
        <v>0</v>
      </c>
      <c r="AE172" s="77">
        <f ca="1">INT(((AD172*Valores!$C$2)*100)+0.5)/100</f>
        <v>0</v>
      </c>
      <c r="AF172" s="77">
        <f>Valores!$C$51</f>
        <v>267.87</v>
      </c>
      <c r="AG172" s="77">
        <f>Valores!$C$52</f>
        <v>76.540000000000006</v>
      </c>
      <c r="AH172" s="77">
        <f ca="1">SUM(G172,I172,K172,M172,N172,O172,P172,Q172,R172,S172,U172,V172,W172,Y172,Z172,AA172,AB172,AC172,AE172,AF172,AG172)*Valores!$C$54</f>
        <v>0</v>
      </c>
      <c r="AI172" s="141">
        <f t="shared" ca="1" si="25"/>
        <v>50710.223500000007</v>
      </c>
      <c r="AJ172" s="61">
        <f>Valores!$C$35</f>
        <v>182.07</v>
      </c>
      <c r="AK172" s="79">
        <f>Valores!$C$9</f>
        <v>306.14</v>
      </c>
      <c r="AL172" s="89">
        <v>0</v>
      </c>
      <c r="AM172" s="79">
        <f ca="1">IF($G$4="SI",SUM(AK172+AL172),AK172)*Valores!$C$54</f>
        <v>0</v>
      </c>
      <c r="AN172" s="12">
        <f t="shared" ca="1" si="26"/>
        <v>488.21</v>
      </c>
      <c r="AO172" s="13">
        <f ca="1">AI172*-Valores!$C$56</f>
        <v>-6592.3290550000011</v>
      </c>
      <c r="AP172" s="13">
        <f ca="1">AI172*-Valores!$C$57</f>
        <v>-253.55111750000003</v>
      </c>
      <c r="AQ172" s="78">
        <f ca="1">AI172*-Valores!$C$58</f>
        <v>-2281.9600575000004</v>
      </c>
      <c r="AR172" s="78">
        <f ca="1">AI172*-Valores!$C$59</f>
        <v>-1369.1760345000005</v>
      </c>
      <c r="AS172" s="78">
        <f ca="1">AI172*-Valores!$C$60</f>
        <v>-152.13067050000004</v>
      </c>
      <c r="AT172" s="15">
        <f t="shared" ca="1" si="23"/>
        <v>42070.593270000005</v>
      </c>
      <c r="AU172" s="15">
        <f t="shared" ca="1" si="24"/>
        <v>42831.246622500003</v>
      </c>
      <c r="AV172" s="78">
        <f ca="1">AI172*Valores!$C$61</f>
        <v>8113.635760000001</v>
      </c>
      <c r="AW172" s="78">
        <f ca="1">AI172*Valores!$C$62</f>
        <v>2281.9600575000004</v>
      </c>
      <c r="AX172" s="78">
        <f ca="1">AI172*Valores!$C$64</f>
        <v>507.10223500000006</v>
      </c>
      <c r="AY172" s="78">
        <f ca="1">AI172*Valores!$C$65</f>
        <v>1774.8578225000003</v>
      </c>
      <c r="AZ172" s="78">
        <f ca="1">AI172*Valores!$C$66</f>
        <v>304.26134100000007</v>
      </c>
      <c r="BA172" s="78">
        <f t="shared" ca="1" si="27"/>
        <v>2738.3520690000005</v>
      </c>
      <c r="BB172" s="20"/>
      <c r="BC172" s="20"/>
      <c r="BD172" s="9" t="s">
        <v>466</v>
      </c>
    </row>
    <row r="173" spans="1:56" s="9" customFormat="1" ht="11.25" customHeight="1" x14ac:dyDescent="0.15">
      <c r="A173" s="20">
        <v>172</v>
      </c>
      <c r="B173" s="20"/>
      <c r="C173" s="9" t="s">
        <v>316</v>
      </c>
      <c r="E173" s="10" t="s">
        <v>317</v>
      </c>
      <c r="F173" s="123">
        <v>93</v>
      </c>
      <c r="G173" s="7">
        <f ca="1">INT((F173*Valores!$C$2*100)+0.5)/100</f>
        <v>477.53</v>
      </c>
      <c r="H173" s="134">
        <v>2547</v>
      </c>
      <c r="I173" s="77">
        <f ca="1">INT((H173*Valores!$C$2*100)+0.5)/100</f>
        <v>13078.08</v>
      </c>
      <c r="J173" s="147">
        <v>0</v>
      </c>
      <c r="K173" s="77">
        <f ca="1">INT((J173*Valores!$C$2*100)+0.5)/100</f>
        <v>0</v>
      </c>
      <c r="L173" s="120">
        <v>0</v>
      </c>
      <c r="M173" s="77">
        <f ca="1">INT((L173*Valores!$C$2*100)+0.5)/100</f>
        <v>0</v>
      </c>
      <c r="N173" s="77">
        <f t="shared" ca="1" si="28"/>
        <v>0</v>
      </c>
      <c r="O173" s="77">
        <f t="shared" ca="1" si="29"/>
        <v>18288.59</v>
      </c>
      <c r="P173" s="87">
        <f>Valores!$C$20</f>
        <v>2991.57</v>
      </c>
      <c r="Q173" s="61">
        <f ca="1">Valores!$D$4</f>
        <v>2296.75</v>
      </c>
      <c r="R173" s="77">
        <v>0</v>
      </c>
      <c r="S173" s="79">
        <f>Valores!$C$43</f>
        <v>1138.69</v>
      </c>
      <c r="T173" s="77">
        <f>Valores!$C$23</f>
        <v>2221.56</v>
      </c>
      <c r="U173" s="77">
        <f t="shared" ca="1" si="21"/>
        <v>4443.12</v>
      </c>
      <c r="V173" s="77">
        <v>0</v>
      </c>
      <c r="W173" s="77">
        <v>0</v>
      </c>
      <c r="X173" s="113">
        <v>700</v>
      </c>
      <c r="Y173" s="77">
        <f ca="1">X173*Valores!$C$2</f>
        <v>3594.2899999999995</v>
      </c>
      <c r="Z173" s="61">
        <f ca="1">SUM(K173,I173,G173,S173)*Valores!$C$3</f>
        <v>2204.145</v>
      </c>
      <c r="AA173" s="89">
        <f>Valores!$C$29</f>
        <v>131.68</v>
      </c>
      <c r="AB173" s="77">
        <f t="shared" ca="1" si="22"/>
        <v>0</v>
      </c>
      <c r="AC173" s="77">
        <f>Valores!$C$30</f>
        <v>131.68</v>
      </c>
      <c r="AD173" s="116">
        <v>0</v>
      </c>
      <c r="AE173" s="77">
        <f ca="1">INT(((AD173*Valores!$C$2)*100)+0.5)/100</f>
        <v>0</v>
      </c>
      <c r="AF173" s="77">
        <f>Valores!$C$51</f>
        <v>267.87</v>
      </c>
      <c r="AG173" s="77">
        <f>Valores!$C$52</f>
        <v>76.540000000000006</v>
      </c>
      <c r="AH173" s="77">
        <f ca="1">SUM(G173,I173,K173,M173,N173,O173,P173,Q173,R173,S173,U173,V173,W173,Y173,Z173,AA173,AB173,AC173,AE173,AF173,AG173)*Valores!$C$54</f>
        <v>0</v>
      </c>
      <c r="AI173" s="141">
        <f t="shared" ca="1" si="25"/>
        <v>49120.535000000011</v>
      </c>
      <c r="AJ173" s="61">
        <f>Valores!$C$35</f>
        <v>182.07</v>
      </c>
      <c r="AK173" s="79">
        <f>Valores!$C$9</f>
        <v>306.14</v>
      </c>
      <c r="AL173" s="89">
        <v>0</v>
      </c>
      <c r="AM173" s="79">
        <f ca="1">IF($G$4="SI",SUM(AK173+AL173),AK173)*Valores!$C$54</f>
        <v>0</v>
      </c>
      <c r="AN173" s="12">
        <f t="shared" ca="1" si="26"/>
        <v>488.21</v>
      </c>
      <c r="AO173" s="13">
        <f ca="1">AI173*-Valores!$C$56</f>
        <v>-6385.6695500000014</v>
      </c>
      <c r="AP173" s="13">
        <f ca="1">AI173*-Valores!$C$57</f>
        <v>-245.60267500000006</v>
      </c>
      <c r="AQ173" s="78">
        <f ca="1">AI173*-Valores!$C$58</f>
        <v>-2210.4240750000004</v>
      </c>
      <c r="AR173" s="78">
        <f ca="1">AI173*-Valores!$C$59</f>
        <v>-1326.2544450000005</v>
      </c>
      <c r="AS173" s="78">
        <f ca="1">AI173*-Valores!$C$60</f>
        <v>-147.36160500000003</v>
      </c>
      <c r="AT173" s="15">
        <f t="shared" ca="1" si="23"/>
        <v>40767.048700000007</v>
      </c>
      <c r="AU173" s="15">
        <f t="shared" ca="1" si="24"/>
        <v>41503.856725000012</v>
      </c>
      <c r="AV173" s="78">
        <f ca="1">AI173*Valores!$C$61</f>
        <v>7859.285600000002</v>
      </c>
      <c r="AW173" s="78">
        <f ca="1">AI173*Valores!$C$62</f>
        <v>2210.4240750000004</v>
      </c>
      <c r="AX173" s="78">
        <f ca="1">AI173*Valores!$C$64</f>
        <v>491.20535000000012</v>
      </c>
      <c r="AY173" s="78">
        <f ca="1">AI173*Valores!$C$65</f>
        <v>1719.2187250000006</v>
      </c>
      <c r="AZ173" s="78">
        <f ca="1">AI173*Valores!$C$66</f>
        <v>294.72321000000005</v>
      </c>
      <c r="BA173" s="78">
        <f t="shared" ca="1" si="27"/>
        <v>2652.508890000001</v>
      </c>
      <c r="BB173" s="20"/>
      <c r="BC173" s="20"/>
      <c r="BD173" s="9" t="s">
        <v>467</v>
      </c>
    </row>
    <row r="174" spans="1:56" s="9" customFormat="1" ht="11.25" customHeight="1" x14ac:dyDescent="0.15">
      <c r="A174" s="20">
        <v>173</v>
      </c>
      <c r="B174" s="20"/>
      <c r="C174" s="9" t="s">
        <v>318</v>
      </c>
      <c r="E174" s="10" t="s">
        <v>319</v>
      </c>
      <c r="F174" s="123">
        <v>1278</v>
      </c>
      <c r="G174" s="7">
        <f ca="1">INT((F174*Valores!$C$2*100)+0.5)/100</f>
        <v>6562.15</v>
      </c>
      <c r="H174" s="134">
        <v>0</v>
      </c>
      <c r="I174" s="77">
        <f ca="1">INT((H174*Valores!$C$2*100)+0.5)/100</f>
        <v>0</v>
      </c>
      <c r="J174" s="147">
        <v>0</v>
      </c>
      <c r="K174" s="77">
        <f ca="1">INT((J174*Valores!$C$2*100)+0.5)/100</f>
        <v>0</v>
      </c>
      <c r="L174" s="120">
        <v>0</v>
      </c>
      <c r="M174" s="77">
        <f ca="1">INT((L174*Valores!$C$2*100)+0.5)/100</f>
        <v>0</v>
      </c>
      <c r="N174" s="77">
        <f t="shared" ca="1" si="28"/>
        <v>0</v>
      </c>
      <c r="O174" s="77">
        <f t="shared" ca="1" si="29"/>
        <v>12322.07</v>
      </c>
      <c r="P174" s="61">
        <f>Valores!$C$20</f>
        <v>2991.57</v>
      </c>
      <c r="Q174" s="61">
        <f ca="1">Valores!$D$4</f>
        <v>2296.75</v>
      </c>
      <c r="R174" s="77">
        <v>0</v>
      </c>
      <c r="S174" s="79">
        <f>Valores!$C$43</f>
        <v>1138.69</v>
      </c>
      <c r="T174" s="77">
        <f>Valores!$C$23</f>
        <v>2221.56</v>
      </c>
      <c r="U174" s="77">
        <f t="shared" ca="1" si="21"/>
        <v>4443.12</v>
      </c>
      <c r="V174" s="77">
        <v>0</v>
      </c>
      <c r="W174" s="77">
        <v>0</v>
      </c>
      <c r="X174" s="113">
        <v>900</v>
      </c>
      <c r="Y174" s="77">
        <f ca="1">X174*Valores!$C$2</f>
        <v>4621.2299999999996</v>
      </c>
      <c r="Z174" s="61">
        <f ca="1">SUM(K174,I174,G174,S174)*Valores!$C$3</f>
        <v>1155.126</v>
      </c>
      <c r="AA174" s="89">
        <f>Valores!$C$29</f>
        <v>131.68</v>
      </c>
      <c r="AB174" s="77">
        <f t="shared" ca="1" si="22"/>
        <v>0</v>
      </c>
      <c r="AC174" s="77">
        <f>Valores!$C$30</f>
        <v>131.68</v>
      </c>
      <c r="AD174" s="116">
        <v>94</v>
      </c>
      <c r="AE174" s="77">
        <f ca="1">INT(((AD174*Valores!$C$2)*100)+0.5)/100</f>
        <v>482.66</v>
      </c>
      <c r="AF174" s="77">
        <f>Valores!$C$51</f>
        <v>267.87</v>
      </c>
      <c r="AG174" s="77">
        <f>Valores!$C$52</f>
        <v>76.540000000000006</v>
      </c>
      <c r="AH174" s="77">
        <f ca="1">SUM(G174,I174,K174,M174,N174,O174,P174,Q174,R174,S174,U174,V174,W174,Y174,Z174,AA174,AB174,AC174,AE174,AF174,AG174)*Valores!$C$54</f>
        <v>0</v>
      </c>
      <c r="AI174" s="141">
        <f t="shared" ca="1" si="25"/>
        <v>36621.136000000006</v>
      </c>
      <c r="AJ174" s="61">
        <f>Valores!$C$35</f>
        <v>182.07</v>
      </c>
      <c r="AK174" s="79">
        <f>Valores!$C$9</f>
        <v>306.14</v>
      </c>
      <c r="AL174" s="89">
        <v>224.5</v>
      </c>
      <c r="AM174" s="79">
        <f ca="1">IF($G$4="SI",SUM(AK174+AL174),AK174)*Valores!$C$54</f>
        <v>0</v>
      </c>
      <c r="AN174" s="12">
        <f t="shared" ca="1" si="26"/>
        <v>712.71</v>
      </c>
      <c r="AO174" s="13">
        <f ca="1">AI174*-Valores!$C$56</f>
        <v>-4760.7476800000013</v>
      </c>
      <c r="AP174" s="13">
        <f ca="1">AI174*-Valores!$C$57</f>
        <v>-183.10568000000004</v>
      </c>
      <c r="AQ174" s="78">
        <f ca="1">AI174*-Valores!$C$58</f>
        <v>-1647.9511200000002</v>
      </c>
      <c r="AR174" s="78">
        <f ca="1">AI174*-Valores!$C$59</f>
        <v>-988.77067200000022</v>
      </c>
      <c r="AS174" s="78">
        <f ca="1">AI174*-Valores!$C$60</f>
        <v>-109.86340800000002</v>
      </c>
      <c r="AT174" s="15">
        <f t="shared" ca="1" si="23"/>
        <v>30742.041520000006</v>
      </c>
      <c r="AU174" s="15">
        <f t="shared" ca="1" si="24"/>
        <v>31291.358560000004</v>
      </c>
      <c r="AV174" s="78">
        <f ca="1">AI174*Valores!$C$61</f>
        <v>5859.3817600000011</v>
      </c>
      <c r="AW174" s="78">
        <f ca="1">AI174*Valores!$C$62</f>
        <v>1647.9511200000002</v>
      </c>
      <c r="AX174" s="78">
        <f ca="1">AI174*Valores!$C$64</f>
        <v>366.21136000000007</v>
      </c>
      <c r="AY174" s="78">
        <f ca="1">AI174*Valores!$C$65</f>
        <v>1281.7397600000004</v>
      </c>
      <c r="AZ174" s="78">
        <f ca="1">AI174*Valores!$C$66</f>
        <v>219.72681600000004</v>
      </c>
      <c r="BA174" s="78">
        <f t="shared" ca="1" si="27"/>
        <v>1977.5413440000004</v>
      </c>
      <c r="BB174" s="20"/>
      <c r="BC174" s="55">
        <v>36</v>
      </c>
      <c r="BD174" s="9" t="s">
        <v>467</v>
      </c>
    </row>
    <row r="175" spans="1:56" s="9" customFormat="1" ht="11.25" customHeight="1" x14ac:dyDescent="0.15">
      <c r="A175" s="20">
        <v>174</v>
      </c>
      <c r="B175" s="20"/>
      <c r="C175" s="9" t="s">
        <v>320</v>
      </c>
      <c r="E175" s="10" t="s">
        <v>321</v>
      </c>
      <c r="F175" s="123">
        <v>217</v>
      </c>
      <c r="G175" s="7">
        <f ca="1">INT((F175*Valores!$C$2*100)+0.5)/100</f>
        <v>1114.23</v>
      </c>
      <c r="H175" s="134">
        <f>2245</f>
        <v>2245</v>
      </c>
      <c r="I175" s="77">
        <f ca="1">INT((H175*Valores!$C$2*100)+0.5)/100</f>
        <v>11527.4</v>
      </c>
      <c r="J175" s="147">
        <v>0</v>
      </c>
      <c r="K175" s="77">
        <f ca="1">INT((J175*Valores!$C$2*100)+0.5)/100</f>
        <v>0</v>
      </c>
      <c r="L175" s="120">
        <v>1300</v>
      </c>
      <c r="M175" s="77">
        <f ca="1">INT((L175*Valores!$C$2*100)+0.5)/100</f>
        <v>6675.11</v>
      </c>
      <c r="N175" s="77">
        <f t="shared" ca="1" si="28"/>
        <v>0</v>
      </c>
      <c r="O175" s="77">
        <f t="shared" ca="1" si="29"/>
        <v>20455.429999999997</v>
      </c>
      <c r="P175" s="61">
        <f>Valores!$C$16</f>
        <v>3165.05</v>
      </c>
      <c r="Q175" s="61">
        <f ca="1">Valores!$D$4</f>
        <v>2296.75</v>
      </c>
      <c r="R175" s="61">
        <f>Valores!$C$26</f>
        <v>2298.92</v>
      </c>
      <c r="S175" s="87">
        <f>Valores!$C$43</f>
        <v>1138.69</v>
      </c>
      <c r="T175" s="77">
        <f>Valores!$C$23</f>
        <v>2221.56</v>
      </c>
      <c r="U175" s="77">
        <f t="shared" ca="1" si="21"/>
        <v>4443.12</v>
      </c>
      <c r="V175" s="77">
        <v>0</v>
      </c>
      <c r="W175" s="77">
        <v>0</v>
      </c>
      <c r="X175" s="116">
        <v>0</v>
      </c>
      <c r="Y175" s="77">
        <f ca="1">X175*Valores!$C$2</f>
        <v>0</v>
      </c>
      <c r="Z175" s="77">
        <v>0</v>
      </c>
      <c r="AA175" s="89">
        <f>Valores!$C$29</f>
        <v>131.68</v>
      </c>
      <c r="AB175" s="77">
        <f t="shared" ca="1" si="22"/>
        <v>0</v>
      </c>
      <c r="AC175" s="77">
        <f>Valores!$C$30</f>
        <v>131.68</v>
      </c>
      <c r="AD175" s="116">
        <v>0</v>
      </c>
      <c r="AE175" s="77">
        <f ca="1">INT(((AD175*Valores!$C$2)*100)+0.5)/100</f>
        <v>0</v>
      </c>
      <c r="AF175" s="77">
        <f>Valores!$C$51</f>
        <v>267.87</v>
      </c>
      <c r="AG175" s="77">
        <f>Valores!$C$52</f>
        <v>76.540000000000006</v>
      </c>
      <c r="AH175" s="77">
        <f ca="1">SUM(G175,I175,K175,M175,N175,O175,P175,Q175,R175,S175,U175,V175,W175,Y175,Z175,AA175,AB175,AC175,AE175,AF175,AG175)*Valores!$C$54</f>
        <v>0</v>
      </c>
      <c r="AI175" s="141">
        <f t="shared" ca="1" si="25"/>
        <v>53722.470000000008</v>
      </c>
      <c r="AJ175" s="61">
        <f>Valores!$C$35</f>
        <v>182.07</v>
      </c>
      <c r="AK175" s="79">
        <f>Valores!$C$9</f>
        <v>306.14</v>
      </c>
      <c r="AL175" s="89">
        <v>0</v>
      </c>
      <c r="AM175" s="79">
        <f ca="1">IF($G$4="SI",SUM(AK175+AL175),AK175)*Valores!$C$54</f>
        <v>0</v>
      </c>
      <c r="AN175" s="12">
        <f t="shared" ca="1" si="26"/>
        <v>488.21</v>
      </c>
      <c r="AO175" s="13">
        <f ca="1">AI175*-Valores!$C$56</f>
        <v>-6983.9211000000014</v>
      </c>
      <c r="AP175" s="13">
        <f ca="1">AI175*-Valores!$C$57</f>
        <v>-268.61235000000005</v>
      </c>
      <c r="AQ175" s="78">
        <f ca="1">AI175*-Valores!$C$58</f>
        <v>-2417.5111500000003</v>
      </c>
      <c r="AR175" s="78">
        <f ca="1">AI175*-Valores!$C$59</f>
        <v>-1450.5066900000004</v>
      </c>
      <c r="AS175" s="78">
        <f ca="1">AI175*-Valores!$C$60</f>
        <v>-161.16741000000002</v>
      </c>
      <c r="AT175" s="15">
        <f t="shared" ca="1" si="23"/>
        <v>44540.635400000006</v>
      </c>
      <c r="AU175" s="15">
        <f t="shared" ca="1" si="24"/>
        <v>45346.472450000001</v>
      </c>
      <c r="AV175" s="78">
        <f ca="1">AI175*Valores!$C$61</f>
        <v>8595.5952000000016</v>
      </c>
      <c r="AW175" s="78">
        <f ca="1">AI175*Valores!$C$62</f>
        <v>2417.5111500000003</v>
      </c>
      <c r="AX175" s="78">
        <f ca="1">AI175*Valores!$C$64</f>
        <v>537.2247000000001</v>
      </c>
      <c r="AY175" s="78">
        <f ca="1">AI175*Valores!$C$65</f>
        <v>1880.2864500000005</v>
      </c>
      <c r="AZ175" s="78">
        <f ca="1">AI175*Valores!$C$66</f>
        <v>322.33482000000004</v>
      </c>
      <c r="BA175" s="78">
        <f t="shared" ca="1" si="27"/>
        <v>2901.0133800000003</v>
      </c>
      <c r="BB175" s="20"/>
      <c r="BC175" s="20">
        <v>45</v>
      </c>
      <c r="BD175" s="9" t="s">
        <v>467</v>
      </c>
    </row>
    <row r="176" spans="1:56" s="9" customFormat="1" ht="11.25" customHeight="1" x14ac:dyDescent="0.15">
      <c r="A176" s="55">
        <v>175</v>
      </c>
      <c r="B176" s="55" t="s">
        <v>462</v>
      </c>
      <c r="C176" s="52" t="s">
        <v>322</v>
      </c>
      <c r="D176" s="52"/>
      <c r="E176" s="53" t="s">
        <v>323</v>
      </c>
      <c r="F176" s="124">
        <v>185</v>
      </c>
      <c r="G176" s="129">
        <f ca="1">INT((F176*Valores!$C$2*100)+0.5)/100</f>
        <v>949.92</v>
      </c>
      <c r="H176" s="133">
        <f>1835</f>
        <v>1835</v>
      </c>
      <c r="I176" s="80">
        <f ca="1">INT((H176*Valores!$C$2*100)+0.5)/100</f>
        <v>9422.17</v>
      </c>
      <c r="J176" s="148">
        <v>0</v>
      </c>
      <c r="K176" s="80">
        <f ca="1">INT((J176*Valores!$C$2*100)+0.5)/100</f>
        <v>0</v>
      </c>
      <c r="L176" s="121">
        <v>1300</v>
      </c>
      <c r="M176" s="80">
        <f ca="1">INT((L176*Valores!$C$2*100)+0.5)/100</f>
        <v>6675.11</v>
      </c>
      <c r="N176" s="80">
        <f t="shared" ca="1" si="28"/>
        <v>0</v>
      </c>
      <c r="O176" s="80">
        <f t="shared" ca="1" si="29"/>
        <v>18185.89</v>
      </c>
      <c r="P176" s="85">
        <f>Valores!$C$16</f>
        <v>3165.05</v>
      </c>
      <c r="Q176" s="85">
        <f ca="1">Valores!$D$4</f>
        <v>2296.75</v>
      </c>
      <c r="R176" s="85">
        <f>Valores!$C$26</f>
        <v>2298.92</v>
      </c>
      <c r="S176" s="88">
        <f>Valores!$C$43</f>
        <v>1138.69</v>
      </c>
      <c r="T176" s="80">
        <f>Valores!$C$23</f>
        <v>2221.56</v>
      </c>
      <c r="U176" s="80">
        <f t="shared" ca="1" si="21"/>
        <v>4443.12</v>
      </c>
      <c r="V176" s="80">
        <v>0</v>
      </c>
      <c r="W176" s="80">
        <v>0</v>
      </c>
      <c r="X176" s="115">
        <v>0</v>
      </c>
      <c r="Y176" s="80">
        <f ca="1">X176*Valores!$C$2</f>
        <v>0</v>
      </c>
      <c r="Z176" s="80">
        <v>0</v>
      </c>
      <c r="AA176" s="90">
        <f>Valores!$C$29</f>
        <v>131.68</v>
      </c>
      <c r="AB176" s="80">
        <f t="shared" ca="1" si="22"/>
        <v>0</v>
      </c>
      <c r="AC176" s="80">
        <f>Valores!$C$30</f>
        <v>131.68</v>
      </c>
      <c r="AD176" s="115">
        <v>0</v>
      </c>
      <c r="AE176" s="80">
        <f ca="1">INT(((AD176*Valores!$C$2)*100)+0.5)/100</f>
        <v>0</v>
      </c>
      <c r="AF176" s="80">
        <f>Valores!$C$51</f>
        <v>267.87</v>
      </c>
      <c r="AG176" s="80">
        <f>Valores!$C$52</f>
        <v>76.540000000000006</v>
      </c>
      <c r="AH176" s="80">
        <f ca="1">SUM(G176,I176,K176,M176,N176,O176,P176,Q176,R176,S176,U176,V176,W176,Y176,Z176,AA176,AB176,AC176,AE176,AF176,AG176)*Valores!$C$54</f>
        <v>0</v>
      </c>
      <c r="AI176" s="142">
        <f t="shared" ca="1" si="25"/>
        <v>49183.390000000007</v>
      </c>
      <c r="AJ176" s="85">
        <f>Valores!$C$35</f>
        <v>182.07</v>
      </c>
      <c r="AK176" s="82">
        <f>Valores!$C$9</f>
        <v>306.14</v>
      </c>
      <c r="AL176" s="90">
        <v>0</v>
      </c>
      <c r="AM176" s="82">
        <f ca="1">IF($G$4="SI",SUM(AK176+AL176),AK176)*Valores!$C$54</f>
        <v>0</v>
      </c>
      <c r="AN176" s="186">
        <f t="shared" ca="1" si="26"/>
        <v>488.21</v>
      </c>
      <c r="AO176" s="155">
        <f ca="1">AI176*-Valores!$C$56</f>
        <v>-6393.8407000000007</v>
      </c>
      <c r="AP176" s="155">
        <f ca="1">AI176*-Valores!$C$57</f>
        <v>-245.91695000000004</v>
      </c>
      <c r="AQ176" s="81">
        <f ca="1">AI176*-Valores!$C$58</f>
        <v>-2213.2525500000002</v>
      </c>
      <c r="AR176" s="81">
        <f ca="1">AI176*-Valores!$C$59</f>
        <v>-1327.9515300000003</v>
      </c>
      <c r="AS176" s="81">
        <f ca="1">AI176*-Valores!$C$60</f>
        <v>-147.55017000000004</v>
      </c>
      <c r="AT176" s="54">
        <f t="shared" ca="1" si="23"/>
        <v>40818.589800000009</v>
      </c>
      <c r="AU176" s="54">
        <f t="shared" ca="1" si="24"/>
        <v>41556.340650000006</v>
      </c>
      <c r="AV176" s="81">
        <f ca="1">AI176*Valores!$C$61</f>
        <v>7869.3424000000014</v>
      </c>
      <c r="AW176" s="81">
        <f ca="1">AI176*Valores!$C$62</f>
        <v>2213.2525500000002</v>
      </c>
      <c r="AX176" s="81">
        <f ca="1">AI176*Valores!$C$64</f>
        <v>491.83390000000009</v>
      </c>
      <c r="AY176" s="81">
        <f ca="1">AI176*Valores!$C$65</f>
        <v>1721.4186500000003</v>
      </c>
      <c r="AZ176" s="81">
        <f ca="1">AI176*Valores!$C$66</f>
        <v>295.10034000000007</v>
      </c>
      <c r="BA176" s="81">
        <f t="shared" ca="1" si="27"/>
        <v>2655.9030600000006</v>
      </c>
      <c r="BB176" s="55"/>
      <c r="BC176" s="55">
        <v>45</v>
      </c>
      <c r="BD176" s="52" t="s">
        <v>467</v>
      </c>
    </row>
    <row r="177" spans="1:56" s="9" customFormat="1" ht="11.25" customHeight="1" x14ac:dyDescent="0.15">
      <c r="A177" s="20">
        <v>176</v>
      </c>
      <c r="B177" s="20"/>
      <c r="C177" s="9" t="s">
        <v>324</v>
      </c>
      <c r="E177" s="10" t="s">
        <v>325</v>
      </c>
      <c r="F177" s="123">
        <v>160</v>
      </c>
      <c r="G177" s="7">
        <f ca="1">INT((F177*Valores!$C$2*100)+0.5)/100</f>
        <v>821.55</v>
      </c>
      <c r="H177" s="134">
        <f>1484</f>
        <v>1484</v>
      </c>
      <c r="I177" s="77">
        <f ca="1">INT((H177*Valores!$C$2*100)+0.5)/100</f>
        <v>7619.89</v>
      </c>
      <c r="J177" s="147">
        <v>0</v>
      </c>
      <c r="K177" s="77">
        <f ca="1">INT((J177*Valores!$C$2*100)+0.5)/100</f>
        <v>0</v>
      </c>
      <c r="L177" s="120">
        <v>1300</v>
      </c>
      <c r="M177" s="77">
        <f ca="1">INT((L177*Valores!$C$2*100)+0.5)/100</f>
        <v>6675.11</v>
      </c>
      <c r="N177" s="77">
        <f t="shared" ca="1" si="28"/>
        <v>0</v>
      </c>
      <c r="O177" s="77">
        <f t="shared" ca="1" si="29"/>
        <v>16255.24</v>
      </c>
      <c r="P177" s="61">
        <f>Valores!$C$16</f>
        <v>3165.05</v>
      </c>
      <c r="Q177" s="61">
        <f ca="1">Valores!$D$4</f>
        <v>2296.75</v>
      </c>
      <c r="R177" s="61">
        <f>Valores!$C$26</f>
        <v>2298.92</v>
      </c>
      <c r="S177" s="87">
        <f>Valores!$C$43</f>
        <v>1138.69</v>
      </c>
      <c r="T177" s="77">
        <f>Valores!$C$23</f>
        <v>2221.56</v>
      </c>
      <c r="U177" s="77">
        <f t="shared" ref="U177:U240" ca="1" si="30">T177*(1+$I$2)</f>
        <v>4443.12</v>
      </c>
      <c r="V177" s="77">
        <v>0</v>
      </c>
      <c r="W177" s="77">
        <v>0</v>
      </c>
      <c r="X177" s="116">
        <v>0</v>
      </c>
      <c r="Y177" s="77">
        <f ca="1">X177*Valores!$C$2</f>
        <v>0</v>
      </c>
      <c r="Z177" s="77">
        <v>0</v>
      </c>
      <c r="AA177" s="89">
        <f>Valores!$C$29</f>
        <v>131.68</v>
      </c>
      <c r="AB177" s="77">
        <f t="shared" ca="1" si="22"/>
        <v>0</v>
      </c>
      <c r="AC177" s="77">
        <f>Valores!$C$30</f>
        <v>131.68</v>
      </c>
      <c r="AD177" s="116">
        <v>0</v>
      </c>
      <c r="AE177" s="77">
        <f ca="1">INT(((AD177*Valores!$C$2)*100)+0.5)/100</f>
        <v>0</v>
      </c>
      <c r="AF177" s="77">
        <f>Valores!$C$51</f>
        <v>267.87</v>
      </c>
      <c r="AG177" s="77">
        <f>Valores!$C$52</f>
        <v>76.540000000000006</v>
      </c>
      <c r="AH177" s="77">
        <f ca="1">SUM(G177,I177,K177,M177,N177,O177,P177,Q177,R177,S177,U177,V177,W177,Y177,Z177,AA177,AB177,AC177,AE177,AF177,AG177)*Valores!$C$54</f>
        <v>0</v>
      </c>
      <c r="AI177" s="141">
        <f t="shared" ca="1" si="25"/>
        <v>45322.090000000011</v>
      </c>
      <c r="AJ177" s="61">
        <f>Valores!$C$35</f>
        <v>182.07</v>
      </c>
      <c r="AK177" s="79">
        <f>Valores!$C$9</f>
        <v>306.14</v>
      </c>
      <c r="AL177" s="89">
        <v>224.5</v>
      </c>
      <c r="AM177" s="79">
        <f ca="1">IF($G$4="SI",SUM(AK177+AL177),AK177)*Valores!$C$54</f>
        <v>0</v>
      </c>
      <c r="AN177" s="12">
        <f t="shared" ca="1" si="26"/>
        <v>712.71</v>
      </c>
      <c r="AO177" s="13">
        <f ca="1">AI177*-Valores!$C$56</f>
        <v>-5891.8717000000015</v>
      </c>
      <c r="AP177" s="13">
        <f ca="1">AI177*-Valores!$C$57</f>
        <v>-226.61045000000007</v>
      </c>
      <c r="AQ177" s="78">
        <f ca="1">AI177*-Valores!$C$58</f>
        <v>-2039.4940500000005</v>
      </c>
      <c r="AR177" s="78">
        <f ca="1">AI177*-Valores!$C$59</f>
        <v>-1223.6964300000004</v>
      </c>
      <c r="AS177" s="78">
        <f ca="1">AI177*-Valores!$C$60</f>
        <v>-135.96627000000004</v>
      </c>
      <c r="AT177" s="15">
        <f t="shared" ca="1" si="23"/>
        <v>37876.823800000006</v>
      </c>
      <c r="AU177" s="15">
        <f t="shared" ca="1" si="24"/>
        <v>38556.655150000006</v>
      </c>
      <c r="AV177" s="78">
        <f ca="1">AI177*Valores!$C$61</f>
        <v>7251.5344000000023</v>
      </c>
      <c r="AW177" s="78">
        <f ca="1">AI177*Valores!$C$62</f>
        <v>2039.4940500000005</v>
      </c>
      <c r="AX177" s="78">
        <f ca="1">AI177*Valores!$C$64</f>
        <v>453.22090000000014</v>
      </c>
      <c r="AY177" s="78">
        <f ca="1">AI177*Valores!$C$65</f>
        <v>1586.2731500000004</v>
      </c>
      <c r="AZ177" s="78">
        <f ca="1">AI177*Valores!$C$66</f>
        <v>271.93254000000007</v>
      </c>
      <c r="BA177" s="78">
        <f t="shared" ca="1" si="27"/>
        <v>2447.3928600000008</v>
      </c>
      <c r="BB177" s="20"/>
      <c r="BC177" s="20">
        <v>45</v>
      </c>
      <c r="BD177" s="9" t="s">
        <v>467</v>
      </c>
    </row>
    <row r="178" spans="1:56" s="9" customFormat="1" ht="11.25" customHeight="1" x14ac:dyDescent="0.15">
      <c r="A178" s="20">
        <v>177</v>
      </c>
      <c r="B178" s="20"/>
      <c r="C178" s="9" t="s">
        <v>326</v>
      </c>
      <c r="E178" s="10" t="s">
        <v>327</v>
      </c>
      <c r="F178" s="123">
        <v>178</v>
      </c>
      <c r="G178" s="7">
        <f ca="1">INT((F178*Valores!$C$2*100)+0.5)/100</f>
        <v>913.98</v>
      </c>
      <c r="H178" s="134">
        <f>1842</f>
        <v>1842</v>
      </c>
      <c r="I178" s="77">
        <f ca="1">INT((H178*Valores!$C$2*100)+0.5)/100</f>
        <v>9458.1200000000008</v>
      </c>
      <c r="J178" s="147">
        <v>0</v>
      </c>
      <c r="K178" s="77">
        <f ca="1">INT((J178*Valores!$C$2*100)+0.5)/100</f>
        <v>0</v>
      </c>
      <c r="L178" s="120">
        <v>1300</v>
      </c>
      <c r="M178" s="77">
        <f ca="1">INT((L178*Valores!$C$2*100)+0.5)/100</f>
        <v>6675.11</v>
      </c>
      <c r="N178" s="77">
        <f t="shared" ca="1" si="28"/>
        <v>0</v>
      </c>
      <c r="O178" s="77">
        <f t="shared" ca="1" si="29"/>
        <v>18185.899999999998</v>
      </c>
      <c r="P178" s="61">
        <f>Valores!$C$16</f>
        <v>3165.05</v>
      </c>
      <c r="Q178" s="61">
        <f ca="1">Valores!$D$4</f>
        <v>2296.75</v>
      </c>
      <c r="R178" s="77">
        <f>Valores!$C$26</f>
        <v>2298.92</v>
      </c>
      <c r="S178" s="79">
        <f>Valores!$C$43</f>
        <v>1138.69</v>
      </c>
      <c r="T178" s="77">
        <f>Valores!$C$23</f>
        <v>2221.56</v>
      </c>
      <c r="U178" s="77">
        <f t="shared" ca="1" si="30"/>
        <v>4443.12</v>
      </c>
      <c r="V178" s="77">
        <v>0</v>
      </c>
      <c r="W178" s="77">
        <v>0</v>
      </c>
      <c r="X178" s="116">
        <v>0</v>
      </c>
      <c r="Y178" s="77">
        <f ca="1">X178*Valores!$C$2</f>
        <v>0</v>
      </c>
      <c r="Z178" s="77">
        <v>0</v>
      </c>
      <c r="AA178" s="89">
        <f>Valores!$C$29</f>
        <v>131.68</v>
      </c>
      <c r="AB178" s="77">
        <f t="shared" ca="1" si="22"/>
        <v>0</v>
      </c>
      <c r="AC178" s="77">
        <f>Valores!$C$30</f>
        <v>131.68</v>
      </c>
      <c r="AD178" s="116">
        <v>0</v>
      </c>
      <c r="AE178" s="77">
        <f ca="1">INT(((AD178*Valores!$C$2)*100)+0.5)/100</f>
        <v>0</v>
      </c>
      <c r="AF178" s="77">
        <f>Valores!$C$51</f>
        <v>267.87</v>
      </c>
      <c r="AG178" s="77">
        <f>Valores!$C$52</f>
        <v>76.540000000000006</v>
      </c>
      <c r="AH178" s="77">
        <f ca="1">SUM(G178,I178,K178,M178,N178,O178,P178,Q178,R178,S178,U178,V178,W178,Y178,Z178,AA178,AB178,AC178,AE178,AF178,AG178)*Valores!$C$54</f>
        <v>0</v>
      </c>
      <c r="AI178" s="141">
        <f t="shared" ca="1" si="25"/>
        <v>49183.410000000011</v>
      </c>
      <c r="AJ178" s="61">
        <f>Valores!$C$35</f>
        <v>182.07</v>
      </c>
      <c r="AK178" s="79">
        <f>Valores!$C$9</f>
        <v>306.14</v>
      </c>
      <c r="AL178" s="89">
        <v>0</v>
      </c>
      <c r="AM178" s="79">
        <f ca="1">IF($G$4="SI",SUM(AK178+AL178),AK178)*Valores!$C$54</f>
        <v>0</v>
      </c>
      <c r="AN178" s="12">
        <f t="shared" ca="1" si="26"/>
        <v>488.21</v>
      </c>
      <c r="AO178" s="13">
        <f ca="1">AI178*-Valores!$C$56</f>
        <v>-6393.8433000000014</v>
      </c>
      <c r="AP178" s="13">
        <f ca="1">AI178*-Valores!$C$57</f>
        <v>-245.91705000000005</v>
      </c>
      <c r="AQ178" s="78">
        <f ca="1">AI178*-Valores!$C$58</f>
        <v>-2213.2534500000006</v>
      </c>
      <c r="AR178" s="78">
        <f ca="1">AI178*-Valores!$C$59</f>
        <v>-1327.9520700000005</v>
      </c>
      <c r="AS178" s="78">
        <f ca="1">AI178*-Valores!$C$60</f>
        <v>-147.55023000000003</v>
      </c>
      <c r="AT178" s="15">
        <f t="shared" ca="1" si="23"/>
        <v>40818.606200000002</v>
      </c>
      <c r="AU178" s="15">
        <f t="shared" ca="1" si="24"/>
        <v>41556.357350000006</v>
      </c>
      <c r="AV178" s="78">
        <f ca="1">AI178*Valores!$C$61</f>
        <v>7869.3456000000015</v>
      </c>
      <c r="AW178" s="78">
        <f ca="1">AI178*Valores!$C$62</f>
        <v>2213.2534500000006</v>
      </c>
      <c r="AX178" s="78">
        <f ca="1">AI178*Valores!$C$64</f>
        <v>491.83410000000009</v>
      </c>
      <c r="AY178" s="78">
        <f ca="1">AI178*Valores!$C$65</f>
        <v>1721.4193500000006</v>
      </c>
      <c r="AZ178" s="78">
        <f ca="1">AI178*Valores!$C$66</f>
        <v>295.10046000000006</v>
      </c>
      <c r="BA178" s="78">
        <f t="shared" ca="1" si="27"/>
        <v>2655.9041400000006</v>
      </c>
      <c r="BB178" s="20"/>
      <c r="BC178" s="20">
        <v>45</v>
      </c>
      <c r="BD178" s="9" t="s">
        <v>467</v>
      </c>
    </row>
    <row r="179" spans="1:56" s="9" customFormat="1" ht="11.25" customHeight="1" x14ac:dyDescent="0.15">
      <c r="A179" s="20">
        <v>178</v>
      </c>
      <c r="B179" s="20"/>
      <c r="C179" s="9" t="s">
        <v>328</v>
      </c>
      <c r="E179" s="10" t="s">
        <v>329</v>
      </c>
      <c r="F179" s="123">
        <v>1278</v>
      </c>
      <c r="G179" s="7">
        <f ca="1">INT((F179*Valores!$C$2*100)+0.5)/100</f>
        <v>6562.15</v>
      </c>
      <c r="H179" s="134">
        <v>0</v>
      </c>
      <c r="I179" s="77">
        <f ca="1">INT((H179*Valores!$C$2*100)+0.5)/100</f>
        <v>0</v>
      </c>
      <c r="J179" s="147">
        <v>0</v>
      </c>
      <c r="K179" s="77">
        <f ca="1">INT((J179*Valores!$C$2*100)+0.5)/100</f>
        <v>0</v>
      </c>
      <c r="L179" s="120">
        <v>1200</v>
      </c>
      <c r="M179" s="77">
        <f ca="1">INT((L179*Valores!$C$2*100)+0.5)/100</f>
        <v>6161.64</v>
      </c>
      <c r="N179" s="77">
        <f t="shared" ca="1" si="28"/>
        <v>0</v>
      </c>
      <c r="O179" s="77">
        <f t="shared" ca="1" si="29"/>
        <v>13862.480000000001</v>
      </c>
      <c r="P179" s="61">
        <f>Valores!$C$20</f>
        <v>2991.57</v>
      </c>
      <c r="Q179" s="61">
        <f ca="1">Valores!$D$4</f>
        <v>2296.75</v>
      </c>
      <c r="R179" s="61">
        <f>Valores!$C$26</f>
        <v>2298.92</v>
      </c>
      <c r="S179" s="87">
        <f>Valores!$C$43</f>
        <v>1138.69</v>
      </c>
      <c r="T179" s="77">
        <f>Valores!$C$23</f>
        <v>2221.56</v>
      </c>
      <c r="U179" s="77">
        <f t="shared" ca="1" si="30"/>
        <v>4443.12</v>
      </c>
      <c r="V179" s="77">
        <v>0</v>
      </c>
      <c r="W179" s="77">
        <v>0</v>
      </c>
      <c r="X179" s="116">
        <v>0</v>
      </c>
      <c r="Y179" s="77">
        <f ca="1">X179*Valores!$C$2</f>
        <v>0</v>
      </c>
      <c r="Z179" s="77">
        <v>0</v>
      </c>
      <c r="AA179" s="89">
        <f>Valores!$C$29</f>
        <v>131.68</v>
      </c>
      <c r="AB179" s="77">
        <f t="shared" ca="1" si="22"/>
        <v>0</v>
      </c>
      <c r="AC179" s="77">
        <f>Valores!$C$30</f>
        <v>131.68</v>
      </c>
      <c r="AD179" s="116">
        <v>0</v>
      </c>
      <c r="AE179" s="77">
        <f ca="1">INT(((AD179*Valores!$C$2)*100)+0.5)/100</f>
        <v>0</v>
      </c>
      <c r="AF179" s="77">
        <f>Valores!$C$51</f>
        <v>267.87</v>
      </c>
      <c r="AG179" s="77">
        <f>Valores!$C$52</f>
        <v>76.540000000000006</v>
      </c>
      <c r="AH179" s="77">
        <f ca="1">SUM(G179,I179,K179,M179,N179,O179,P179,Q179,R179,S179,U179,V179,W179,Y179,Z179,AA179,AB179,AC179,AE179,AF179,AG179)*Valores!$C$54</f>
        <v>0</v>
      </c>
      <c r="AI179" s="141">
        <f t="shared" ca="1" si="25"/>
        <v>40363.090000000011</v>
      </c>
      <c r="AJ179" s="61">
        <f>Valores!$C$35</f>
        <v>182.07</v>
      </c>
      <c r="AK179" s="79">
        <f>Valores!$C$9</f>
        <v>306.14</v>
      </c>
      <c r="AL179" s="89">
        <v>224.5</v>
      </c>
      <c r="AM179" s="79">
        <f ca="1">IF($G$4="SI",SUM(AK179+AL179),AK179)*Valores!$C$54</f>
        <v>0</v>
      </c>
      <c r="AN179" s="12">
        <f t="shared" ca="1" si="26"/>
        <v>712.71</v>
      </c>
      <c r="AO179" s="13">
        <f ca="1">AI179*-Valores!$C$56</f>
        <v>-5247.2017000000014</v>
      </c>
      <c r="AP179" s="13">
        <f ca="1">AI179*-Valores!$C$57</f>
        <v>-201.81545000000006</v>
      </c>
      <c r="AQ179" s="78">
        <f ca="1">AI179*-Valores!$C$58</f>
        <v>-1816.3390500000005</v>
      </c>
      <c r="AR179" s="78">
        <f ca="1">AI179*-Valores!$C$59</f>
        <v>-1089.8034300000004</v>
      </c>
      <c r="AS179" s="78">
        <f ca="1">AI179*-Valores!$C$60</f>
        <v>-121.08927000000004</v>
      </c>
      <c r="AT179" s="15">
        <f t="shared" ca="1" si="23"/>
        <v>33810.443800000008</v>
      </c>
      <c r="AU179" s="15">
        <f t="shared" ca="1" si="24"/>
        <v>34415.890150000007</v>
      </c>
      <c r="AV179" s="78">
        <f ca="1">AI179*Valores!$C$61</f>
        <v>6458.0944000000018</v>
      </c>
      <c r="AW179" s="78">
        <f ca="1">AI179*Valores!$C$62</f>
        <v>1816.3390500000005</v>
      </c>
      <c r="AX179" s="78">
        <f ca="1">AI179*Valores!$C$64</f>
        <v>403.63090000000011</v>
      </c>
      <c r="AY179" s="78">
        <f ca="1">AI179*Valores!$C$65</f>
        <v>1412.7081500000006</v>
      </c>
      <c r="AZ179" s="78">
        <f ca="1">AI179*Valores!$C$66</f>
        <v>242.17854000000008</v>
      </c>
      <c r="BA179" s="78">
        <f t="shared" ca="1" si="27"/>
        <v>2179.6068600000008</v>
      </c>
      <c r="BB179" s="20"/>
      <c r="BC179" s="55"/>
      <c r="BD179" s="9" t="s">
        <v>467</v>
      </c>
    </row>
    <row r="180" spans="1:56" s="9" customFormat="1" ht="11.25" customHeight="1" x14ac:dyDescent="0.15">
      <c r="A180" s="20">
        <v>179</v>
      </c>
      <c r="B180" s="20"/>
      <c r="C180" s="9" t="s">
        <v>330</v>
      </c>
      <c r="E180" s="10" t="s">
        <v>331</v>
      </c>
      <c r="F180" s="123">
        <v>971</v>
      </c>
      <c r="G180" s="7">
        <f ca="1">INT((F180*Valores!$C$2*100)+0.5)/100</f>
        <v>4985.79</v>
      </c>
      <c r="H180" s="134">
        <v>0</v>
      </c>
      <c r="I180" s="77">
        <f ca="1">INT((H180*Valores!$C$2*100)+0.5)/100</f>
        <v>0</v>
      </c>
      <c r="J180" s="147">
        <v>0</v>
      </c>
      <c r="K180" s="77">
        <f ca="1">INT((J180*Valores!$C$2*100)+0.5)/100</f>
        <v>0</v>
      </c>
      <c r="L180" s="120">
        <v>660</v>
      </c>
      <c r="M180" s="77">
        <f ca="1">INT((L180*Valores!$C$2*100)+0.5)/100</f>
        <v>3388.9</v>
      </c>
      <c r="N180" s="77">
        <f t="shared" ca="1" si="28"/>
        <v>0</v>
      </c>
      <c r="O180" s="77">
        <f t="shared" ca="1" si="29"/>
        <v>9513.380000000001</v>
      </c>
      <c r="P180" s="61">
        <f>Valores!$C$20</f>
        <v>2991.57</v>
      </c>
      <c r="Q180" s="61">
        <f ca="1">Valores!$D$4</f>
        <v>2296.75</v>
      </c>
      <c r="R180" s="61">
        <f>Valores!$C$26</f>
        <v>2298.92</v>
      </c>
      <c r="S180" s="87">
        <f>Valores!$C$43</f>
        <v>1138.69</v>
      </c>
      <c r="T180" s="77">
        <f>Valores!$C$23</f>
        <v>2221.56</v>
      </c>
      <c r="U180" s="77">
        <f t="shared" ca="1" si="30"/>
        <v>4443.12</v>
      </c>
      <c r="V180" s="77">
        <v>0</v>
      </c>
      <c r="W180" s="77">
        <v>0</v>
      </c>
      <c r="X180" s="116">
        <v>0</v>
      </c>
      <c r="Y180" s="77">
        <f ca="1">X180*Valores!$C$2</f>
        <v>0</v>
      </c>
      <c r="Z180" s="77">
        <v>0</v>
      </c>
      <c r="AA180" s="89">
        <f>Valores!$C$29</f>
        <v>131.68</v>
      </c>
      <c r="AB180" s="77">
        <f t="shared" ca="1" si="22"/>
        <v>0</v>
      </c>
      <c r="AC180" s="77">
        <f>Valores!$C$30</f>
        <v>131.68</v>
      </c>
      <c r="AD180" s="116">
        <v>0</v>
      </c>
      <c r="AE180" s="77">
        <f ca="1">INT(((AD180*Valores!$C$2)*100)+0.5)/100</f>
        <v>0</v>
      </c>
      <c r="AF180" s="77">
        <f>Valores!$C$51</f>
        <v>267.87</v>
      </c>
      <c r="AG180" s="77">
        <f>Valores!$C$52</f>
        <v>76.540000000000006</v>
      </c>
      <c r="AH180" s="77">
        <f ca="1">SUM(G180,I180,K180,M180,N180,O180,P180,Q180,R180,S180,U180,V180,W180,Y180,Z180,AA180,AB180,AC180,AE180,AF180,AG180)*Valores!$C$54</f>
        <v>0</v>
      </c>
      <c r="AI180" s="141">
        <f t="shared" ca="1" si="25"/>
        <v>31664.889999999996</v>
      </c>
      <c r="AJ180" s="61">
        <f>Valores!$C$35</f>
        <v>182.07</v>
      </c>
      <c r="AK180" s="79">
        <f>Valores!$C$9</f>
        <v>306.14</v>
      </c>
      <c r="AL180" s="89">
        <v>224.5</v>
      </c>
      <c r="AM180" s="79">
        <f ca="1">IF($G$4="SI",SUM(AK180+AL180),AK180)*Valores!$C$54</f>
        <v>0</v>
      </c>
      <c r="AN180" s="12">
        <f t="shared" ca="1" si="26"/>
        <v>712.71</v>
      </c>
      <c r="AO180" s="13">
        <f ca="1">AI180*-Valores!$C$56</f>
        <v>-4116.4357</v>
      </c>
      <c r="AP180" s="13">
        <f ca="1">AI180*-Valores!$C$57</f>
        <v>-158.32444999999998</v>
      </c>
      <c r="AQ180" s="78">
        <f ca="1">AI180*-Valores!$C$58</f>
        <v>-1424.9200499999997</v>
      </c>
      <c r="AR180" s="78">
        <f ca="1">AI180*-Valores!$C$59</f>
        <v>-854.95203000000004</v>
      </c>
      <c r="AS180" s="78">
        <f ca="1">AI180*-Valores!$C$60</f>
        <v>-94.994669999999985</v>
      </c>
      <c r="AT180" s="15">
        <f t="shared" ca="1" si="23"/>
        <v>26677.919799999996</v>
      </c>
      <c r="AU180" s="15">
        <f t="shared" ca="1" si="24"/>
        <v>27152.893149999996</v>
      </c>
      <c r="AV180" s="78">
        <f ca="1">AI180*Valores!$C$61</f>
        <v>5066.3823999999995</v>
      </c>
      <c r="AW180" s="78">
        <f ca="1">AI180*Valores!$C$62</f>
        <v>1424.9200499999997</v>
      </c>
      <c r="AX180" s="78">
        <f ca="1">AI180*Valores!$C$64</f>
        <v>316.64889999999997</v>
      </c>
      <c r="AY180" s="78">
        <f ca="1">AI180*Valores!$C$65</f>
        <v>1108.27115</v>
      </c>
      <c r="AZ180" s="78">
        <f ca="1">AI180*Valores!$C$66</f>
        <v>189.98933999999997</v>
      </c>
      <c r="BA180" s="78">
        <f t="shared" ca="1" si="27"/>
        <v>1709.9040599999998</v>
      </c>
      <c r="BB180" s="20"/>
      <c r="BC180" s="20">
        <v>18</v>
      </c>
      <c r="BD180" s="9" t="s">
        <v>467</v>
      </c>
    </row>
    <row r="181" spans="1:56" s="9" customFormat="1" ht="11.25" customHeight="1" x14ac:dyDescent="0.15">
      <c r="A181" s="55">
        <v>180</v>
      </c>
      <c r="B181" s="55" t="s">
        <v>462</v>
      </c>
      <c r="C181" s="52" t="s">
        <v>332</v>
      </c>
      <c r="D181" s="52"/>
      <c r="E181" s="53" t="s">
        <v>333</v>
      </c>
      <c r="F181" s="124">
        <v>213</v>
      </c>
      <c r="G181" s="129">
        <f ca="1">INT((F181*Valores!$C$2*100)+0.5)/100</f>
        <v>1093.69</v>
      </c>
      <c r="H181" s="133">
        <f>1835</f>
        <v>1835</v>
      </c>
      <c r="I181" s="80">
        <f ca="1">INT((H181*Valores!$C$2*100)+0.5)/100</f>
        <v>9422.17</v>
      </c>
      <c r="J181" s="148">
        <v>0</v>
      </c>
      <c r="K181" s="80">
        <f ca="1">INT((J181*Valores!$C$2*100)+0.5)/100</f>
        <v>0</v>
      </c>
      <c r="L181" s="121">
        <v>1300</v>
      </c>
      <c r="M181" s="80">
        <f ca="1">INT((L181*Valores!$C$2*100)+0.5)/100</f>
        <v>6675.11</v>
      </c>
      <c r="N181" s="80">
        <f t="shared" ca="1" si="28"/>
        <v>0</v>
      </c>
      <c r="O181" s="80">
        <f t="shared" ca="1" si="29"/>
        <v>18329.66</v>
      </c>
      <c r="P181" s="85">
        <f>Valores!$C$16</f>
        <v>3165.05</v>
      </c>
      <c r="Q181" s="85">
        <f ca="1">Valores!$D$4</f>
        <v>2296.75</v>
      </c>
      <c r="R181" s="85">
        <f>Valores!$C$26</f>
        <v>2298.92</v>
      </c>
      <c r="S181" s="88">
        <f>Valores!$C$43</f>
        <v>1138.69</v>
      </c>
      <c r="T181" s="80">
        <f>Valores!$C$23</f>
        <v>2221.56</v>
      </c>
      <c r="U181" s="80">
        <f t="shared" ca="1" si="30"/>
        <v>4443.12</v>
      </c>
      <c r="V181" s="80">
        <v>0</v>
      </c>
      <c r="W181" s="80">
        <v>0</v>
      </c>
      <c r="X181" s="115">
        <v>0</v>
      </c>
      <c r="Y181" s="80">
        <f ca="1">X181*Valores!$C$2</f>
        <v>0</v>
      </c>
      <c r="Z181" s="80">
        <v>0</v>
      </c>
      <c r="AA181" s="90">
        <f>Valores!$C$29</f>
        <v>131.68</v>
      </c>
      <c r="AB181" s="80">
        <f t="shared" ca="1" si="22"/>
        <v>0</v>
      </c>
      <c r="AC181" s="80">
        <f>Valores!$C$30</f>
        <v>131.68</v>
      </c>
      <c r="AD181" s="115">
        <v>0</v>
      </c>
      <c r="AE181" s="80">
        <f ca="1">INT(((AD181*Valores!$C$2)*100)+0.5)/100</f>
        <v>0</v>
      </c>
      <c r="AF181" s="80">
        <f>Valores!$C$51</f>
        <v>267.87</v>
      </c>
      <c r="AG181" s="80">
        <f>Valores!$C$52</f>
        <v>76.540000000000006</v>
      </c>
      <c r="AH181" s="80">
        <f ca="1">SUM(G181,I181,K181,M181,N181,O181,P181,Q181,R181,S181,U181,V181,W181,Y181,Z181,AA181,AB181,AC181,AE181,AF181,AG181)*Valores!$C$54</f>
        <v>0</v>
      </c>
      <c r="AI181" s="142">
        <f t="shared" ca="1" si="25"/>
        <v>49470.930000000015</v>
      </c>
      <c r="AJ181" s="85">
        <f>Valores!$C$35</f>
        <v>182.07</v>
      </c>
      <c r="AK181" s="82">
        <f>Valores!$C$9</f>
        <v>306.14</v>
      </c>
      <c r="AL181" s="90">
        <v>0</v>
      </c>
      <c r="AM181" s="82">
        <f ca="1">IF($G$4="SI",SUM(AK181+AL181),AK181)*Valores!$C$54</f>
        <v>0</v>
      </c>
      <c r="AN181" s="186">
        <f t="shared" ca="1" si="26"/>
        <v>488.21</v>
      </c>
      <c r="AO181" s="155">
        <f ca="1">AI181*-Valores!$C$56</f>
        <v>-6431.2209000000021</v>
      </c>
      <c r="AP181" s="155">
        <f ca="1">AI181*-Valores!$C$57</f>
        <v>-247.35465000000008</v>
      </c>
      <c r="AQ181" s="81">
        <f ca="1">AI181*-Valores!$C$58</f>
        <v>-2226.1918500000006</v>
      </c>
      <c r="AR181" s="81">
        <f ca="1">AI181*-Valores!$C$59</f>
        <v>-1335.7151100000005</v>
      </c>
      <c r="AS181" s="81">
        <f ca="1">AI181*-Valores!$C$60</f>
        <v>-148.41279000000006</v>
      </c>
      <c r="AT181" s="54">
        <f t="shared" ca="1" si="23"/>
        <v>41054.37260000001</v>
      </c>
      <c r="AU181" s="54">
        <f t="shared" ca="1" si="24"/>
        <v>41796.436550000013</v>
      </c>
      <c r="AV181" s="81">
        <f ca="1">AI181*Valores!$C$61</f>
        <v>7915.3488000000025</v>
      </c>
      <c r="AW181" s="81">
        <f ca="1">AI181*Valores!$C$62</f>
        <v>2226.1918500000006</v>
      </c>
      <c r="AX181" s="81">
        <f ca="1">AI181*Valores!$C$64</f>
        <v>494.70930000000016</v>
      </c>
      <c r="AY181" s="81">
        <f ca="1">AI181*Valores!$C$65</f>
        <v>1731.4825500000006</v>
      </c>
      <c r="AZ181" s="81">
        <f ca="1">AI181*Valores!$C$66</f>
        <v>296.82558000000012</v>
      </c>
      <c r="BA181" s="81">
        <f t="shared" ca="1" si="27"/>
        <v>2671.4302200000011</v>
      </c>
      <c r="BB181" s="55"/>
      <c r="BC181" s="55">
        <v>45</v>
      </c>
      <c r="BD181" s="52" t="s">
        <v>467</v>
      </c>
    </row>
    <row r="182" spans="1:56" s="9" customFormat="1" ht="11.25" customHeight="1" x14ac:dyDescent="0.15">
      <c r="A182" s="20">
        <v>181</v>
      </c>
      <c r="B182" s="20"/>
      <c r="C182" s="9" t="s">
        <v>334</v>
      </c>
      <c r="E182" s="10" t="s">
        <v>335</v>
      </c>
      <c r="F182" s="123">
        <v>185</v>
      </c>
      <c r="G182" s="7">
        <f ca="1">INT((F182*Valores!$C$2*100)+0.5)/100</f>
        <v>949.92</v>
      </c>
      <c r="H182" s="134">
        <f>1835</f>
        <v>1835</v>
      </c>
      <c r="I182" s="77">
        <f ca="1">INT((H182*Valores!$C$2*100)+0.5)/100</f>
        <v>9422.17</v>
      </c>
      <c r="J182" s="147">
        <v>0</v>
      </c>
      <c r="K182" s="77">
        <f ca="1">INT((J182*Valores!$C$2*100)+0.5)/100</f>
        <v>0</v>
      </c>
      <c r="L182" s="120">
        <v>1300</v>
      </c>
      <c r="M182" s="77">
        <f ca="1">INT((L182*Valores!$C$2*100)+0.5)/100</f>
        <v>6675.11</v>
      </c>
      <c r="N182" s="77">
        <f t="shared" ca="1" si="28"/>
        <v>0</v>
      </c>
      <c r="O182" s="77">
        <f t="shared" ca="1" si="29"/>
        <v>18185.89</v>
      </c>
      <c r="P182" s="61">
        <f>Valores!$C$16</f>
        <v>3165.05</v>
      </c>
      <c r="Q182" s="61">
        <f ca="1">Valores!$D$4</f>
        <v>2296.75</v>
      </c>
      <c r="R182" s="61">
        <f>Valores!$C$26</f>
        <v>2298.92</v>
      </c>
      <c r="S182" s="87">
        <f>Valores!$C$43</f>
        <v>1138.69</v>
      </c>
      <c r="T182" s="77">
        <f>Valores!$C$23</f>
        <v>2221.56</v>
      </c>
      <c r="U182" s="77">
        <f t="shared" ca="1" si="30"/>
        <v>4443.12</v>
      </c>
      <c r="V182" s="77">
        <v>0</v>
      </c>
      <c r="W182" s="77">
        <v>0</v>
      </c>
      <c r="X182" s="116">
        <v>0</v>
      </c>
      <c r="Y182" s="77">
        <f ca="1">X182*Valores!$C$2</f>
        <v>0</v>
      </c>
      <c r="Z182" s="77">
        <v>0</v>
      </c>
      <c r="AA182" s="89">
        <f>Valores!$C$29</f>
        <v>131.68</v>
      </c>
      <c r="AB182" s="77">
        <f t="shared" ca="1" si="22"/>
        <v>0</v>
      </c>
      <c r="AC182" s="77">
        <f>Valores!$C$30</f>
        <v>131.68</v>
      </c>
      <c r="AD182" s="116">
        <v>0</v>
      </c>
      <c r="AE182" s="77">
        <f ca="1">INT(((AD182*Valores!$C$2)*100)+0.5)/100</f>
        <v>0</v>
      </c>
      <c r="AF182" s="77">
        <f>Valores!$C$51</f>
        <v>267.87</v>
      </c>
      <c r="AG182" s="77">
        <f>Valores!$C$52</f>
        <v>76.540000000000006</v>
      </c>
      <c r="AH182" s="77">
        <f ca="1">SUM(G182,I182,K182,M182,N182,O182,P182,Q182,R182,S182,U182,V182,W182,Y182,Z182,AA182,AB182,AC182,AE182,AF182,AG182)*Valores!$C$54</f>
        <v>0</v>
      </c>
      <c r="AI182" s="141">
        <f t="shared" ca="1" si="25"/>
        <v>49183.390000000007</v>
      </c>
      <c r="AJ182" s="61">
        <f>Valores!$C$35</f>
        <v>182.07</v>
      </c>
      <c r="AK182" s="79">
        <f>Valores!$C$9</f>
        <v>306.14</v>
      </c>
      <c r="AL182" s="89">
        <v>0</v>
      </c>
      <c r="AM182" s="79">
        <f ca="1">IF($G$4="SI",SUM(AK182+AL182),AK182)*Valores!$C$54</f>
        <v>0</v>
      </c>
      <c r="AN182" s="12">
        <f t="shared" ca="1" si="26"/>
        <v>488.21</v>
      </c>
      <c r="AO182" s="13">
        <f ca="1">AI182*-Valores!$C$56</f>
        <v>-6393.8407000000007</v>
      </c>
      <c r="AP182" s="13">
        <f ca="1">AI182*-Valores!$C$57</f>
        <v>-245.91695000000004</v>
      </c>
      <c r="AQ182" s="78">
        <f ca="1">AI182*-Valores!$C$58</f>
        <v>-2213.2525500000002</v>
      </c>
      <c r="AR182" s="78">
        <f ca="1">AI182*-Valores!$C$59</f>
        <v>-1327.9515300000003</v>
      </c>
      <c r="AS182" s="78">
        <f ca="1">AI182*-Valores!$C$60</f>
        <v>-147.55017000000004</v>
      </c>
      <c r="AT182" s="15">
        <f t="shared" ca="1" si="23"/>
        <v>40818.589800000009</v>
      </c>
      <c r="AU182" s="15">
        <f t="shared" ca="1" si="24"/>
        <v>41556.340650000006</v>
      </c>
      <c r="AV182" s="78">
        <f ca="1">AI182*Valores!$C$61</f>
        <v>7869.3424000000014</v>
      </c>
      <c r="AW182" s="78">
        <f ca="1">AI182*Valores!$C$62</f>
        <v>2213.2525500000002</v>
      </c>
      <c r="AX182" s="78">
        <f ca="1">AI182*Valores!$C$64</f>
        <v>491.83390000000009</v>
      </c>
      <c r="AY182" s="78">
        <f ca="1">AI182*Valores!$C$65</f>
        <v>1721.4186500000003</v>
      </c>
      <c r="AZ182" s="78">
        <f ca="1">AI182*Valores!$C$66</f>
        <v>295.10034000000007</v>
      </c>
      <c r="BA182" s="78">
        <f t="shared" ca="1" si="27"/>
        <v>2655.9030600000006</v>
      </c>
      <c r="BB182" s="20"/>
      <c r="BC182" s="20">
        <v>45</v>
      </c>
      <c r="BD182" s="9" t="s">
        <v>467</v>
      </c>
    </row>
    <row r="183" spans="1:56" s="9" customFormat="1" ht="11.25" customHeight="1" x14ac:dyDescent="0.15">
      <c r="A183" s="20">
        <v>182</v>
      </c>
      <c r="B183" s="20"/>
      <c r="C183" s="9" t="s">
        <v>336</v>
      </c>
      <c r="E183" s="10" t="s">
        <v>337</v>
      </c>
      <c r="F183" s="123">
        <v>160</v>
      </c>
      <c r="G183" s="7">
        <f ca="1">INT((F183*Valores!$C$2*100)+0.5)/100</f>
        <v>821.55</v>
      </c>
      <c r="H183" s="134">
        <f>1484</f>
        <v>1484</v>
      </c>
      <c r="I183" s="77">
        <f ca="1">INT((H183*Valores!$C$2*100)+0.5)/100</f>
        <v>7619.89</v>
      </c>
      <c r="J183" s="147">
        <v>0</v>
      </c>
      <c r="K183" s="77">
        <f ca="1">INT((J183*Valores!$C$2*100)+0.5)/100</f>
        <v>0</v>
      </c>
      <c r="L183" s="120">
        <v>1300</v>
      </c>
      <c r="M183" s="77">
        <f ca="1">INT((L183*Valores!$C$2*100)+0.5)/100</f>
        <v>6675.11</v>
      </c>
      <c r="N183" s="77">
        <f t="shared" ca="1" si="28"/>
        <v>0</v>
      </c>
      <c r="O183" s="77">
        <f t="shared" ca="1" si="29"/>
        <v>16255.24</v>
      </c>
      <c r="P183" s="61">
        <f>Valores!$C$16</f>
        <v>3165.05</v>
      </c>
      <c r="Q183" s="61">
        <f ca="1">Valores!$D$4</f>
        <v>2296.75</v>
      </c>
      <c r="R183" s="77">
        <f>Valores!$C$26</f>
        <v>2298.92</v>
      </c>
      <c r="S183" s="79">
        <f>Valores!$C$43</f>
        <v>1138.69</v>
      </c>
      <c r="T183" s="77">
        <f>Valores!$C$23</f>
        <v>2221.56</v>
      </c>
      <c r="U183" s="77">
        <f t="shared" ca="1" si="30"/>
        <v>4443.12</v>
      </c>
      <c r="V183" s="77">
        <v>0</v>
      </c>
      <c r="W183" s="77">
        <v>0</v>
      </c>
      <c r="X183" s="116">
        <v>0</v>
      </c>
      <c r="Y183" s="77">
        <f ca="1">X183*Valores!$C$2</f>
        <v>0</v>
      </c>
      <c r="Z183" s="77">
        <v>0</v>
      </c>
      <c r="AA183" s="89">
        <f>Valores!$C$29</f>
        <v>131.68</v>
      </c>
      <c r="AB183" s="77">
        <f t="shared" ca="1" si="22"/>
        <v>0</v>
      </c>
      <c r="AC183" s="77">
        <f>Valores!$C$30</f>
        <v>131.68</v>
      </c>
      <c r="AD183" s="116">
        <v>0</v>
      </c>
      <c r="AE183" s="77">
        <f ca="1">INT(((AD183*Valores!$C$2)*100)+0.5)/100</f>
        <v>0</v>
      </c>
      <c r="AF183" s="77">
        <f>Valores!$C$51</f>
        <v>267.87</v>
      </c>
      <c r="AG183" s="77">
        <f>Valores!$C$52</f>
        <v>76.540000000000006</v>
      </c>
      <c r="AH183" s="77">
        <f ca="1">SUM(G183,I183,K183,M183,N183,O183,P183,Q183,R183,S183,U183,V183,W183,Y183,Z183,AA183,AB183,AC183,AE183,AF183,AG183)*Valores!$C$54</f>
        <v>0</v>
      </c>
      <c r="AI183" s="141">
        <f t="shared" ca="1" si="25"/>
        <v>45322.090000000011</v>
      </c>
      <c r="AJ183" s="61">
        <f>Valores!$C$35</f>
        <v>182.07</v>
      </c>
      <c r="AK183" s="79">
        <f>Valores!$C$9</f>
        <v>306.14</v>
      </c>
      <c r="AL183" s="89">
        <v>224.5</v>
      </c>
      <c r="AM183" s="79">
        <f ca="1">IF($G$4="SI",SUM(AK183+AL183),AK183)*Valores!$C$54</f>
        <v>0</v>
      </c>
      <c r="AN183" s="12">
        <f t="shared" ca="1" si="26"/>
        <v>712.71</v>
      </c>
      <c r="AO183" s="13">
        <f ca="1">AI183*-Valores!$C$56</f>
        <v>-5891.8717000000015</v>
      </c>
      <c r="AP183" s="13">
        <f ca="1">AI183*-Valores!$C$57</f>
        <v>-226.61045000000007</v>
      </c>
      <c r="AQ183" s="78">
        <f ca="1">AI183*-Valores!$C$58</f>
        <v>-2039.4940500000005</v>
      </c>
      <c r="AR183" s="78">
        <f ca="1">AI183*-Valores!$C$59</f>
        <v>-1223.6964300000004</v>
      </c>
      <c r="AS183" s="78">
        <f ca="1">AI183*-Valores!$C$60</f>
        <v>-135.96627000000004</v>
      </c>
      <c r="AT183" s="15">
        <f t="shared" ca="1" si="23"/>
        <v>37876.823800000006</v>
      </c>
      <c r="AU183" s="15">
        <f t="shared" ca="1" si="24"/>
        <v>38556.655150000006</v>
      </c>
      <c r="AV183" s="78">
        <f ca="1">AI183*Valores!$C$61</f>
        <v>7251.5344000000023</v>
      </c>
      <c r="AW183" s="78">
        <f ca="1">AI183*Valores!$C$62</f>
        <v>2039.4940500000005</v>
      </c>
      <c r="AX183" s="78">
        <f ca="1">AI183*Valores!$C$64</f>
        <v>453.22090000000014</v>
      </c>
      <c r="AY183" s="78">
        <f ca="1">AI183*Valores!$C$65</f>
        <v>1586.2731500000004</v>
      </c>
      <c r="AZ183" s="78">
        <f ca="1">AI183*Valores!$C$66</f>
        <v>271.93254000000007</v>
      </c>
      <c r="BA183" s="78">
        <f t="shared" ca="1" si="27"/>
        <v>2447.3928600000008</v>
      </c>
      <c r="BB183" s="20"/>
      <c r="BC183" s="20">
        <v>45</v>
      </c>
      <c r="BD183" s="9" t="s">
        <v>467</v>
      </c>
    </row>
    <row r="184" spans="1:56" s="9" customFormat="1" ht="11.25" customHeight="1" x14ac:dyDescent="0.15">
      <c r="A184" s="20">
        <v>183</v>
      </c>
      <c r="B184" s="20"/>
      <c r="C184" s="9" t="s">
        <v>338</v>
      </c>
      <c r="E184" s="10" t="s">
        <v>339</v>
      </c>
      <c r="F184" s="123">
        <v>1278</v>
      </c>
      <c r="G184" s="7">
        <f ca="1">INT((F184*Valores!$C$2*100)+0.5)/100</f>
        <v>6562.15</v>
      </c>
      <c r="H184" s="134">
        <v>0</v>
      </c>
      <c r="I184" s="77">
        <f ca="1">INT((H184*Valores!$C$2*100)+0.5)/100</f>
        <v>0</v>
      </c>
      <c r="J184" s="147">
        <v>0</v>
      </c>
      <c r="K184" s="77">
        <f ca="1">INT((J184*Valores!$C$2*100)+0.5)/100</f>
        <v>0</v>
      </c>
      <c r="L184" s="120">
        <v>1200</v>
      </c>
      <c r="M184" s="77">
        <f ca="1">INT((L184*Valores!$C$2*100)+0.5)/100</f>
        <v>6161.64</v>
      </c>
      <c r="N184" s="77">
        <f t="shared" ca="1" si="28"/>
        <v>0</v>
      </c>
      <c r="O184" s="77">
        <f t="shared" ca="1" si="29"/>
        <v>13862.480000000001</v>
      </c>
      <c r="P184" s="61">
        <f>Valores!$C$20</f>
        <v>2991.57</v>
      </c>
      <c r="Q184" s="61">
        <f ca="1">Valores!$D$4</f>
        <v>2296.75</v>
      </c>
      <c r="R184" s="61">
        <f>Valores!$C$26</f>
        <v>2298.92</v>
      </c>
      <c r="S184" s="87">
        <f>Valores!$C$43</f>
        <v>1138.69</v>
      </c>
      <c r="T184" s="77">
        <f>Valores!$C$23</f>
        <v>2221.56</v>
      </c>
      <c r="U184" s="77">
        <f t="shared" ca="1" si="30"/>
        <v>4443.12</v>
      </c>
      <c r="V184" s="77">
        <v>0</v>
      </c>
      <c r="W184" s="77">
        <v>0</v>
      </c>
      <c r="X184" s="116">
        <v>0</v>
      </c>
      <c r="Y184" s="77">
        <f ca="1">X184*Valores!$C$2</f>
        <v>0</v>
      </c>
      <c r="Z184" s="77">
        <v>0</v>
      </c>
      <c r="AA184" s="89">
        <f>Valores!$C$29</f>
        <v>131.68</v>
      </c>
      <c r="AB184" s="77">
        <f t="shared" ca="1" si="22"/>
        <v>0</v>
      </c>
      <c r="AC184" s="77">
        <f>Valores!$C$30</f>
        <v>131.68</v>
      </c>
      <c r="AD184" s="116">
        <v>0</v>
      </c>
      <c r="AE184" s="77">
        <f ca="1">INT(((AD184*Valores!$C$2)*100)+0.5)/100</f>
        <v>0</v>
      </c>
      <c r="AF184" s="77">
        <f>Valores!$C$51</f>
        <v>267.87</v>
      </c>
      <c r="AG184" s="77">
        <f>Valores!$C$52</f>
        <v>76.540000000000006</v>
      </c>
      <c r="AH184" s="77">
        <f ca="1">SUM(G184,I184,K184,M184,N184,O184,P184,Q184,R184,S184,U184,V184,W184,Y184,Z184,AA184,AB184,AC184,AE184,AF184,AG184)*Valores!$C$54</f>
        <v>0</v>
      </c>
      <c r="AI184" s="141">
        <f t="shared" ca="1" si="25"/>
        <v>40363.090000000011</v>
      </c>
      <c r="AJ184" s="61">
        <f>Valores!$C$35</f>
        <v>182.07</v>
      </c>
      <c r="AK184" s="79">
        <f>Valores!$C$9</f>
        <v>306.14</v>
      </c>
      <c r="AL184" s="89">
        <v>224.5</v>
      </c>
      <c r="AM184" s="79">
        <f ca="1">IF($G$4="SI",SUM(AK184+AL184),AK184)*Valores!$C$54</f>
        <v>0</v>
      </c>
      <c r="AN184" s="12">
        <f t="shared" ca="1" si="26"/>
        <v>712.71</v>
      </c>
      <c r="AO184" s="13">
        <f ca="1">AI184*-Valores!$C$56</f>
        <v>-5247.2017000000014</v>
      </c>
      <c r="AP184" s="13">
        <f ca="1">AI184*-Valores!$C$57</f>
        <v>-201.81545000000006</v>
      </c>
      <c r="AQ184" s="78">
        <f ca="1">AI184*-Valores!$C$58</f>
        <v>-1816.3390500000005</v>
      </c>
      <c r="AR184" s="78">
        <f ca="1">AI184*-Valores!$C$59</f>
        <v>-1089.8034300000004</v>
      </c>
      <c r="AS184" s="78">
        <f ca="1">AI184*-Valores!$C$60</f>
        <v>-121.08927000000004</v>
      </c>
      <c r="AT184" s="15">
        <f t="shared" ca="1" si="23"/>
        <v>33810.443800000008</v>
      </c>
      <c r="AU184" s="15">
        <f t="shared" ca="1" si="24"/>
        <v>34415.890150000007</v>
      </c>
      <c r="AV184" s="78">
        <f ca="1">AI184*Valores!$C$61</f>
        <v>6458.0944000000018</v>
      </c>
      <c r="AW184" s="78">
        <f ca="1">AI184*Valores!$C$62</f>
        <v>1816.3390500000005</v>
      </c>
      <c r="AX184" s="78">
        <f ca="1">AI184*Valores!$C$64</f>
        <v>403.63090000000011</v>
      </c>
      <c r="AY184" s="78">
        <f ca="1">AI184*Valores!$C$65</f>
        <v>1412.7081500000006</v>
      </c>
      <c r="AZ184" s="78">
        <f ca="1">AI184*Valores!$C$66</f>
        <v>242.17854000000008</v>
      </c>
      <c r="BA184" s="78">
        <f t="shared" ca="1" si="27"/>
        <v>2179.6068600000008</v>
      </c>
      <c r="BB184" s="20"/>
      <c r="BC184" s="55"/>
      <c r="BD184" s="9" t="s">
        <v>467</v>
      </c>
    </row>
    <row r="185" spans="1:56" s="9" customFormat="1" ht="11.25" customHeight="1" x14ac:dyDescent="0.15">
      <c r="A185" s="20">
        <v>184</v>
      </c>
      <c r="B185" s="20"/>
      <c r="C185" s="9" t="s">
        <v>340</v>
      </c>
      <c r="E185" s="10" t="s">
        <v>341</v>
      </c>
      <c r="F185" s="123">
        <v>971</v>
      </c>
      <c r="G185" s="7">
        <f ca="1">INT((F185*Valores!$C$2*100)+0.5)/100</f>
        <v>4985.79</v>
      </c>
      <c r="H185" s="134">
        <v>0</v>
      </c>
      <c r="I185" s="77">
        <f ca="1">INT((H185*Valores!$C$2*100)+0.5)/100</f>
        <v>0</v>
      </c>
      <c r="J185" s="147">
        <v>0</v>
      </c>
      <c r="K185" s="77">
        <f ca="1">INT((J185*Valores!$C$2*100)+0.5)/100</f>
        <v>0</v>
      </c>
      <c r="L185" s="120">
        <v>660</v>
      </c>
      <c r="M185" s="77">
        <f ca="1">INT((L185*Valores!$C$2*100)+0.5)/100</f>
        <v>3388.9</v>
      </c>
      <c r="N185" s="77">
        <f t="shared" ca="1" si="28"/>
        <v>0</v>
      </c>
      <c r="O185" s="77">
        <f t="shared" ca="1" si="29"/>
        <v>9513.380000000001</v>
      </c>
      <c r="P185" s="61">
        <f>Valores!$C$20</f>
        <v>2991.57</v>
      </c>
      <c r="Q185" s="61">
        <f ca="1">Valores!$D$4</f>
        <v>2296.75</v>
      </c>
      <c r="R185" s="61">
        <f>Valores!$C$27</f>
        <v>2099.9299999999998</v>
      </c>
      <c r="S185" s="87">
        <f>Valores!$C$43</f>
        <v>1138.69</v>
      </c>
      <c r="T185" s="77">
        <f>Valores!$C$23</f>
        <v>2221.56</v>
      </c>
      <c r="U185" s="77">
        <f t="shared" ca="1" si="30"/>
        <v>4443.12</v>
      </c>
      <c r="V185" s="77">
        <v>0</v>
      </c>
      <c r="W185" s="77">
        <v>0</v>
      </c>
      <c r="X185" s="116">
        <v>0</v>
      </c>
      <c r="Y185" s="77">
        <f ca="1">X185*Valores!$C$2</f>
        <v>0</v>
      </c>
      <c r="Z185" s="77">
        <v>0</v>
      </c>
      <c r="AA185" s="89">
        <f>Valores!$C$29</f>
        <v>131.68</v>
      </c>
      <c r="AB185" s="77">
        <f t="shared" ca="1" si="22"/>
        <v>0</v>
      </c>
      <c r="AC185" s="77">
        <f>Valores!$C$30</f>
        <v>131.68</v>
      </c>
      <c r="AD185" s="116">
        <v>0</v>
      </c>
      <c r="AE185" s="77">
        <f ca="1">INT(((AD185*Valores!$C$2)*100)+0.5)/100</f>
        <v>0</v>
      </c>
      <c r="AF185" s="77">
        <f>Valores!$C$51</f>
        <v>267.87</v>
      </c>
      <c r="AG185" s="77">
        <f>Valores!$C$52</f>
        <v>76.540000000000006</v>
      </c>
      <c r="AH185" s="77">
        <f ca="1">SUM(G185,I185,K185,M185,N185,O185,P185,Q185,R185,S185,U185,V185,W185,Y185,Z185,AA185,AB185,AC185,AE185,AF185,AG185)*Valores!$C$54</f>
        <v>0</v>
      </c>
      <c r="AI185" s="141">
        <f t="shared" ca="1" si="25"/>
        <v>31465.899999999998</v>
      </c>
      <c r="AJ185" s="61">
        <f>Valores!$C$35</f>
        <v>182.07</v>
      </c>
      <c r="AK185" s="79">
        <f>Valores!$C$9</f>
        <v>306.14</v>
      </c>
      <c r="AL185" s="89">
        <v>223.59</v>
      </c>
      <c r="AM185" s="79">
        <f ca="1">IF($G$4="SI",SUM(AK185+AL185),AK185)*Valores!$C$54</f>
        <v>0</v>
      </c>
      <c r="AN185" s="12">
        <f t="shared" ca="1" si="26"/>
        <v>711.8</v>
      </c>
      <c r="AO185" s="13">
        <f ca="1">AI185*-Valores!$C$56</f>
        <v>-4090.567</v>
      </c>
      <c r="AP185" s="13">
        <f ca="1">AI185*-Valores!$C$57</f>
        <v>-157.3295</v>
      </c>
      <c r="AQ185" s="78">
        <f ca="1">AI185*-Valores!$C$58</f>
        <v>-1415.9654999999998</v>
      </c>
      <c r="AR185" s="78">
        <f ca="1">AI185*-Valores!$C$59</f>
        <v>-849.57929999999999</v>
      </c>
      <c r="AS185" s="78">
        <f ca="1">AI185*-Valores!$C$60</f>
        <v>-94.3977</v>
      </c>
      <c r="AT185" s="15">
        <f t="shared" ca="1" si="23"/>
        <v>26513.838</v>
      </c>
      <c r="AU185" s="15">
        <f t="shared" ca="1" si="24"/>
        <v>26985.826499999996</v>
      </c>
      <c r="AV185" s="78">
        <f ca="1">AI185*Valores!$C$61</f>
        <v>5034.5439999999999</v>
      </c>
      <c r="AW185" s="78">
        <f ca="1">AI185*Valores!$C$62</f>
        <v>1415.9654999999998</v>
      </c>
      <c r="AX185" s="78">
        <f ca="1">AI185*Valores!$C$64</f>
        <v>314.65899999999999</v>
      </c>
      <c r="AY185" s="78">
        <f ca="1">AI185*Valores!$C$65</f>
        <v>1101.3065000000001</v>
      </c>
      <c r="AZ185" s="78">
        <f ca="1">AI185*Valores!$C$66</f>
        <v>188.7954</v>
      </c>
      <c r="BA185" s="78">
        <f t="shared" ca="1" si="27"/>
        <v>1699.1585999999998</v>
      </c>
      <c r="BB185" s="20"/>
      <c r="BC185" s="20">
        <v>18</v>
      </c>
      <c r="BD185" s="9" t="s">
        <v>467</v>
      </c>
    </row>
    <row r="186" spans="1:56" s="9" customFormat="1" ht="11.25" customHeight="1" x14ac:dyDescent="0.15">
      <c r="A186" s="55">
        <v>185</v>
      </c>
      <c r="B186" s="55" t="s">
        <v>462</v>
      </c>
      <c r="C186" s="52" t="s">
        <v>342</v>
      </c>
      <c r="D186" s="52"/>
      <c r="E186" s="53" t="s">
        <v>343</v>
      </c>
      <c r="F186" s="124">
        <v>179</v>
      </c>
      <c r="G186" s="129">
        <f ca="1">INT((F186*Valores!$C$2*100)+0.5)/100</f>
        <v>919.11</v>
      </c>
      <c r="H186" s="133">
        <f>1323</f>
        <v>1323</v>
      </c>
      <c r="I186" s="80">
        <f ca="1">INT((H186*Valores!$C$2*100)+0.5)/100</f>
        <v>6793.21</v>
      </c>
      <c r="J186" s="148">
        <v>0</v>
      </c>
      <c r="K186" s="80">
        <f ca="1">INT((J186*Valores!$C$2*100)+0.5)/100</f>
        <v>0</v>
      </c>
      <c r="L186" s="121">
        <v>1300</v>
      </c>
      <c r="M186" s="80">
        <f ca="1">INT((L186*Valores!$C$2*100)+0.5)/100</f>
        <v>6675.11</v>
      </c>
      <c r="N186" s="80">
        <f t="shared" ca="1" si="28"/>
        <v>0</v>
      </c>
      <c r="O186" s="80">
        <f t="shared" ca="1" si="29"/>
        <v>15526.12</v>
      </c>
      <c r="P186" s="85">
        <f>Valores!$C$16</f>
        <v>3165.05</v>
      </c>
      <c r="Q186" s="85">
        <f ca="1">Valores!$D$4</f>
        <v>2296.75</v>
      </c>
      <c r="R186" s="85">
        <f>Valores!$C$26</f>
        <v>2298.92</v>
      </c>
      <c r="S186" s="88">
        <f>Valores!$C$43</f>
        <v>1138.69</v>
      </c>
      <c r="T186" s="80">
        <f>Valores!$C$23</f>
        <v>2221.56</v>
      </c>
      <c r="U186" s="80">
        <f t="shared" ca="1" si="30"/>
        <v>4443.12</v>
      </c>
      <c r="V186" s="80">
        <v>0</v>
      </c>
      <c r="W186" s="80">
        <v>0</v>
      </c>
      <c r="X186" s="115">
        <v>0</v>
      </c>
      <c r="Y186" s="80">
        <f ca="1">X186*Valores!$C$2</f>
        <v>0</v>
      </c>
      <c r="Z186" s="80">
        <v>0</v>
      </c>
      <c r="AA186" s="90">
        <f>Valores!$C$29</f>
        <v>131.68</v>
      </c>
      <c r="AB186" s="80">
        <f t="shared" ca="1" si="22"/>
        <v>0</v>
      </c>
      <c r="AC186" s="80">
        <f>Valores!$C$30</f>
        <v>131.68</v>
      </c>
      <c r="AD186" s="115">
        <v>0</v>
      </c>
      <c r="AE186" s="80">
        <f ca="1">INT(((AD186*Valores!$C$2)*100)+0.5)/100</f>
        <v>0</v>
      </c>
      <c r="AF186" s="80">
        <f>Valores!$C$51</f>
        <v>267.87</v>
      </c>
      <c r="AG186" s="80">
        <f>Valores!$C$52</f>
        <v>76.540000000000006</v>
      </c>
      <c r="AH186" s="80">
        <f ca="1">SUM(G186,I186,K186,M186,N186,O186,P186,Q186,R186,S186,U186,V186,W186,Y186,Z186,AA186,AB186,AC186,AE186,AF186,AG186)*Valores!$C$54</f>
        <v>0</v>
      </c>
      <c r="AI186" s="142">
        <f t="shared" ca="1" si="25"/>
        <v>43863.850000000013</v>
      </c>
      <c r="AJ186" s="85">
        <f>Valores!$C$35</f>
        <v>182.07</v>
      </c>
      <c r="AK186" s="82">
        <f>Valores!$C$9</f>
        <v>306.14</v>
      </c>
      <c r="AL186" s="90">
        <v>0</v>
      </c>
      <c r="AM186" s="82">
        <f ca="1">IF($G$4="SI",SUM(AK186+AL186),AK186)*Valores!$C$54</f>
        <v>0</v>
      </c>
      <c r="AN186" s="186">
        <f t="shared" ca="1" si="26"/>
        <v>488.21</v>
      </c>
      <c r="AO186" s="155">
        <f ca="1">AI186*-Valores!$C$56</f>
        <v>-5702.3005000000021</v>
      </c>
      <c r="AP186" s="155">
        <f ca="1">AI186*-Valores!$C$57</f>
        <v>-219.31925000000007</v>
      </c>
      <c r="AQ186" s="81">
        <f ca="1">AI186*-Valores!$C$58</f>
        <v>-1973.8732500000006</v>
      </c>
      <c r="AR186" s="81">
        <f ca="1">AI186*-Valores!$C$59</f>
        <v>-1184.3239500000004</v>
      </c>
      <c r="AS186" s="81">
        <f ca="1">AI186*-Valores!$C$60</f>
        <v>-131.59155000000004</v>
      </c>
      <c r="AT186" s="54">
        <f t="shared" ca="1" si="23"/>
        <v>36456.567000000003</v>
      </c>
      <c r="AU186" s="54">
        <f t="shared" ca="1" si="24"/>
        <v>37114.524750000011</v>
      </c>
      <c r="AV186" s="81">
        <f ca="1">AI186*Valores!$C$61</f>
        <v>7018.2160000000022</v>
      </c>
      <c r="AW186" s="81">
        <f ca="1">AI186*Valores!$C$62</f>
        <v>1973.8732500000006</v>
      </c>
      <c r="AX186" s="81">
        <f ca="1">AI186*Valores!$C$64</f>
        <v>438.63850000000014</v>
      </c>
      <c r="AY186" s="81">
        <f ca="1">AI186*Valores!$C$65</f>
        <v>1535.2347500000005</v>
      </c>
      <c r="AZ186" s="81">
        <f ca="1">AI186*Valores!$C$66</f>
        <v>263.18310000000008</v>
      </c>
      <c r="BA186" s="81">
        <f t="shared" ca="1" si="27"/>
        <v>2368.6479000000008</v>
      </c>
      <c r="BB186" s="55"/>
      <c r="BC186" s="55">
        <v>45</v>
      </c>
      <c r="BD186" s="52" t="s">
        <v>467</v>
      </c>
    </row>
    <row r="187" spans="1:56" s="9" customFormat="1" ht="11.25" customHeight="1" x14ac:dyDescent="0.15">
      <c r="A187" s="20">
        <v>186</v>
      </c>
      <c r="B187" s="20"/>
      <c r="C187" s="9" t="s">
        <v>344</v>
      </c>
      <c r="E187" s="10" t="s">
        <v>345</v>
      </c>
      <c r="F187" s="123">
        <v>64</v>
      </c>
      <c r="G187" s="7">
        <f ca="1">INT((F187*Valores!$C$2*100)+0.5)/100</f>
        <v>328.62</v>
      </c>
      <c r="H187" s="134">
        <v>1354</v>
      </c>
      <c r="I187" s="77">
        <f ca="1">INT((H187*Valores!$C$2*100)+0.5)/100</f>
        <v>6952.38</v>
      </c>
      <c r="J187" s="147">
        <v>0</v>
      </c>
      <c r="K187" s="77">
        <f ca="1">INT((J187*Valores!$C$2*100)+0.5)/100</f>
        <v>0</v>
      </c>
      <c r="L187" s="120">
        <v>1200</v>
      </c>
      <c r="M187" s="77">
        <f ca="1">INT((L187*Valores!$C$2*100)+0.5)/100</f>
        <v>6161.64</v>
      </c>
      <c r="N187" s="77">
        <f t="shared" ca="1" si="28"/>
        <v>0</v>
      </c>
      <c r="O187" s="77">
        <f t="shared" ca="1" si="29"/>
        <v>14581.33</v>
      </c>
      <c r="P187" s="61">
        <f>Valores!$C$20</f>
        <v>2991.57</v>
      </c>
      <c r="Q187" s="61">
        <f ca="1">Valores!$D$4</f>
        <v>2296.75</v>
      </c>
      <c r="R187" s="77">
        <v>0</v>
      </c>
      <c r="S187" s="79">
        <f>Valores!$C$43</f>
        <v>1138.69</v>
      </c>
      <c r="T187" s="61">
        <f>Valores!$C$24</f>
        <v>2190.94</v>
      </c>
      <c r="U187" s="77">
        <f t="shared" ca="1" si="30"/>
        <v>4381.88</v>
      </c>
      <c r="V187" s="77">
        <v>0</v>
      </c>
      <c r="W187" s="77">
        <v>0</v>
      </c>
      <c r="X187" s="116">
        <v>0</v>
      </c>
      <c r="Y187" s="77">
        <f ca="1">X187*Valores!$C$2</f>
        <v>0</v>
      </c>
      <c r="Z187" s="77">
        <v>0</v>
      </c>
      <c r="AA187" s="89">
        <f>Valores!$C$29</f>
        <v>131.68</v>
      </c>
      <c r="AB187" s="77">
        <f t="shared" ca="1" si="22"/>
        <v>0</v>
      </c>
      <c r="AC187" s="77">
        <f>Valores!$C$30</f>
        <v>131.68</v>
      </c>
      <c r="AD187" s="116">
        <v>0</v>
      </c>
      <c r="AE187" s="77">
        <f ca="1">INT(((AD187*Valores!$C$2)*100)+0.5)/100</f>
        <v>0</v>
      </c>
      <c r="AF187" s="77">
        <f>Valores!$C$51</f>
        <v>267.87</v>
      </c>
      <c r="AG187" s="77">
        <f>Valores!$C$52</f>
        <v>76.540000000000006</v>
      </c>
      <c r="AH187" s="77">
        <f ca="1">SUM(G187,I187,K187,M187,N187,O187,P187,Q187,R187,S187,U187,V187,W187,Y187,Z187,AA187,AB187,AC187,AE187,AF187,AG187)*Valores!$C$54</f>
        <v>0</v>
      </c>
      <c r="AI187" s="141">
        <f t="shared" ca="1" si="25"/>
        <v>39440.630000000005</v>
      </c>
      <c r="AJ187" s="61">
        <f>Valores!$C$35</f>
        <v>182.07</v>
      </c>
      <c r="AK187" s="79">
        <f>Valores!$C$9</f>
        <v>306.14</v>
      </c>
      <c r="AL187" s="89">
        <v>0</v>
      </c>
      <c r="AM187" s="79">
        <f ca="1">IF($G$4="SI",SUM(AK187+AL187),AK187)*Valores!$C$54</f>
        <v>0</v>
      </c>
      <c r="AN187" s="12">
        <f t="shared" ca="1" si="26"/>
        <v>488.21</v>
      </c>
      <c r="AO187" s="13">
        <f ca="1">AI187*-Valores!$C$56</f>
        <v>-5127.2819000000009</v>
      </c>
      <c r="AP187" s="13">
        <f ca="1">AI187*-Valores!$C$57</f>
        <v>-197.20315000000002</v>
      </c>
      <c r="AQ187" s="78">
        <f ca="1">AI187*-Valores!$C$58</f>
        <v>-1774.8283500000002</v>
      </c>
      <c r="AR187" s="78">
        <f ca="1">AI187*-Valores!$C$59</f>
        <v>-1064.8970100000004</v>
      </c>
      <c r="AS187" s="78">
        <f ca="1">AI187*-Valores!$C$60</f>
        <v>-118.32189000000001</v>
      </c>
      <c r="AT187" s="15">
        <f t="shared" ca="1" si="23"/>
        <v>32829.526599999997</v>
      </c>
      <c r="AU187" s="15">
        <f t="shared" ca="1" si="24"/>
        <v>33421.136050000001</v>
      </c>
      <c r="AV187" s="78">
        <f ca="1">AI187*Valores!$C$61</f>
        <v>6310.5008000000007</v>
      </c>
      <c r="AW187" s="78">
        <f ca="1">AI187*Valores!$C$62</f>
        <v>1774.8283500000002</v>
      </c>
      <c r="AX187" s="78">
        <f ca="1">AI187*Valores!$C$64</f>
        <v>394.40630000000004</v>
      </c>
      <c r="AY187" s="78">
        <f ca="1">AI187*Valores!$C$65</f>
        <v>1380.4220500000004</v>
      </c>
      <c r="AZ187" s="78">
        <f ca="1">AI187*Valores!$C$66</f>
        <v>236.64378000000002</v>
      </c>
      <c r="BA187" s="78">
        <f t="shared" ca="1" si="27"/>
        <v>2129.7940200000003</v>
      </c>
      <c r="BB187" s="20"/>
      <c r="BC187" s="20">
        <v>30</v>
      </c>
      <c r="BD187" s="9" t="s">
        <v>466</v>
      </c>
    </row>
    <row r="188" spans="1:56" s="9" customFormat="1" ht="11.25" customHeight="1" x14ac:dyDescent="0.15">
      <c r="A188" s="20">
        <v>187</v>
      </c>
      <c r="B188" s="20"/>
      <c r="C188" s="9" t="s">
        <v>346</v>
      </c>
      <c r="E188" s="10" t="s">
        <v>347</v>
      </c>
      <c r="F188" s="123">
        <v>55</v>
      </c>
      <c r="G188" s="7">
        <f ca="1">INT((F188*Valores!$C$2*100)+0.5)/100</f>
        <v>282.41000000000003</v>
      </c>
      <c r="H188" s="134">
        <v>1279</v>
      </c>
      <c r="I188" s="77">
        <f ca="1">INT((H188*Valores!$C$2*100)+0.5)/100</f>
        <v>6567.28</v>
      </c>
      <c r="J188" s="147">
        <v>0</v>
      </c>
      <c r="K188" s="77">
        <f ca="1">INT((J188*Valores!$C$2*100)+0.5)/100</f>
        <v>0</v>
      </c>
      <c r="L188" s="120">
        <v>1200</v>
      </c>
      <c r="M188" s="77">
        <f ca="1">INT((L188*Valores!$C$2*100)+0.5)/100</f>
        <v>6161.64</v>
      </c>
      <c r="N188" s="77">
        <f t="shared" ca="1" si="28"/>
        <v>0</v>
      </c>
      <c r="O188" s="77">
        <f t="shared" ca="1" si="29"/>
        <v>14150.02</v>
      </c>
      <c r="P188" s="61">
        <f>Valores!$C$20</f>
        <v>2991.57</v>
      </c>
      <c r="Q188" s="61">
        <f ca="1">Valores!$D$4</f>
        <v>2296.75</v>
      </c>
      <c r="R188" s="77">
        <v>0</v>
      </c>
      <c r="S188" s="79">
        <f>Valores!$C$43</f>
        <v>1138.69</v>
      </c>
      <c r="T188" s="77">
        <f>Valores!$C$23</f>
        <v>2221.56</v>
      </c>
      <c r="U188" s="77">
        <f t="shared" ca="1" si="30"/>
        <v>4443.12</v>
      </c>
      <c r="V188" s="77">
        <v>0</v>
      </c>
      <c r="W188" s="77">
        <v>0</v>
      </c>
      <c r="X188" s="116">
        <v>0</v>
      </c>
      <c r="Y188" s="77">
        <f ca="1">X188*Valores!$C$2</f>
        <v>0</v>
      </c>
      <c r="Z188" s="77">
        <v>0</v>
      </c>
      <c r="AA188" s="89">
        <f>Valores!$C$29</f>
        <v>131.68</v>
      </c>
      <c r="AB188" s="77">
        <f t="shared" ca="1" si="22"/>
        <v>0</v>
      </c>
      <c r="AC188" s="77">
        <f>Valores!$C$30</f>
        <v>131.68</v>
      </c>
      <c r="AD188" s="116">
        <v>0</v>
      </c>
      <c r="AE188" s="77">
        <f ca="1">INT(((AD188*Valores!$C$2)*100)+0.5)/100</f>
        <v>0</v>
      </c>
      <c r="AF188" s="77">
        <f>Valores!$C$51</f>
        <v>267.87</v>
      </c>
      <c r="AG188" s="77">
        <f>Valores!$C$52</f>
        <v>76.540000000000006</v>
      </c>
      <c r="AH188" s="77">
        <f ca="1">SUM(G188,I188,K188,M188,N188,O188,P188,Q188,R188,S188,U188,V188,W188,Y188,Z188,AA188,AB188,AC188,AE188,AF188,AG188)*Valores!$C$54</f>
        <v>0</v>
      </c>
      <c r="AI188" s="141">
        <f t="shared" ca="1" si="25"/>
        <v>38639.250000000007</v>
      </c>
      <c r="AJ188" s="61">
        <f>Valores!$C$35</f>
        <v>182.07</v>
      </c>
      <c r="AK188" s="79">
        <f>Valores!$C$9</f>
        <v>306.14</v>
      </c>
      <c r="AL188" s="89">
        <v>0</v>
      </c>
      <c r="AM188" s="79">
        <f ca="1">IF($G$4="SI",SUM(AK188+AL188),AK188)*Valores!$C$54</f>
        <v>0</v>
      </c>
      <c r="AN188" s="12">
        <f t="shared" ca="1" si="26"/>
        <v>488.21</v>
      </c>
      <c r="AO188" s="13">
        <f ca="1">AI188*-Valores!$C$56</f>
        <v>-5023.1025000000009</v>
      </c>
      <c r="AP188" s="13">
        <f ca="1">AI188*-Valores!$C$57</f>
        <v>-193.19625000000005</v>
      </c>
      <c r="AQ188" s="78">
        <f ca="1">AI188*-Valores!$C$58</f>
        <v>-1738.7662500000004</v>
      </c>
      <c r="AR188" s="78">
        <f ca="1">AI188*-Valores!$C$59</f>
        <v>-1043.2597500000004</v>
      </c>
      <c r="AS188" s="78">
        <f ca="1">AI188*-Valores!$C$60</f>
        <v>-115.91775000000003</v>
      </c>
      <c r="AT188" s="15">
        <f t="shared" ca="1" si="23"/>
        <v>32172.395000000004</v>
      </c>
      <c r="AU188" s="15">
        <f t="shared" ca="1" si="24"/>
        <v>32751.983750000007</v>
      </c>
      <c r="AV188" s="78">
        <f ca="1">AI188*Valores!$C$61</f>
        <v>6182.2800000000016</v>
      </c>
      <c r="AW188" s="78">
        <f ca="1">AI188*Valores!$C$62</f>
        <v>1738.7662500000004</v>
      </c>
      <c r="AX188" s="78">
        <f ca="1">AI188*Valores!$C$64</f>
        <v>386.3925000000001</v>
      </c>
      <c r="AY188" s="78">
        <f ca="1">AI188*Valores!$C$65</f>
        <v>1352.3737500000004</v>
      </c>
      <c r="AZ188" s="78">
        <f ca="1">AI188*Valores!$C$66</f>
        <v>231.83550000000005</v>
      </c>
      <c r="BA188" s="78">
        <f t="shared" ca="1" si="27"/>
        <v>2086.5195000000003</v>
      </c>
      <c r="BB188" s="20"/>
      <c r="BC188" s="20">
        <v>30</v>
      </c>
      <c r="BD188" s="9" t="s">
        <v>466</v>
      </c>
    </row>
    <row r="189" spans="1:56" s="9" customFormat="1" ht="11.25" customHeight="1" x14ac:dyDescent="0.15">
      <c r="A189" s="20">
        <v>188</v>
      </c>
      <c r="B189" s="20"/>
      <c r="C189" s="9" t="s">
        <v>348</v>
      </c>
      <c r="E189" s="10" t="s">
        <v>349</v>
      </c>
      <c r="F189" s="123">
        <v>1027</v>
      </c>
      <c r="G189" s="7">
        <f ca="1">INT((F189*Valores!$C$2*100)+0.5)/100</f>
        <v>5273.34</v>
      </c>
      <c r="H189" s="134">
        <v>0</v>
      </c>
      <c r="I189" s="77">
        <f ca="1">INT((H189*Valores!$C$2*100)+0.5)/100</f>
        <v>0</v>
      </c>
      <c r="J189" s="147">
        <v>0</v>
      </c>
      <c r="K189" s="77">
        <f ca="1">INT((J189*Valores!$C$2*100)+0.5)/100</f>
        <v>0</v>
      </c>
      <c r="L189" s="120">
        <v>1200</v>
      </c>
      <c r="M189" s="77">
        <f ca="1">INT((L189*Valores!$C$2*100)+0.5)/100</f>
        <v>6161.64</v>
      </c>
      <c r="N189" s="77">
        <f t="shared" ca="1" si="28"/>
        <v>0</v>
      </c>
      <c r="O189" s="77">
        <f t="shared" ca="1" si="29"/>
        <v>12573.67</v>
      </c>
      <c r="P189" s="61">
        <f>Valores!$C$20</f>
        <v>2991.57</v>
      </c>
      <c r="Q189" s="61">
        <f ca="1">Valores!$D$4</f>
        <v>2296.75</v>
      </c>
      <c r="R189" s="77">
        <v>0</v>
      </c>
      <c r="S189" s="79">
        <f>Valores!$C$43</f>
        <v>1138.69</v>
      </c>
      <c r="T189" s="61">
        <f>Valores!$C$24</f>
        <v>2190.94</v>
      </c>
      <c r="U189" s="77">
        <f t="shared" ca="1" si="30"/>
        <v>4381.88</v>
      </c>
      <c r="V189" s="77">
        <v>0</v>
      </c>
      <c r="W189" s="77">
        <v>0</v>
      </c>
      <c r="X189" s="116">
        <v>0</v>
      </c>
      <c r="Y189" s="77">
        <f ca="1">X189*Valores!$C$2</f>
        <v>0</v>
      </c>
      <c r="Z189" s="77">
        <v>0</v>
      </c>
      <c r="AA189" s="89">
        <f>Valores!$C$29</f>
        <v>131.68</v>
      </c>
      <c r="AB189" s="77">
        <f t="shared" ca="1" si="22"/>
        <v>0</v>
      </c>
      <c r="AC189" s="77">
        <f>Valores!$C$30</f>
        <v>131.68</v>
      </c>
      <c r="AD189" s="116">
        <v>0</v>
      </c>
      <c r="AE189" s="77">
        <f ca="1">INT(((AD189*Valores!$C$2)*100)+0.5)/100</f>
        <v>0</v>
      </c>
      <c r="AF189" s="77">
        <f>Valores!$C$51</f>
        <v>267.87</v>
      </c>
      <c r="AG189" s="77">
        <f>Valores!$C$52</f>
        <v>76.540000000000006</v>
      </c>
      <c r="AH189" s="77">
        <f ca="1">SUM(G189,I189,K189,M189,N189,O189,P189,Q189,R189,S189,U189,V189,W189,Y189,Z189,AA189,AB189,AC189,AE189,AF189,AG189)*Valores!$C$54</f>
        <v>0</v>
      </c>
      <c r="AI189" s="141">
        <f t="shared" ca="1" si="25"/>
        <v>35425.310000000005</v>
      </c>
      <c r="AJ189" s="61">
        <f>Valores!$C$35</f>
        <v>182.07</v>
      </c>
      <c r="AK189" s="79">
        <f>Valores!$C$9</f>
        <v>306.14</v>
      </c>
      <c r="AL189" s="89">
        <v>0</v>
      </c>
      <c r="AM189" s="79">
        <f ca="1">IF($G$4="SI",SUM(AK189+AL189),AK189)*Valores!$C$54</f>
        <v>0</v>
      </c>
      <c r="AN189" s="12">
        <f t="shared" ca="1" si="26"/>
        <v>488.21</v>
      </c>
      <c r="AO189" s="13">
        <f ca="1">AI189*-Valores!$C$56</f>
        <v>-4605.2903000000006</v>
      </c>
      <c r="AP189" s="13">
        <f ca="1">AI189*-Valores!$C$57</f>
        <v>-177.12655000000004</v>
      </c>
      <c r="AQ189" s="78">
        <f ca="1">AI189*-Valores!$C$58</f>
        <v>-1594.1389500000002</v>
      </c>
      <c r="AR189" s="78">
        <f ca="1">AI189*-Valores!$C$59</f>
        <v>-956.48337000000026</v>
      </c>
      <c r="AS189" s="78">
        <f ca="1">AI189*-Valores!$C$60</f>
        <v>-106.27593000000002</v>
      </c>
      <c r="AT189" s="15">
        <f t="shared" ca="1" si="23"/>
        <v>29536.964200000002</v>
      </c>
      <c r="AU189" s="15">
        <f t="shared" ca="1" si="24"/>
        <v>30068.343850000001</v>
      </c>
      <c r="AV189" s="78">
        <f ca="1">AI189*Valores!$C$61</f>
        <v>5668.0496000000012</v>
      </c>
      <c r="AW189" s="78">
        <f ca="1">AI189*Valores!$C$62</f>
        <v>1594.1389500000002</v>
      </c>
      <c r="AX189" s="78">
        <f ca="1">AI189*Valores!$C$64</f>
        <v>354.25310000000007</v>
      </c>
      <c r="AY189" s="78">
        <f ca="1">AI189*Valores!$C$65</f>
        <v>1239.8858500000003</v>
      </c>
      <c r="AZ189" s="78">
        <f ca="1">AI189*Valores!$C$66</f>
        <v>212.55186000000003</v>
      </c>
      <c r="BA189" s="78">
        <f t="shared" ca="1" si="27"/>
        <v>1912.9667400000003</v>
      </c>
      <c r="BB189" s="20"/>
      <c r="BC189" s="55">
        <v>30</v>
      </c>
      <c r="BD189" s="9" t="s">
        <v>466</v>
      </c>
    </row>
    <row r="190" spans="1:56" s="9" customFormat="1" ht="11.25" customHeight="1" x14ac:dyDescent="0.15">
      <c r="A190" s="20">
        <v>189</v>
      </c>
      <c r="B190" s="20"/>
      <c r="C190" s="9" t="s">
        <v>350</v>
      </c>
      <c r="E190" s="10" t="s">
        <v>351</v>
      </c>
      <c r="F190" s="123">
        <v>1278</v>
      </c>
      <c r="G190" s="7">
        <f ca="1">INT((F190*Valores!$C$2*100)+0.5)/100</f>
        <v>6562.15</v>
      </c>
      <c r="H190" s="134">
        <v>0</v>
      </c>
      <c r="I190" s="77">
        <f ca="1">INT((H190*Valores!$C$2*100)+0.5)/100</f>
        <v>0</v>
      </c>
      <c r="J190" s="147">
        <v>0</v>
      </c>
      <c r="K190" s="77">
        <f ca="1">INT((J190*Valores!$C$2*100)+0.5)/100</f>
        <v>0</v>
      </c>
      <c r="L190" s="120">
        <v>1200</v>
      </c>
      <c r="M190" s="77">
        <f ca="1">INT((L190*Valores!$C$2*100)+0.5)/100</f>
        <v>6161.64</v>
      </c>
      <c r="N190" s="77">
        <f t="shared" ca="1" si="28"/>
        <v>0</v>
      </c>
      <c r="O190" s="77">
        <f t="shared" ca="1" si="29"/>
        <v>13862.480000000001</v>
      </c>
      <c r="P190" s="61">
        <f>Valores!$C$20</f>
        <v>2991.57</v>
      </c>
      <c r="Q190" s="61">
        <f ca="1">Valores!$D$4</f>
        <v>2296.75</v>
      </c>
      <c r="R190" s="61">
        <f>Valores!$C$26</f>
        <v>2298.92</v>
      </c>
      <c r="S190" s="87">
        <f>Valores!$C$43</f>
        <v>1138.69</v>
      </c>
      <c r="T190" s="77">
        <f>Valores!$C$23</f>
        <v>2221.56</v>
      </c>
      <c r="U190" s="77">
        <f t="shared" ca="1" si="30"/>
        <v>4443.12</v>
      </c>
      <c r="V190" s="77">
        <v>0</v>
      </c>
      <c r="W190" s="77">
        <v>0</v>
      </c>
      <c r="X190" s="116">
        <v>0</v>
      </c>
      <c r="Y190" s="77">
        <f ca="1">X190*Valores!$C$2</f>
        <v>0</v>
      </c>
      <c r="Z190" s="77">
        <v>0</v>
      </c>
      <c r="AA190" s="89">
        <f>Valores!$C$29</f>
        <v>131.68</v>
      </c>
      <c r="AB190" s="77">
        <f t="shared" ca="1" si="22"/>
        <v>0</v>
      </c>
      <c r="AC190" s="77">
        <f>Valores!$C$30</f>
        <v>131.68</v>
      </c>
      <c r="AD190" s="116">
        <v>0</v>
      </c>
      <c r="AE190" s="77">
        <f ca="1">INT(((AD190*Valores!$C$2)*100)+0.5)/100</f>
        <v>0</v>
      </c>
      <c r="AF190" s="77">
        <f>Valores!$C$51</f>
        <v>267.87</v>
      </c>
      <c r="AG190" s="77">
        <f>Valores!$C$52</f>
        <v>76.540000000000006</v>
      </c>
      <c r="AH190" s="77">
        <f ca="1">SUM(G190,I190,K190,M190,N190,O190,P190,Q190,R190,S190,U190,V190,W190,Y190,Z190,AA190,AB190,AC190,AE190,AF190,AG190)*Valores!$C$54</f>
        <v>0</v>
      </c>
      <c r="AI190" s="141">
        <f t="shared" ca="1" si="25"/>
        <v>40363.090000000011</v>
      </c>
      <c r="AJ190" s="61">
        <f>Valores!$C$35</f>
        <v>182.07</v>
      </c>
      <c r="AK190" s="79">
        <f>Valores!$C$9</f>
        <v>306.14</v>
      </c>
      <c r="AL190" s="89">
        <v>224.5</v>
      </c>
      <c r="AM190" s="79">
        <f ca="1">IF($G$4="SI",SUM(AK190+AL190),AK190)*Valores!$C$54</f>
        <v>0</v>
      </c>
      <c r="AN190" s="12">
        <f t="shared" ca="1" si="26"/>
        <v>712.71</v>
      </c>
      <c r="AO190" s="13">
        <f ca="1">AI190*-Valores!$C$56</f>
        <v>-5247.2017000000014</v>
      </c>
      <c r="AP190" s="13">
        <f ca="1">AI190*-Valores!$C$57</f>
        <v>-201.81545000000006</v>
      </c>
      <c r="AQ190" s="78">
        <f ca="1">AI190*-Valores!$C$58</f>
        <v>-1816.3390500000005</v>
      </c>
      <c r="AR190" s="78">
        <f ca="1">AI190*-Valores!$C$59</f>
        <v>-1089.8034300000004</v>
      </c>
      <c r="AS190" s="78">
        <f ca="1">AI190*-Valores!$C$60</f>
        <v>-121.08927000000004</v>
      </c>
      <c r="AT190" s="15">
        <f t="shared" ca="1" si="23"/>
        <v>33810.443800000008</v>
      </c>
      <c r="AU190" s="15">
        <f t="shared" ca="1" si="24"/>
        <v>34415.890150000007</v>
      </c>
      <c r="AV190" s="78">
        <f ca="1">AI190*Valores!$C$61</f>
        <v>6458.0944000000018</v>
      </c>
      <c r="AW190" s="78">
        <f ca="1">AI190*Valores!$C$62</f>
        <v>1816.3390500000005</v>
      </c>
      <c r="AX190" s="78">
        <f ca="1">AI190*Valores!$C$64</f>
        <v>403.63090000000011</v>
      </c>
      <c r="AY190" s="78">
        <f ca="1">AI190*Valores!$C$65</f>
        <v>1412.7081500000006</v>
      </c>
      <c r="AZ190" s="78">
        <f ca="1">AI190*Valores!$C$66</f>
        <v>242.17854000000008</v>
      </c>
      <c r="BA190" s="78">
        <f t="shared" ca="1" si="27"/>
        <v>2179.6068600000008</v>
      </c>
      <c r="BB190" s="20"/>
      <c r="BC190" s="20">
        <v>36</v>
      </c>
      <c r="BD190" s="9" t="s">
        <v>467</v>
      </c>
    </row>
    <row r="191" spans="1:56" s="9" customFormat="1" ht="11.25" customHeight="1" x14ac:dyDescent="0.15">
      <c r="A191" s="55">
        <v>190</v>
      </c>
      <c r="B191" s="55" t="s">
        <v>462</v>
      </c>
      <c r="C191" s="52" t="s">
        <v>441</v>
      </c>
      <c r="D191" s="52"/>
      <c r="E191" s="53" t="s">
        <v>442</v>
      </c>
      <c r="F191" s="124">
        <v>1065</v>
      </c>
      <c r="G191" s="129">
        <f ca="1">INT((F191*Valores!$C$2*100)+0.5)/100</f>
        <v>5468.46</v>
      </c>
      <c r="H191" s="133">
        <v>0</v>
      </c>
      <c r="I191" s="80">
        <f ca="1">INT((H191*Valores!$C$2*100)+0.5)/100</f>
        <v>0</v>
      </c>
      <c r="J191" s="148">
        <v>0</v>
      </c>
      <c r="K191" s="80">
        <f ca="1">INT((J191*Valores!$C$2*100)+0.5)/100</f>
        <v>0</v>
      </c>
      <c r="L191" s="121">
        <v>600</v>
      </c>
      <c r="M191" s="80">
        <f ca="1">INT((L191*Valores!$C$2*100)+0.5)/100</f>
        <v>3080.82</v>
      </c>
      <c r="N191" s="80">
        <f t="shared" ca="1" si="28"/>
        <v>0</v>
      </c>
      <c r="O191" s="80">
        <f t="shared" ca="1" si="29"/>
        <v>9687.9700000000012</v>
      </c>
      <c r="P191" s="85">
        <f>Valores!$C$20</f>
        <v>2991.57</v>
      </c>
      <c r="Q191" s="85">
        <f ca="1">Valores!$D$4</f>
        <v>2296.75</v>
      </c>
      <c r="R191" s="80">
        <v>0</v>
      </c>
      <c r="S191" s="82">
        <f>Valores!$C$43</f>
        <v>1138.69</v>
      </c>
      <c r="T191" s="80">
        <f>Valores!$C$23</f>
        <v>2221.56</v>
      </c>
      <c r="U191" s="80">
        <f t="shared" ca="1" si="30"/>
        <v>4443.12</v>
      </c>
      <c r="V191" s="80">
        <v>0</v>
      </c>
      <c r="W191" s="80">
        <v>0</v>
      </c>
      <c r="X191" s="115">
        <v>0</v>
      </c>
      <c r="Y191" s="80">
        <f ca="1">X191*Valores!$C$2</f>
        <v>0</v>
      </c>
      <c r="Z191" s="80">
        <v>0</v>
      </c>
      <c r="AA191" s="90">
        <f>Valores!$C$29</f>
        <v>131.68</v>
      </c>
      <c r="AB191" s="80">
        <f t="shared" ca="1" si="22"/>
        <v>0</v>
      </c>
      <c r="AC191" s="80">
        <f>Valores!$C$30</f>
        <v>131.68</v>
      </c>
      <c r="AD191" s="115">
        <v>0</v>
      </c>
      <c r="AE191" s="80">
        <f ca="1">INT(((AD191*Valores!$C$2)*100)+0.5)/100</f>
        <v>0</v>
      </c>
      <c r="AF191" s="80">
        <f>Valores!$C$51</f>
        <v>267.87</v>
      </c>
      <c r="AG191" s="80">
        <f>Valores!$C$52</f>
        <v>76.540000000000006</v>
      </c>
      <c r="AH191" s="80">
        <f ca="1">SUM(G191,I191,K191,M191,N191,O191,P191,Q191,R191,S191,U191,V191,W191,Y191,Z191,AA191,AB191,AC191,AE191,AF191,AG191)*Valores!$C$54</f>
        <v>0</v>
      </c>
      <c r="AI191" s="142">
        <f t="shared" ca="1" si="25"/>
        <v>29715.149999999998</v>
      </c>
      <c r="AJ191" s="85">
        <f>Valores!$C$35</f>
        <v>182.07</v>
      </c>
      <c r="AK191" s="82">
        <f>Valores!$C$9</f>
        <v>306.14</v>
      </c>
      <c r="AL191" s="90">
        <v>224.5</v>
      </c>
      <c r="AM191" s="82">
        <f ca="1">IF($G$4="SI",SUM(AK191+AL191),AK191)*Valores!$C$54</f>
        <v>0</v>
      </c>
      <c r="AN191" s="186">
        <f t="shared" ca="1" si="26"/>
        <v>712.71</v>
      </c>
      <c r="AO191" s="155">
        <f ca="1">AI191*-Valores!$C$56</f>
        <v>-3862.9694999999997</v>
      </c>
      <c r="AP191" s="155">
        <f ca="1">AI191*-Valores!$C$57</f>
        <v>-148.57575</v>
      </c>
      <c r="AQ191" s="81">
        <f ca="1">AI191*-Valores!$C$58</f>
        <v>-1337.18175</v>
      </c>
      <c r="AR191" s="81">
        <f ca="1">AI191*-Valores!$C$59</f>
        <v>-802.30905000000007</v>
      </c>
      <c r="AS191" s="81">
        <f ca="1">AI191*-Valores!$C$60</f>
        <v>-89.145449999999997</v>
      </c>
      <c r="AT191" s="54">
        <f t="shared" ca="1" si="23"/>
        <v>25079.132999999998</v>
      </c>
      <c r="AU191" s="54">
        <f t="shared" ca="1" si="24"/>
        <v>25524.860249999998</v>
      </c>
      <c r="AV191" s="81">
        <f ca="1">AI191*Valores!$C$61</f>
        <v>4754.424</v>
      </c>
      <c r="AW191" s="81">
        <f ca="1">AI191*Valores!$C$62</f>
        <v>1337.18175</v>
      </c>
      <c r="AX191" s="81">
        <f ca="1">AI191*Valores!$C$64</f>
        <v>297.1515</v>
      </c>
      <c r="AY191" s="81">
        <f ca="1">AI191*Valores!$C$65</f>
        <v>1040.03025</v>
      </c>
      <c r="AZ191" s="81">
        <f ca="1">AI191*Valores!$C$66</f>
        <v>178.29089999999999</v>
      </c>
      <c r="BA191" s="81">
        <f t="shared" ca="1" si="27"/>
        <v>1604.6180999999999</v>
      </c>
      <c r="BB191" s="55"/>
      <c r="BC191" s="55"/>
      <c r="BD191" s="52" t="s">
        <v>467</v>
      </c>
    </row>
    <row r="192" spans="1:56" s="9" customFormat="1" ht="11.25" customHeight="1" x14ac:dyDescent="0.15">
      <c r="A192" s="20">
        <v>191</v>
      </c>
      <c r="B192" s="20"/>
      <c r="C192" s="9" t="s">
        <v>352</v>
      </c>
      <c r="E192" s="10" t="s">
        <v>353</v>
      </c>
      <c r="F192" s="123">
        <v>971</v>
      </c>
      <c r="G192" s="7">
        <f ca="1">INT((F192*Valores!$C$2*100)+0.5)/100</f>
        <v>4985.79</v>
      </c>
      <c r="H192" s="134">
        <v>0</v>
      </c>
      <c r="I192" s="77">
        <f ca="1">INT((H192*Valores!$C$2*100)+0.5)/100</f>
        <v>0</v>
      </c>
      <c r="J192" s="147">
        <v>0</v>
      </c>
      <c r="K192" s="77">
        <f ca="1">INT((J192*Valores!$C$2*100)+0.5)/100</f>
        <v>0</v>
      </c>
      <c r="L192" s="120">
        <v>660</v>
      </c>
      <c r="M192" s="77">
        <f ca="1">INT((L192*Valores!$C$2*100)+0.5)/100</f>
        <v>3388.9</v>
      </c>
      <c r="N192" s="77">
        <f t="shared" ca="1" si="28"/>
        <v>0</v>
      </c>
      <c r="O192" s="77">
        <f t="shared" ca="1" si="29"/>
        <v>9133.82</v>
      </c>
      <c r="P192" s="61">
        <f>Valores!$C$20</f>
        <v>2991.57</v>
      </c>
      <c r="Q192" s="61">
        <f ca="1">Valores!$D$4</f>
        <v>2296.75</v>
      </c>
      <c r="R192" s="61">
        <f>Valores!$C$27</f>
        <v>2099.9299999999998</v>
      </c>
      <c r="S192" s="87">
        <f>Valores!$C$42</f>
        <v>759.13</v>
      </c>
      <c r="T192" s="77">
        <f>Valores!$C$23</f>
        <v>2221.56</v>
      </c>
      <c r="U192" s="77">
        <f t="shared" ca="1" si="30"/>
        <v>4443.12</v>
      </c>
      <c r="V192" s="77">
        <v>0</v>
      </c>
      <c r="W192" s="77">
        <v>0</v>
      </c>
      <c r="X192" s="116">
        <v>0</v>
      </c>
      <c r="Y192" s="77">
        <f ca="1">X192*Valores!$C$2</f>
        <v>0</v>
      </c>
      <c r="Z192" s="77">
        <v>0</v>
      </c>
      <c r="AA192" s="89">
        <f>Valores!$C$29</f>
        <v>131.68</v>
      </c>
      <c r="AB192" s="77">
        <f t="shared" ca="1" si="22"/>
        <v>0</v>
      </c>
      <c r="AC192" s="77">
        <f>Valores!$C$30</f>
        <v>131.68</v>
      </c>
      <c r="AD192" s="116">
        <v>0</v>
      </c>
      <c r="AE192" s="77">
        <f ca="1">INT(((AD192*Valores!$C$2)*100)+0.5)/100</f>
        <v>0</v>
      </c>
      <c r="AF192" s="77">
        <f>Valores!$C$51</f>
        <v>267.87</v>
      </c>
      <c r="AG192" s="77">
        <f>Valores!$C$52</f>
        <v>76.540000000000006</v>
      </c>
      <c r="AH192" s="77">
        <f ca="1">SUM(G192,I192,K192,M192,N192,O192,P192,Q192,R192,S192,U192,V192,W192,Y192,Z192,AA192,AB192,AC192,AE192,AF192,AG192)*Valores!$C$54</f>
        <v>0</v>
      </c>
      <c r="AI192" s="141">
        <f t="shared" ca="1" si="25"/>
        <v>30706.780000000002</v>
      </c>
      <c r="AJ192" s="61">
        <f>Valores!$C$35</f>
        <v>182.07</v>
      </c>
      <c r="AK192" s="79">
        <f>Valores!$C$8</f>
        <v>204.1</v>
      </c>
      <c r="AL192" s="89">
        <v>0</v>
      </c>
      <c r="AM192" s="79">
        <f ca="1">IF($G$4="SI",SUM(AK192+AL192),AK192)*Valores!$C$54</f>
        <v>0</v>
      </c>
      <c r="AN192" s="12">
        <f t="shared" ca="1" si="26"/>
        <v>386.16999999999996</v>
      </c>
      <c r="AO192" s="13">
        <f ca="1">AI192*-Valores!$C$56</f>
        <v>-3991.8814000000007</v>
      </c>
      <c r="AP192" s="13">
        <f ca="1">AI192*-Valores!$C$57</f>
        <v>-153.53390000000002</v>
      </c>
      <c r="AQ192" s="78">
        <f ca="1">AI192*-Valores!$C$58</f>
        <v>-1381.8051</v>
      </c>
      <c r="AR192" s="78">
        <f ca="1">AI192*-Valores!$C$59</f>
        <v>-829.08306000000016</v>
      </c>
      <c r="AS192" s="78">
        <f ca="1">AI192*-Valores!$C$60</f>
        <v>-92.120340000000013</v>
      </c>
      <c r="AT192" s="15">
        <f t="shared" ca="1" si="23"/>
        <v>25565.729599999999</v>
      </c>
      <c r="AU192" s="15">
        <f t="shared" ca="1" si="24"/>
        <v>26026.331299999998</v>
      </c>
      <c r="AV192" s="78">
        <f ca="1">AI192*Valores!$C$61</f>
        <v>4913.0848000000005</v>
      </c>
      <c r="AW192" s="78">
        <f ca="1">AI192*Valores!$C$62</f>
        <v>1381.8051</v>
      </c>
      <c r="AX192" s="78">
        <f ca="1">AI192*Valores!$C$64</f>
        <v>307.06780000000003</v>
      </c>
      <c r="AY192" s="78">
        <f ca="1">AI192*Valores!$C$65</f>
        <v>1074.7373000000002</v>
      </c>
      <c r="AZ192" s="78">
        <f ca="1">AI192*Valores!$C$66</f>
        <v>184.24068000000003</v>
      </c>
      <c r="BA192" s="78">
        <f t="shared" ca="1" si="27"/>
        <v>1658.1661200000003</v>
      </c>
      <c r="BB192" s="20"/>
      <c r="BC192" s="20">
        <v>18</v>
      </c>
      <c r="BD192" s="9" t="s">
        <v>467</v>
      </c>
    </row>
    <row r="193" spans="1:56" s="9" customFormat="1" ht="11.25" customHeight="1" x14ac:dyDescent="0.15">
      <c r="A193" s="20">
        <v>192</v>
      </c>
      <c r="B193" s="20"/>
      <c r="C193" s="9" t="s">
        <v>354</v>
      </c>
      <c r="D193" s="9">
        <v>1</v>
      </c>
      <c r="E193" s="10" t="str">
        <f t="shared" ref="E193:E228" ca="1" si="31">CONCATENATE("Hora Cátedra Enseñanza Superior ",D193," hs")</f>
        <v>Hora Cátedra Enseñanza Superior 1 hs</v>
      </c>
      <c r="F193" s="123">
        <f t="shared" ref="F193:F228" ca="1" si="32">99*D193</f>
        <v>99</v>
      </c>
      <c r="G193" s="7">
        <f ca="1">INT((F193*Valores!$C$2*100)+0.5)/100</f>
        <v>508.34</v>
      </c>
      <c r="H193" s="134">
        <v>0</v>
      </c>
      <c r="I193" s="77">
        <f ca="1">INT((H193*Valores!$C$2*100)+0.5)/100</f>
        <v>0</v>
      </c>
      <c r="J193" s="147">
        <v>0</v>
      </c>
      <c r="K193" s="77">
        <f ca="1">INT((J193*Valores!$C$2*100)+0.5)/100</f>
        <v>0</v>
      </c>
      <c r="L193" s="120">
        <v>0</v>
      </c>
      <c r="M193" s="77">
        <f ca="1">INT((L193*Valores!$C$2*100)+0.5)/100</f>
        <v>0</v>
      </c>
      <c r="N193" s="77">
        <f t="shared" ca="1" si="28"/>
        <v>0</v>
      </c>
      <c r="O193" s="77">
        <f t="shared" ca="1" si="29"/>
        <v>539.98</v>
      </c>
      <c r="P193" s="61">
        <f ca="1">Valores!$C$14*D193</f>
        <v>114.82</v>
      </c>
      <c r="Q193" s="61">
        <f ca="1">IF(D193&lt;15,(Valores!$E$4*D193),Valores!$D$4)</f>
        <v>153.12</v>
      </c>
      <c r="R193" s="77">
        <v>0</v>
      </c>
      <c r="S193" s="79">
        <f ca="1">Valores!$C$45*D193</f>
        <v>31.64</v>
      </c>
      <c r="T193" s="61">
        <f ca="1">Valores!$C$22*D193</f>
        <v>46.43</v>
      </c>
      <c r="U193" s="77">
        <f t="shared" ca="1" si="30"/>
        <v>92.86</v>
      </c>
      <c r="V193" s="77">
        <v>0</v>
      </c>
      <c r="W193" s="77">
        <v>0</v>
      </c>
      <c r="X193" s="37">
        <v>0</v>
      </c>
      <c r="Y193" s="77">
        <f ca="1">X193*Valores!$C$2</f>
        <v>0</v>
      </c>
      <c r="Z193" s="77">
        <v>0</v>
      </c>
      <c r="AA193" s="89">
        <f ca="1">(Valores!$C$32)*D193</f>
        <v>5.28</v>
      </c>
      <c r="AB193" s="77">
        <f t="shared" ca="1" si="22"/>
        <v>0</v>
      </c>
      <c r="AC193" s="77">
        <f ca="1">Valores!$C$33*D193</f>
        <v>4.3899999999999997</v>
      </c>
      <c r="AD193" s="116">
        <v>0</v>
      </c>
      <c r="AE193" s="77">
        <f ca="1">INT(((AD193*Valores!$C$2)*100)+0.5)/100</f>
        <v>0</v>
      </c>
      <c r="AF193" s="77">
        <f ca="1">Valores!$D$51*D193</f>
        <v>17.858000000000001</v>
      </c>
      <c r="AG193" s="77">
        <f ca="1">Valores!$D$52*D193</f>
        <v>5.1026666666666669</v>
      </c>
      <c r="AH193" s="77">
        <f ca="1">SUM(G193,I193,K193,M193,N193,O193,P193,Q193,R193,S193,U193,V193,W193,Y193,Z193,AA193,AB193,AC193,AE193,AF193,AG193)*Valores!$C$54</f>
        <v>0</v>
      </c>
      <c r="AI193" s="141">
        <f t="shared" ca="1" si="25"/>
        <v>1473.3906666666664</v>
      </c>
      <c r="AJ193" s="61">
        <f ca="1">Valores!$C$36*D193</f>
        <v>12.13</v>
      </c>
      <c r="AK193" s="79">
        <f ca="1">Valores!$C$11*D193</f>
        <v>8.51</v>
      </c>
      <c r="AL193" s="89">
        <f ca="1">9.35*D193</f>
        <v>9.35</v>
      </c>
      <c r="AM193" s="79">
        <f ca="1">IF($G$4="SI",SUM(AK193+AL193),AK193)*Valores!$C$54</f>
        <v>0</v>
      </c>
      <c r="AN193" s="12">
        <f t="shared" ca="1" si="26"/>
        <v>29.990000000000002</v>
      </c>
      <c r="AO193" s="13">
        <f ca="1">AI193*-Valores!$C$56</f>
        <v>-191.54078666666663</v>
      </c>
      <c r="AP193" s="13">
        <f ca="1">AI193*-Valores!$C$57</f>
        <v>-7.3669533333333321</v>
      </c>
      <c r="AQ193" s="78">
        <f ca="1">AI193*-Valores!$C$58</f>
        <v>-66.302579999999992</v>
      </c>
      <c r="AR193" s="78">
        <f ca="1">AI193*-Valores!$C$59</f>
        <v>-39.781548000000001</v>
      </c>
      <c r="AS193" s="78">
        <f ca="1">AI193*-Valores!$C$60</f>
        <v>-4.4201719999999991</v>
      </c>
      <c r="AT193" s="15">
        <f t="shared" ca="1" si="23"/>
        <v>1238.1703466666663</v>
      </c>
      <c r="AU193" s="15">
        <f t="shared" ca="1" si="24"/>
        <v>1260.2712066666663</v>
      </c>
      <c r="AV193" s="78">
        <f ca="1">AI193*Valores!$C$61</f>
        <v>235.74250666666663</v>
      </c>
      <c r="AW193" s="78">
        <f ca="1">AI193*Valores!$C$62</f>
        <v>66.302579999999992</v>
      </c>
      <c r="AX193" s="78">
        <f ca="1">AI193*Valores!$C$64</f>
        <v>14.733906666666664</v>
      </c>
      <c r="AY193" s="78">
        <f ca="1">AI193*Valores!$C$65</f>
        <v>51.568673333333329</v>
      </c>
      <c r="AZ193" s="78">
        <f ca="1">AI193*Valores!$C$66</f>
        <v>8.8403439999999982</v>
      </c>
      <c r="BA193" s="78">
        <f t="shared" ca="1" si="27"/>
        <v>79.563096000000002</v>
      </c>
      <c r="BB193" s="20"/>
      <c r="BC193" s="20">
        <f t="shared" ref="BC193:BC224" ca="1" si="33">4*D193</f>
        <v>4</v>
      </c>
      <c r="BD193" s="9" t="s">
        <v>467</v>
      </c>
    </row>
    <row r="194" spans="1:56" s="9" customFormat="1" ht="11.25" customHeight="1" x14ac:dyDescent="0.15">
      <c r="A194" s="20">
        <v>193</v>
      </c>
      <c r="B194" s="20"/>
      <c r="C194" s="9" t="s">
        <v>354</v>
      </c>
      <c r="D194" s="9">
        <v>2</v>
      </c>
      <c r="E194" s="10" t="str">
        <f t="shared" ca="1" si="31"/>
        <v>Hora Cátedra Enseñanza Superior 2 hs</v>
      </c>
      <c r="F194" s="123">
        <f t="shared" ca="1" si="32"/>
        <v>198</v>
      </c>
      <c r="G194" s="7">
        <f ca="1">INT((F194*Valores!$C$2*100)+0.5)/100</f>
        <v>1016.67</v>
      </c>
      <c r="H194" s="134">
        <v>0</v>
      </c>
      <c r="I194" s="77">
        <f ca="1">INT((H194*Valores!$C$2*100)+0.5)/100</f>
        <v>0</v>
      </c>
      <c r="J194" s="147">
        <v>0</v>
      </c>
      <c r="K194" s="77">
        <f ca="1">INT((J194*Valores!$C$2*100)+0.5)/100</f>
        <v>0</v>
      </c>
      <c r="L194" s="120">
        <v>0</v>
      </c>
      <c r="M194" s="77">
        <f ca="1">INT((L194*Valores!$C$2*100)+0.5)/100</f>
        <v>0</v>
      </c>
      <c r="N194" s="77">
        <f t="shared" ca="1" si="28"/>
        <v>0</v>
      </c>
      <c r="O194" s="77">
        <f t="shared" ca="1" si="29"/>
        <v>1079.95</v>
      </c>
      <c r="P194" s="61">
        <f ca="1">Valores!$C$14*D194</f>
        <v>229.64</v>
      </c>
      <c r="Q194" s="61">
        <f ca="1">IF(D194&lt;15,(Valores!$E$4*D194),Valores!$D$4)</f>
        <v>306.24</v>
      </c>
      <c r="R194" s="77">
        <v>0</v>
      </c>
      <c r="S194" s="79">
        <f ca="1">Valores!$C$45*D194</f>
        <v>63.28</v>
      </c>
      <c r="T194" s="61">
        <f ca="1">Valores!$C$22*D194</f>
        <v>92.86</v>
      </c>
      <c r="U194" s="77">
        <f t="shared" ca="1" si="30"/>
        <v>185.72</v>
      </c>
      <c r="V194" s="77">
        <v>0</v>
      </c>
      <c r="W194" s="77">
        <v>0</v>
      </c>
      <c r="X194" s="37">
        <v>0</v>
      </c>
      <c r="Y194" s="77">
        <f ca="1">X194*Valores!$C$2</f>
        <v>0</v>
      </c>
      <c r="Z194" s="77">
        <v>0</v>
      </c>
      <c r="AA194" s="89">
        <f ca="1">(Valores!$C$32)*D194</f>
        <v>10.56</v>
      </c>
      <c r="AB194" s="77">
        <f t="shared" ca="1" si="22"/>
        <v>0</v>
      </c>
      <c r="AC194" s="77">
        <f ca="1">Valores!$C$33*D194</f>
        <v>8.7799999999999994</v>
      </c>
      <c r="AD194" s="116">
        <v>0</v>
      </c>
      <c r="AE194" s="77">
        <f ca="1">INT(((AD194*Valores!$C$2)*100)+0.5)/100</f>
        <v>0</v>
      </c>
      <c r="AF194" s="77">
        <f ca="1">Valores!$D$51*D194</f>
        <v>35.716000000000001</v>
      </c>
      <c r="AG194" s="77">
        <f ca="1">Valores!$D$52*D194</f>
        <v>10.205333333333334</v>
      </c>
      <c r="AH194" s="77">
        <f ca="1">SUM(G194,I194,K194,M194,N194,O194,P194,Q194,R194,S194,U194,V194,W194,Y194,Z194,AA194,AB194,AC194,AE194,AF194,AG194)*Valores!$C$54</f>
        <v>0</v>
      </c>
      <c r="AI194" s="141">
        <f t="shared" ca="1" si="25"/>
        <v>2946.7613333333334</v>
      </c>
      <c r="AJ194" s="61">
        <f ca="1">Valores!$C$36*D194</f>
        <v>24.26</v>
      </c>
      <c r="AK194" s="79">
        <f ca="1">Valores!$C$11*D194</f>
        <v>17.02</v>
      </c>
      <c r="AL194" s="89">
        <f ca="1">9.355*D194</f>
        <v>18.71</v>
      </c>
      <c r="AM194" s="79">
        <f ca="1">IF($G$4="SI",SUM(AK194+AL194),AK194)*Valores!$C$54</f>
        <v>0</v>
      </c>
      <c r="AN194" s="12">
        <f t="shared" ca="1" si="26"/>
        <v>59.99</v>
      </c>
      <c r="AO194" s="13">
        <f ca="1">AI194*-Valores!$C$56</f>
        <v>-383.07897333333335</v>
      </c>
      <c r="AP194" s="13">
        <f ca="1">AI194*-Valores!$C$57</f>
        <v>-14.733806666666666</v>
      </c>
      <c r="AQ194" s="78">
        <f ca="1">AI194*-Valores!$C$58</f>
        <v>-132.60426000000001</v>
      </c>
      <c r="AR194" s="78">
        <f ca="1">AI194*-Valores!$C$59</f>
        <v>-79.562556000000015</v>
      </c>
      <c r="AS194" s="78">
        <f ca="1">AI194*-Valores!$C$60</f>
        <v>-8.8402840000000005</v>
      </c>
      <c r="AT194" s="15">
        <f t="shared" ca="1" si="23"/>
        <v>2476.3342933333333</v>
      </c>
      <c r="AU194" s="15">
        <f t="shared" ca="1" si="24"/>
        <v>2520.5357133333337</v>
      </c>
      <c r="AV194" s="78">
        <f ca="1">AI194*Valores!$C$61</f>
        <v>471.48181333333332</v>
      </c>
      <c r="AW194" s="78">
        <f ca="1">AI194*Valores!$C$62</f>
        <v>132.60426000000001</v>
      </c>
      <c r="AX194" s="78">
        <f ca="1">AI194*Valores!$C$64</f>
        <v>29.467613333333333</v>
      </c>
      <c r="AY194" s="78">
        <f ca="1">AI194*Valores!$C$65</f>
        <v>103.13664666666668</v>
      </c>
      <c r="AZ194" s="78">
        <f ca="1">AI194*Valores!$C$66</f>
        <v>17.680568000000001</v>
      </c>
      <c r="BA194" s="78">
        <f t="shared" ca="1" si="27"/>
        <v>159.125112</v>
      </c>
      <c r="BB194" s="20"/>
      <c r="BC194" s="55">
        <f t="shared" ca="1" si="33"/>
        <v>8</v>
      </c>
      <c r="BD194" s="9" t="s">
        <v>467</v>
      </c>
    </row>
    <row r="195" spans="1:56" s="9" customFormat="1" ht="11.25" customHeight="1" x14ac:dyDescent="0.15">
      <c r="A195" s="20">
        <v>194</v>
      </c>
      <c r="B195" s="20"/>
      <c r="C195" s="9" t="s">
        <v>354</v>
      </c>
      <c r="D195" s="9">
        <v>3</v>
      </c>
      <c r="E195" s="10" t="str">
        <f ca="1">CONCATENATE("Hora Cátedra Enseñanza Superior ",D195," hs")</f>
        <v>Hora Cátedra Enseñanza Superior 3 hs</v>
      </c>
      <c r="F195" s="123">
        <f t="shared" ca="1" si="32"/>
        <v>297</v>
      </c>
      <c r="G195" s="7">
        <f ca="1">INT((F195*Valores!$C$2*100)+0.5)/100</f>
        <v>1525.01</v>
      </c>
      <c r="H195" s="134">
        <v>0</v>
      </c>
      <c r="I195" s="77">
        <f ca="1">INT((H195*Valores!$C$2*100)+0.5)/100</f>
        <v>0</v>
      </c>
      <c r="J195" s="147">
        <v>0</v>
      </c>
      <c r="K195" s="77">
        <f ca="1">INT((J195*Valores!$C$2*100)+0.5)/100</f>
        <v>0</v>
      </c>
      <c r="L195" s="120">
        <v>0</v>
      </c>
      <c r="M195" s="77">
        <f ca="1">INT((L195*Valores!$C$2*100)+0.5)/100</f>
        <v>0</v>
      </c>
      <c r="N195" s="77">
        <f t="shared" ca="1" si="28"/>
        <v>0</v>
      </c>
      <c r="O195" s="77">
        <f t="shared" ca="1" si="29"/>
        <v>1619.93</v>
      </c>
      <c r="P195" s="61">
        <f ca="1">Valores!$C$14*D195</f>
        <v>344.46</v>
      </c>
      <c r="Q195" s="61">
        <f ca="1">IF(D195&lt;15,(Valores!$E$4*D195),Valores!$D$4)</f>
        <v>459.36</v>
      </c>
      <c r="R195" s="77">
        <v>0</v>
      </c>
      <c r="S195" s="79">
        <f ca="1">Valores!$C$45*D195</f>
        <v>94.92</v>
      </c>
      <c r="T195" s="61">
        <f ca="1">Valores!$C$22*D195</f>
        <v>139.29</v>
      </c>
      <c r="U195" s="77">
        <f t="shared" ca="1" si="30"/>
        <v>278.58</v>
      </c>
      <c r="V195" s="77">
        <v>0</v>
      </c>
      <c r="W195" s="77">
        <v>0</v>
      </c>
      <c r="X195" s="37">
        <v>0</v>
      </c>
      <c r="Y195" s="77">
        <f ca="1">X195*Valores!$C$2</f>
        <v>0</v>
      </c>
      <c r="Z195" s="77">
        <v>0</v>
      </c>
      <c r="AA195" s="89">
        <f ca="1">(Valores!$C$32)*D195</f>
        <v>15.84</v>
      </c>
      <c r="AB195" s="77">
        <f t="shared" ca="1" si="22"/>
        <v>0</v>
      </c>
      <c r="AC195" s="77">
        <f ca="1">Valores!$C$33*D195</f>
        <v>13.169999999999998</v>
      </c>
      <c r="AD195" s="116">
        <v>0</v>
      </c>
      <c r="AE195" s="77">
        <f ca="1">INT(((AD195*Valores!$C$2)*100)+0.5)/100</f>
        <v>0</v>
      </c>
      <c r="AF195" s="77">
        <f ca="1">Valores!$D$51*D195</f>
        <v>53.573999999999998</v>
      </c>
      <c r="AG195" s="77">
        <f ca="1">Valores!$D$52*D195</f>
        <v>15.308</v>
      </c>
      <c r="AH195" s="77">
        <f ca="1">SUM(G195,I195,K195,M195,N195,O195,P195,Q195,R195,S195,U195,V195,W195,Y195,Z195,AA195,AB195,AC195,AE195,AF195,AG195)*Valores!$C$54</f>
        <v>0</v>
      </c>
      <c r="AI195" s="141">
        <f t="shared" ca="1" si="25"/>
        <v>4420.152</v>
      </c>
      <c r="AJ195" s="61">
        <f ca="1">Valores!$C$36*D195</f>
        <v>36.39</v>
      </c>
      <c r="AK195" s="79">
        <f ca="1">Valores!$C$11*D195</f>
        <v>25.53</v>
      </c>
      <c r="AL195" s="89">
        <f ca="1">9.3545*D195</f>
        <v>28.063499999999998</v>
      </c>
      <c r="AM195" s="79">
        <f ca="1">IF($G$4="SI",SUM(AK195+AL195),AK195)*Valores!$C$54</f>
        <v>0</v>
      </c>
      <c r="AN195" s="12">
        <f t="shared" ca="1" si="26"/>
        <v>89.983499999999992</v>
      </c>
      <c r="AO195" s="13">
        <f ca="1">AI195*-Valores!$C$56</f>
        <v>-574.61976000000004</v>
      </c>
      <c r="AP195" s="13">
        <f ca="1">AI195*-Valores!$C$57</f>
        <v>-22.100760000000001</v>
      </c>
      <c r="AQ195" s="78">
        <f ca="1">AI195*-Valores!$C$58</f>
        <v>-198.90683999999999</v>
      </c>
      <c r="AR195" s="78">
        <f ca="1">AI195*-Valores!$C$59</f>
        <v>-119.34410400000002</v>
      </c>
      <c r="AS195" s="78">
        <f ca="1">AI195*-Valores!$C$60</f>
        <v>-13.260456</v>
      </c>
      <c r="AT195" s="15">
        <f t="shared" ca="1" si="23"/>
        <v>3714.5081400000004</v>
      </c>
      <c r="AU195" s="15">
        <f t="shared" ca="1" si="24"/>
        <v>3780.8104200000002</v>
      </c>
      <c r="AV195" s="78">
        <f ca="1">AI195*Valores!$C$61</f>
        <v>707.22432000000003</v>
      </c>
      <c r="AW195" s="78">
        <f ca="1">AI195*Valores!$C$62</f>
        <v>198.90683999999999</v>
      </c>
      <c r="AX195" s="78">
        <f ca="1">AI195*Valores!$C$64</f>
        <v>44.201520000000002</v>
      </c>
      <c r="AY195" s="78">
        <f ca="1">AI195*Valores!$C$65</f>
        <v>154.70532000000003</v>
      </c>
      <c r="AZ195" s="78">
        <f ca="1">AI195*Valores!$C$66</f>
        <v>26.520911999999999</v>
      </c>
      <c r="BA195" s="78">
        <f t="shared" ca="1" si="27"/>
        <v>238.688208</v>
      </c>
      <c r="BB195" s="20"/>
      <c r="BC195" s="20">
        <f t="shared" ca="1" si="33"/>
        <v>12</v>
      </c>
      <c r="BD195" s="9" t="s">
        <v>467</v>
      </c>
    </row>
    <row r="196" spans="1:56" s="9" customFormat="1" ht="11.25" customHeight="1" x14ac:dyDescent="0.15">
      <c r="A196" s="55">
        <v>195</v>
      </c>
      <c r="B196" s="55" t="s">
        <v>462</v>
      </c>
      <c r="C196" s="52" t="s">
        <v>354</v>
      </c>
      <c r="D196" s="52">
        <v>4</v>
      </c>
      <c r="E196" s="53" t="str">
        <f t="shared" ca="1" si="31"/>
        <v>Hora Cátedra Enseñanza Superior 4 hs</v>
      </c>
      <c r="F196" s="124">
        <f t="shared" ca="1" si="32"/>
        <v>396</v>
      </c>
      <c r="G196" s="129">
        <f ca="1">INT((F196*Valores!$C$2*100)+0.5)/100</f>
        <v>2033.34</v>
      </c>
      <c r="H196" s="133">
        <v>0</v>
      </c>
      <c r="I196" s="80">
        <f ca="1">INT((H196*Valores!$C$2*100)+0.5)/100</f>
        <v>0</v>
      </c>
      <c r="J196" s="148">
        <v>0</v>
      </c>
      <c r="K196" s="80">
        <f ca="1">INT((J196*Valores!$C$2*100)+0.5)/100</f>
        <v>0</v>
      </c>
      <c r="L196" s="121">
        <v>0</v>
      </c>
      <c r="M196" s="80">
        <f ca="1">INT((L196*Valores!$C$2*100)+0.5)/100</f>
        <v>0</v>
      </c>
      <c r="N196" s="80">
        <f t="shared" ca="1" si="28"/>
        <v>0</v>
      </c>
      <c r="O196" s="80">
        <f t="shared" ca="1" si="29"/>
        <v>2159.9</v>
      </c>
      <c r="P196" s="85">
        <f ca="1">Valores!$C$14*D196</f>
        <v>459.28</v>
      </c>
      <c r="Q196" s="85">
        <f ca="1">IF(D196&lt;15,(Valores!$E$4*D196),Valores!$D$4)</f>
        <v>612.48</v>
      </c>
      <c r="R196" s="80">
        <v>0</v>
      </c>
      <c r="S196" s="82">
        <f ca="1">Valores!$C$45*D196</f>
        <v>126.56</v>
      </c>
      <c r="T196" s="85">
        <f ca="1">Valores!$C$22*D196</f>
        <v>185.72</v>
      </c>
      <c r="U196" s="80">
        <f t="shared" ca="1" si="30"/>
        <v>371.44</v>
      </c>
      <c r="V196" s="80">
        <v>0</v>
      </c>
      <c r="W196" s="80">
        <v>0</v>
      </c>
      <c r="X196" s="60">
        <v>0</v>
      </c>
      <c r="Y196" s="80">
        <f ca="1">X196*Valores!$C$2</f>
        <v>0</v>
      </c>
      <c r="Z196" s="80">
        <v>0</v>
      </c>
      <c r="AA196" s="90">
        <f ca="1">(Valores!$C$32)*D196</f>
        <v>21.12</v>
      </c>
      <c r="AB196" s="80">
        <f t="shared" ca="1" si="22"/>
        <v>0</v>
      </c>
      <c r="AC196" s="80">
        <f ca="1">Valores!$C$33*D196</f>
        <v>17.559999999999999</v>
      </c>
      <c r="AD196" s="115">
        <v>0</v>
      </c>
      <c r="AE196" s="80">
        <f ca="1">INT(((AD196*Valores!$C$2)*100)+0.5)/100</f>
        <v>0</v>
      </c>
      <c r="AF196" s="80">
        <f ca="1">Valores!$D$51*D196</f>
        <v>71.432000000000002</v>
      </c>
      <c r="AG196" s="80">
        <f ca="1">Valores!$D$52*D196</f>
        <v>20.410666666666668</v>
      </c>
      <c r="AH196" s="80">
        <f ca="1">SUM(G196,I196,K196,M196,N196,O196,P196,Q196,R196,S196,U196,V196,W196,Y196,Z196,AA196,AB196,AC196,AE196,AF196,AG196)*Valores!$C$54</f>
        <v>0</v>
      </c>
      <c r="AI196" s="142">
        <f t="shared" ca="1" si="25"/>
        <v>5893.5226666666667</v>
      </c>
      <c r="AJ196" s="85">
        <f ca="1">Valores!$C$36*D196</f>
        <v>48.52</v>
      </c>
      <c r="AK196" s="82">
        <f ca="1">Valores!$C$11*D196</f>
        <v>34.04</v>
      </c>
      <c r="AL196" s="90">
        <f ca="1">9.355*D196</f>
        <v>37.42</v>
      </c>
      <c r="AM196" s="82">
        <f ca="1">IF($G$4="SI",SUM(AK196+AL196),AK196)*Valores!$C$54</f>
        <v>0</v>
      </c>
      <c r="AN196" s="186">
        <f t="shared" ca="1" si="26"/>
        <v>119.98</v>
      </c>
      <c r="AO196" s="155">
        <f ca="1">AI196*-Valores!$C$56</f>
        <v>-766.1579466666667</v>
      </c>
      <c r="AP196" s="155">
        <f ca="1">AI196*-Valores!$C$57</f>
        <v>-29.467613333333333</v>
      </c>
      <c r="AQ196" s="81">
        <f ca="1">AI196*-Valores!$C$58</f>
        <v>-265.20852000000002</v>
      </c>
      <c r="AR196" s="81">
        <f ca="1">AI196*-Valores!$C$59</f>
        <v>-159.12511200000003</v>
      </c>
      <c r="AS196" s="81">
        <f ca="1">AI196*-Valores!$C$60</f>
        <v>-17.680568000000001</v>
      </c>
      <c r="AT196" s="54">
        <f t="shared" ca="1" si="23"/>
        <v>4952.6685866666667</v>
      </c>
      <c r="AU196" s="54">
        <f t="shared" ca="1" si="24"/>
        <v>5041.0714266666673</v>
      </c>
      <c r="AV196" s="81">
        <f ca="1">AI196*Valores!$C$61</f>
        <v>942.96362666666664</v>
      </c>
      <c r="AW196" s="81">
        <f ca="1">AI196*Valores!$C$62</f>
        <v>265.20852000000002</v>
      </c>
      <c r="AX196" s="81">
        <f ca="1">AI196*Valores!$C$64</f>
        <v>58.935226666666665</v>
      </c>
      <c r="AY196" s="81">
        <f ca="1">AI196*Valores!$C$65</f>
        <v>206.27329333333336</v>
      </c>
      <c r="AZ196" s="81">
        <f ca="1">AI196*Valores!$C$66</f>
        <v>35.361136000000002</v>
      </c>
      <c r="BA196" s="81">
        <f t="shared" ca="1" si="27"/>
        <v>318.250224</v>
      </c>
      <c r="BB196" s="55"/>
      <c r="BC196" s="55">
        <f t="shared" ca="1" si="33"/>
        <v>16</v>
      </c>
      <c r="BD196" s="52" t="s">
        <v>467</v>
      </c>
    </row>
    <row r="197" spans="1:56" s="9" customFormat="1" ht="11.25" customHeight="1" x14ac:dyDescent="0.15">
      <c r="A197" s="20">
        <v>196</v>
      </c>
      <c r="B197" s="20"/>
      <c r="C197" s="9" t="s">
        <v>354</v>
      </c>
      <c r="D197" s="9">
        <v>5</v>
      </c>
      <c r="E197" s="10" t="str">
        <f t="shared" ca="1" si="31"/>
        <v>Hora Cátedra Enseñanza Superior 5 hs</v>
      </c>
      <c r="F197" s="123">
        <f t="shared" ca="1" si="32"/>
        <v>495</v>
      </c>
      <c r="G197" s="7">
        <f ca="1">INT((F197*Valores!$C$2*100)+0.5)/100</f>
        <v>2541.6799999999998</v>
      </c>
      <c r="H197" s="134">
        <v>0</v>
      </c>
      <c r="I197" s="77">
        <f ca="1">INT((H197*Valores!$C$2*100)+0.5)/100</f>
        <v>0</v>
      </c>
      <c r="J197" s="147">
        <v>0</v>
      </c>
      <c r="K197" s="77">
        <f ca="1">INT((J197*Valores!$C$2*100)+0.5)/100</f>
        <v>0</v>
      </c>
      <c r="L197" s="120">
        <v>0</v>
      </c>
      <c r="M197" s="77">
        <f ca="1">INT((L197*Valores!$C$2*100)+0.5)/100</f>
        <v>0</v>
      </c>
      <c r="N197" s="77">
        <f t="shared" ca="1" si="28"/>
        <v>0</v>
      </c>
      <c r="O197" s="77">
        <f t="shared" ca="1" si="29"/>
        <v>2699.8799999999997</v>
      </c>
      <c r="P197" s="61">
        <f ca="1">Valores!$C$14*D197</f>
        <v>574.09999999999991</v>
      </c>
      <c r="Q197" s="61">
        <f ca="1">IF(D197&lt;15,(Valores!$E$4*D197),Valores!$D$4)</f>
        <v>765.6</v>
      </c>
      <c r="R197" s="77">
        <v>0</v>
      </c>
      <c r="S197" s="79">
        <f ca="1">Valores!$C$45*D197</f>
        <v>158.19999999999999</v>
      </c>
      <c r="T197" s="61">
        <f ca="1">Valores!$C$22*D197</f>
        <v>232.15</v>
      </c>
      <c r="U197" s="77">
        <f t="shared" ca="1" si="30"/>
        <v>464.3</v>
      </c>
      <c r="V197" s="77">
        <v>0</v>
      </c>
      <c r="W197" s="77">
        <v>0</v>
      </c>
      <c r="X197" s="37">
        <v>0</v>
      </c>
      <c r="Y197" s="77">
        <f ca="1">X197*Valores!$C$2</f>
        <v>0</v>
      </c>
      <c r="Z197" s="77">
        <v>0</v>
      </c>
      <c r="AA197" s="89">
        <f ca="1">(Valores!$C$32)*D197</f>
        <v>26.400000000000002</v>
      </c>
      <c r="AB197" s="77">
        <f t="shared" ca="1" si="22"/>
        <v>0</v>
      </c>
      <c r="AC197" s="77">
        <f ca="1">Valores!$C$33*D197</f>
        <v>21.95</v>
      </c>
      <c r="AD197" s="116">
        <v>0</v>
      </c>
      <c r="AE197" s="77">
        <f ca="1">INT(((AD197*Valores!$C$2)*100)+0.5)/100</f>
        <v>0</v>
      </c>
      <c r="AF197" s="77">
        <f ca="1">Valores!$D$51*D197</f>
        <v>89.29</v>
      </c>
      <c r="AG197" s="77">
        <f ca="1">Valores!$D$52*D197</f>
        <v>25.513333333333335</v>
      </c>
      <c r="AH197" s="77">
        <f ca="1">SUM(G197,I197,K197,M197,N197,O197,P197,Q197,R197,S197,U197,V197,W197,Y197,Z197,AA197,AB197,AC197,AE197,AF197,AG197)*Valores!$C$54</f>
        <v>0</v>
      </c>
      <c r="AI197" s="141">
        <f t="shared" ca="1" si="25"/>
        <v>7366.913333333333</v>
      </c>
      <c r="AJ197" s="61">
        <f ca="1">Valores!$C$36*D197</f>
        <v>60.650000000000006</v>
      </c>
      <c r="AK197" s="79">
        <f ca="1">Valores!$C$11*D197</f>
        <v>42.55</v>
      </c>
      <c r="AL197" s="89">
        <f ca="1">9.3545*D197</f>
        <v>46.772500000000001</v>
      </c>
      <c r="AM197" s="79">
        <f ca="1">IF($G$4="SI",SUM(AK197+AL197),AK197)*Valores!$C$54</f>
        <v>0</v>
      </c>
      <c r="AN197" s="12">
        <f t="shared" ca="1" si="26"/>
        <v>149.9725</v>
      </c>
      <c r="AO197" s="13">
        <f ca="1">AI197*-Valores!$C$56</f>
        <v>-957.69873333333328</v>
      </c>
      <c r="AP197" s="13">
        <f ca="1">AI197*-Valores!$C$57</f>
        <v>-36.834566666666667</v>
      </c>
      <c r="AQ197" s="78">
        <f ca="1">AI197*-Valores!$C$58</f>
        <v>-331.5111</v>
      </c>
      <c r="AR197" s="78">
        <f ca="1">AI197*-Valores!$C$59</f>
        <v>-198.90666000000002</v>
      </c>
      <c r="AS197" s="78">
        <f ca="1">AI197*-Valores!$C$60</f>
        <v>-22.100739999999998</v>
      </c>
      <c r="AT197" s="15">
        <f t="shared" ca="1" si="23"/>
        <v>6190.841433333333</v>
      </c>
      <c r="AU197" s="15">
        <f t="shared" ca="1" si="24"/>
        <v>6301.3451333333333</v>
      </c>
      <c r="AV197" s="78">
        <f ca="1">AI197*Valores!$C$61</f>
        <v>1178.7061333333334</v>
      </c>
      <c r="AW197" s="78">
        <f ca="1">AI197*Valores!$C$62</f>
        <v>331.5111</v>
      </c>
      <c r="AX197" s="78">
        <f ca="1">AI197*Valores!$C$64</f>
        <v>73.669133333333335</v>
      </c>
      <c r="AY197" s="78">
        <f ca="1">AI197*Valores!$C$65</f>
        <v>257.84196666666668</v>
      </c>
      <c r="AZ197" s="78">
        <f ca="1">AI197*Valores!$C$66</f>
        <v>44.201479999999997</v>
      </c>
      <c r="BA197" s="78">
        <f t="shared" ca="1" si="27"/>
        <v>397.81332000000003</v>
      </c>
      <c r="BB197" s="20"/>
      <c r="BC197" s="20">
        <f t="shared" ca="1" si="33"/>
        <v>20</v>
      </c>
      <c r="BD197" s="9" t="s">
        <v>467</v>
      </c>
    </row>
    <row r="198" spans="1:56" s="9" customFormat="1" ht="11.25" customHeight="1" x14ac:dyDescent="0.15">
      <c r="A198" s="20">
        <v>197</v>
      </c>
      <c r="B198" s="20"/>
      <c r="C198" s="9" t="s">
        <v>354</v>
      </c>
      <c r="D198" s="9">
        <v>6</v>
      </c>
      <c r="E198" s="10" t="str">
        <f t="shared" ca="1" si="31"/>
        <v>Hora Cátedra Enseñanza Superior 6 hs</v>
      </c>
      <c r="F198" s="123">
        <f t="shared" ca="1" si="32"/>
        <v>594</v>
      </c>
      <c r="G198" s="7">
        <f ca="1">INT((F198*Valores!$C$2*100)+0.5)/100</f>
        <v>3050.01</v>
      </c>
      <c r="H198" s="134">
        <v>0</v>
      </c>
      <c r="I198" s="77">
        <f ca="1">INT((H198*Valores!$C$2*100)+0.5)/100</f>
        <v>0</v>
      </c>
      <c r="J198" s="147">
        <v>0</v>
      </c>
      <c r="K198" s="77">
        <f ca="1">INT((J198*Valores!$C$2*100)+0.5)/100</f>
        <v>0</v>
      </c>
      <c r="L198" s="120">
        <v>0</v>
      </c>
      <c r="M198" s="77">
        <f ca="1">INT((L198*Valores!$C$2*100)+0.5)/100</f>
        <v>0</v>
      </c>
      <c r="N198" s="77">
        <f t="shared" ca="1" si="28"/>
        <v>0</v>
      </c>
      <c r="O198" s="77">
        <f t="shared" ca="1" si="29"/>
        <v>3239.8500000000004</v>
      </c>
      <c r="P198" s="61">
        <f ca="1">Valores!$C$14*D198</f>
        <v>688.92</v>
      </c>
      <c r="Q198" s="61">
        <f ca="1">IF(D198&lt;15,(Valores!$E$4*D198),Valores!$D$4)</f>
        <v>918.72</v>
      </c>
      <c r="R198" s="77">
        <v>0</v>
      </c>
      <c r="S198" s="79">
        <f ca="1">Valores!$C$45*D198</f>
        <v>189.84</v>
      </c>
      <c r="T198" s="61">
        <f ca="1">Valores!$C$22*D198</f>
        <v>278.58</v>
      </c>
      <c r="U198" s="77">
        <f t="shared" ca="1" si="30"/>
        <v>557.16</v>
      </c>
      <c r="V198" s="77">
        <v>0</v>
      </c>
      <c r="W198" s="77">
        <v>0</v>
      </c>
      <c r="X198" s="37">
        <v>0</v>
      </c>
      <c r="Y198" s="77">
        <f ca="1">X198*Valores!$C$2</f>
        <v>0</v>
      </c>
      <c r="Z198" s="77">
        <v>0</v>
      </c>
      <c r="AA198" s="89">
        <f ca="1">(Valores!$C$32)*D198</f>
        <v>31.68</v>
      </c>
      <c r="AB198" s="77">
        <f t="shared" ca="1" si="22"/>
        <v>0</v>
      </c>
      <c r="AC198" s="77">
        <f ca="1">Valores!$C$33*D198</f>
        <v>26.339999999999996</v>
      </c>
      <c r="AD198" s="116">
        <v>0</v>
      </c>
      <c r="AE198" s="77">
        <f ca="1">INT(((AD198*Valores!$C$2)*100)+0.5)/100</f>
        <v>0</v>
      </c>
      <c r="AF198" s="77">
        <f ca="1">Valores!$D$51*D198</f>
        <v>107.148</v>
      </c>
      <c r="AG198" s="77">
        <f ca="1">Valores!$D$52*D198</f>
        <v>30.616</v>
      </c>
      <c r="AH198" s="77">
        <f ca="1">SUM(G198,I198,K198,M198,N198,O198,P198,Q198,R198,S198,U198,V198,W198,Y198,Z198,AA198,AB198,AC198,AE198,AF198,AG198)*Valores!$C$54</f>
        <v>0</v>
      </c>
      <c r="AI198" s="141">
        <f t="shared" ca="1" si="25"/>
        <v>8840.2840000000015</v>
      </c>
      <c r="AJ198" s="61">
        <f ca="1">Valores!$C$36*D198</f>
        <v>72.78</v>
      </c>
      <c r="AK198" s="79">
        <f ca="1">Valores!$C$11*D198</f>
        <v>51.06</v>
      </c>
      <c r="AL198" s="89">
        <f ca="1">9.3545*D198</f>
        <v>56.126999999999995</v>
      </c>
      <c r="AM198" s="79">
        <f ca="1">IF($G$4="SI",SUM(AK198+AL198),AK198)*Valores!$C$54</f>
        <v>0</v>
      </c>
      <c r="AN198" s="12">
        <f t="shared" ca="1" si="26"/>
        <v>179.96699999999998</v>
      </c>
      <c r="AO198" s="13">
        <f ca="1">AI198*-Valores!$C$56</f>
        <v>-1149.2369200000003</v>
      </c>
      <c r="AP198" s="13">
        <f ca="1">AI198*-Valores!$C$57</f>
        <v>-44.201420000000006</v>
      </c>
      <c r="AQ198" s="78">
        <f ca="1">AI198*-Valores!$C$58</f>
        <v>-397.81278000000003</v>
      </c>
      <c r="AR198" s="78">
        <f ca="1">AI198*-Valores!$C$59</f>
        <v>-238.68766800000006</v>
      </c>
      <c r="AS198" s="78">
        <f ca="1">AI198*-Valores!$C$60</f>
        <v>-26.520852000000005</v>
      </c>
      <c r="AT198" s="15">
        <f t="shared" ca="1" si="23"/>
        <v>7428.9998800000021</v>
      </c>
      <c r="AU198" s="15">
        <f t="shared" ca="1" si="24"/>
        <v>7561.6041400000022</v>
      </c>
      <c r="AV198" s="78">
        <f ca="1">AI198*Valores!$C$61</f>
        <v>1414.4454400000002</v>
      </c>
      <c r="AW198" s="78">
        <f ca="1">AI198*Valores!$C$62</f>
        <v>397.81278000000003</v>
      </c>
      <c r="AX198" s="78">
        <f ca="1">AI198*Valores!$C$64</f>
        <v>88.402840000000012</v>
      </c>
      <c r="AY198" s="78">
        <f ca="1">AI198*Valores!$C$65</f>
        <v>309.40994000000006</v>
      </c>
      <c r="AZ198" s="78">
        <f ca="1">AI198*Valores!$C$66</f>
        <v>53.04170400000001</v>
      </c>
      <c r="BA198" s="78">
        <f t="shared" ca="1" si="27"/>
        <v>477.37533600000012</v>
      </c>
      <c r="BB198" s="20"/>
      <c r="BC198" s="20">
        <f t="shared" ca="1" si="33"/>
        <v>24</v>
      </c>
      <c r="BD198" s="9" t="s">
        <v>467</v>
      </c>
    </row>
    <row r="199" spans="1:56" s="9" customFormat="1" ht="11.25" customHeight="1" x14ac:dyDescent="0.15">
      <c r="A199" s="20">
        <v>198</v>
      </c>
      <c r="B199" s="20"/>
      <c r="C199" s="9" t="s">
        <v>354</v>
      </c>
      <c r="D199" s="9">
        <v>7</v>
      </c>
      <c r="E199" s="10" t="str">
        <f t="shared" ca="1" si="31"/>
        <v>Hora Cátedra Enseñanza Superior 7 hs</v>
      </c>
      <c r="F199" s="123">
        <f t="shared" ca="1" si="32"/>
        <v>693</v>
      </c>
      <c r="G199" s="7">
        <f ca="1">INT((F199*Valores!$C$2*100)+0.5)/100</f>
        <v>3558.35</v>
      </c>
      <c r="H199" s="134">
        <v>0</v>
      </c>
      <c r="I199" s="77">
        <f ca="1">INT((H199*Valores!$C$2*100)+0.5)/100</f>
        <v>0</v>
      </c>
      <c r="J199" s="147">
        <v>0</v>
      </c>
      <c r="K199" s="77">
        <f ca="1">INT((J199*Valores!$C$2*100)+0.5)/100</f>
        <v>0</v>
      </c>
      <c r="L199" s="120">
        <v>0</v>
      </c>
      <c r="M199" s="77">
        <f ca="1">INT((L199*Valores!$C$2*100)+0.5)/100</f>
        <v>0</v>
      </c>
      <c r="N199" s="77">
        <f t="shared" ca="1" si="28"/>
        <v>0</v>
      </c>
      <c r="O199" s="77">
        <f t="shared" ca="1" si="29"/>
        <v>3779.83</v>
      </c>
      <c r="P199" s="61">
        <f ca="1">Valores!$C$14*D199</f>
        <v>803.74</v>
      </c>
      <c r="Q199" s="61">
        <f ca="1">IF(D199&lt;15,(Valores!$E$4*D199),Valores!$D$4)</f>
        <v>1071.8400000000001</v>
      </c>
      <c r="R199" s="77">
        <v>0</v>
      </c>
      <c r="S199" s="79">
        <f ca="1">Valores!$C$45*D199</f>
        <v>221.48000000000002</v>
      </c>
      <c r="T199" s="61">
        <f ca="1">Valores!$C$22*D199</f>
        <v>325.01</v>
      </c>
      <c r="U199" s="77">
        <f t="shared" ca="1" si="30"/>
        <v>650.02</v>
      </c>
      <c r="V199" s="77">
        <v>0</v>
      </c>
      <c r="W199" s="77">
        <v>0</v>
      </c>
      <c r="X199" s="37">
        <v>0</v>
      </c>
      <c r="Y199" s="77">
        <f ca="1">X199*Valores!$C$2</f>
        <v>0</v>
      </c>
      <c r="Z199" s="77">
        <v>0</v>
      </c>
      <c r="AA199" s="89">
        <f ca="1">(Valores!$C$32)*D199</f>
        <v>36.96</v>
      </c>
      <c r="AB199" s="77">
        <f t="shared" ref="AB199:AB262" ca="1" si="34">SUM(G199,I199,K199,Y199,S199,M199)*$G$3/100</f>
        <v>0</v>
      </c>
      <c r="AC199" s="77">
        <f ca="1">Valores!$C$33*D199</f>
        <v>30.729999999999997</v>
      </c>
      <c r="AD199" s="116">
        <v>0</v>
      </c>
      <c r="AE199" s="77">
        <f ca="1">INT(((AD199*Valores!$C$2)*100)+0.5)/100</f>
        <v>0</v>
      </c>
      <c r="AF199" s="77">
        <f ca="1">Valores!$D$51*D199</f>
        <v>125.006</v>
      </c>
      <c r="AG199" s="77">
        <f ca="1">Valores!$D$52*D199</f>
        <v>35.718666666666671</v>
      </c>
      <c r="AH199" s="77">
        <f ca="1">SUM(G199,I199,K199,M199,N199,O199,P199,Q199,R199,S199,U199,V199,W199,Y199,Z199,AA199,AB199,AC199,AE199,AF199,AG199)*Valores!$C$54</f>
        <v>0</v>
      </c>
      <c r="AI199" s="141">
        <f t="shared" ca="1" si="25"/>
        <v>10313.674666666666</v>
      </c>
      <c r="AJ199" s="61">
        <f ca="1">Valores!$C$36*D199</f>
        <v>84.910000000000011</v>
      </c>
      <c r="AK199" s="79">
        <f ca="1">Valores!$C$11*D199</f>
        <v>59.57</v>
      </c>
      <c r="AL199" s="89">
        <f ca="1">9.3545*D199</f>
        <v>65.481499999999997</v>
      </c>
      <c r="AM199" s="79">
        <f ca="1">IF($G$4="SI",SUM(AK199+AL199),AK199)*Valores!$C$54</f>
        <v>0</v>
      </c>
      <c r="AN199" s="12">
        <f t="shared" ca="1" si="26"/>
        <v>209.9615</v>
      </c>
      <c r="AO199" s="13">
        <f ca="1">AI199*-Valores!$C$56</f>
        <v>-1340.7777066666665</v>
      </c>
      <c r="AP199" s="13">
        <f ca="1">AI199*-Valores!$C$57</f>
        <v>-51.568373333333334</v>
      </c>
      <c r="AQ199" s="78">
        <f ca="1">AI199*-Valores!$C$58</f>
        <v>-464.11535999999995</v>
      </c>
      <c r="AR199" s="78">
        <f ca="1">AI199*-Valores!$C$59</f>
        <v>-278.46921600000002</v>
      </c>
      <c r="AS199" s="78">
        <f ca="1">AI199*-Valores!$C$60</f>
        <v>-30.941023999999999</v>
      </c>
      <c r="AT199" s="15">
        <f t="shared" ref="AT199:AT262" ca="1" si="35">AI199+AN199+AP199+AQ199+AO199</f>
        <v>8667.1747266666662</v>
      </c>
      <c r="AU199" s="15">
        <f t="shared" ref="AU199:AU262" ca="1" si="36">AI199+AN199+AP199+AR199+AO199+AS199</f>
        <v>8821.8798466666667</v>
      </c>
      <c r="AV199" s="78">
        <f ca="1">AI199*Valores!$C$61</f>
        <v>1650.1879466666667</v>
      </c>
      <c r="AW199" s="78">
        <f ca="1">AI199*Valores!$C$62</f>
        <v>464.11535999999995</v>
      </c>
      <c r="AX199" s="78">
        <f ca="1">AI199*Valores!$C$64</f>
        <v>103.13674666666667</v>
      </c>
      <c r="AY199" s="78">
        <f ca="1">AI199*Valores!$C$65</f>
        <v>360.97861333333333</v>
      </c>
      <c r="AZ199" s="78">
        <f ca="1">AI199*Valores!$C$66</f>
        <v>61.882047999999998</v>
      </c>
      <c r="BA199" s="78">
        <f t="shared" ca="1" si="27"/>
        <v>556.93843200000003</v>
      </c>
      <c r="BB199" s="20"/>
      <c r="BC199" s="55">
        <f t="shared" ca="1" si="33"/>
        <v>28</v>
      </c>
      <c r="BD199" s="9" t="s">
        <v>467</v>
      </c>
    </row>
    <row r="200" spans="1:56" s="9" customFormat="1" ht="11.25" customHeight="1" x14ac:dyDescent="0.15">
      <c r="A200" s="20">
        <v>199</v>
      </c>
      <c r="B200" s="20"/>
      <c r="C200" s="9" t="s">
        <v>354</v>
      </c>
      <c r="D200" s="9">
        <v>8</v>
      </c>
      <c r="E200" s="10" t="str">
        <f t="shared" ca="1" si="31"/>
        <v>Hora Cátedra Enseñanza Superior 8 hs</v>
      </c>
      <c r="F200" s="123">
        <f t="shared" ca="1" si="32"/>
        <v>792</v>
      </c>
      <c r="G200" s="7">
        <f ca="1">INT((F200*Valores!$C$2*100)+0.5)/100</f>
        <v>4066.68</v>
      </c>
      <c r="H200" s="134">
        <v>0</v>
      </c>
      <c r="I200" s="77">
        <f ca="1">INT((H200*Valores!$C$2*100)+0.5)/100</f>
        <v>0</v>
      </c>
      <c r="J200" s="147">
        <v>0</v>
      </c>
      <c r="K200" s="77">
        <f ca="1">INT((J200*Valores!$C$2*100)+0.5)/100</f>
        <v>0</v>
      </c>
      <c r="L200" s="120">
        <v>0</v>
      </c>
      <c r="M200" s="77">
        <f ca="1">INT((L200*Valores!$C$2*100)+0.5)/100</f>
        <v>0</v>
      </c>
      <c r="N200" s="77">
        <f t="shared" ca="1" si="28"/>
        <v>0</v>
      </c>
      <c r="O200" s="77">
        <f t="shared" ca="1" si="29"/>
        <v>4319.8</v>
      </c>
      <c r="P200" s="61">
        <f ca="1">Valores!$C$14*D200</f>
        <v>918.56</v>
      </c>
      <c r="Q200" s="61">
        <f ca="1">IF(D200&lt;15,(Valores!$E$4*D200),Valores!$D$4)</f>
        <v>1224.96</v>
      </c>
      <c r="R200" s="77">
        <v>0</v>
      </c>
      <c r="S200" s="79">
        <f ca="1">Valores!$C$45*D200</f>
        <v>253.12</v>
      </c>
      <c r="T200" s="61">
        <f ca="1">Valores!$C$22*D200</f>
        <v>371.44</v>
      </c>
      <c r="U200" s="77">
        <f t="shared" ca="1" si="30"/>
        <v>742.88</v>
      </c>
      <c r="V200" s="77">
        <v>0</v>
      </c>
      <c r="W200" s="77">
        <v>0</v>
      </c>
      <c r="X200" s="37">
        <v>0</v>
      </c>
      <c r="Y200" s="77">
        <f ca="1">X200*Valores!$C$2</f>
        <v>0</v>
      </c>
      <c r="Z200" s="77">
        <v>0</v>
      </c>
      <c r="AA200" s="89">
        <f ca="1">(Valores!$C$32)*D200</f>
        <v>42.24</v>
      </c>
      <c r="AB200" s="77">
        <f t="shared" ca="1" si="34"/>
        <v>0</v>
      </c>
      <c r="AC200" s="77">
        <f ca="1">Valores!$C$33*D200</f>
        <v>35.119999999999997</v>
      </c>
      <c r="AD200" s="116">
        <v>0</v>
      </c>
      <c r="AE200" s="77">
        <f ca="1">INT(((AD200*Valores!$C$2)*100)+0.5)/100</f>
        <v>0</v>
      </c>
      <c r="AF200" s="77">
        <f ca="1">Valores!$D$51*D200</f>
        <v>142.864</v>
      </c>
      <c r="AG200" s="77">
        <f ca="1">Valores!$D$52*D200</f>
        <v>40.821333333333335</v>
      </c>
      <c r="AH200" s="77">
        <f ca="1">SUM(G200,I200,K200,M200,N200,O200,P200,Q200,R200,S200,U200,V200,W200,Y200,Z200,AA200,AB200,AC200,AE200,AF200,AG200)*Valores!$C$54</f>
        <v>0</v>
      </c>
      <c r="AI200" s="141">
        <f t="shared" ref="AI200:AI263" ca="1" si="37">SUM(G200,I200,K200,M200,N200,O200,P200,Q200,R200,U200,V200,W200,Y200,Z200,AA200,AB200,AC200,AE200,S200,AF200,AG200,AH200)</f>
        <v>11787.045333333333</v>
      </c>
      <c r="AJ200" s="61">
        <f ca="1">Valores!$C$36*D200</f>
        <v>97.04</v>
      </c>
      <c r="AK200" s="79">
        <f ca="1">Valores!$C$11*D200</f>
        <v>68.08</v>
      </c>
      <c r="AL200" s="89">
        <f ca="1">9.354*D200</f>
        <v>74.831999999999994</v>
      </c>
      <c r="AM200" s="79">
        <f ca="1">IF($G$4="SI",SUM(AK200+AL200),AK200)*Valores!$C$54</f>
        <v>0</v>
      </c>
      <c r="AN200" s="12">
        <f t="shared" ref="AN200:AN263" ca="1" si="38">SUM(AJ200:AK200,AL200,AM200)</f>
        <v>239.952</v>
      </c>
      <c r="AO200" s="13">
        <f ca="1">AI200*-Valores!$C$56</f>
        <v>-1532.3158933333334</v>
      </c>
      <c r="AP200" s="13">
        <f ca="1">AI200*-Valores!$C$57</f>
        <v>-58.935226666666665</v>
      </c>
      <c r="AQ200" s="78">
        <f ca="1">AI200*-Valores!$C$58</f>
        <v>-530.41704000000004</v>
      </c>
      <c r="AR200" s="78">
        <f ca="1">AI200*-Valores!$C$59</f>
        <v>-318.25022400000006</v>
      </c>
      <c r="AS200" s="78">
        <f ca="1">AI200*-Valores!$C$60</f>
        <v>-35.361136000000002</v>
      </c>
      <c r="AT200" s="15">
        <f t="shared" ca="1" si="35"/>
        <v>9905.3291733333317</v>
      </c>
      <c r="AU200" s="15">
        <f t="shared" ca="1" si="36"/>
        <v>10082.134853333333</v>
      </c>
      <c r="AV200" s="78">
        <f ca="1">AI200*Valores!$C$61</f>
        <v>1885.9272533333333</v>
      </c>
      <c r="AW200" s="78">
        <f ca="1">AI200*Valores!$C$62</f>
        <v>530.41704000000004</v>
      </c>
      <c r="AX200" s="78">
        <f ca="1">AI200*Valores!$C$64</f>
        <v>117.87045333333333</v>
      </c>
      <c r="AY200" s="78">
        <f ca="1">AI200*Valores!$C$65</f>
        <v>412.54658666666671</v>
      </c>
      <c r="AZ200" s="78">
        <f ca="1">AI200*Valores!$C$66</f>
        <v>70.722272000000004</v>
      </c>
      <c r="BA200" s="78">
        <f t="shared" ca="1" si="27"/>
        <v>636.50044800000001</v>
      </c>
      <c r="BB200" s="20"/>
      <c r="BC200" s="20">
        <f t="shared" ca="1" si="33"/>
        <v>32</v>
      </c>
      <c r="BD200" s="9" t="s">
        <v>467</v>
      </c>
    </row>
    <row r="201" spans="1:56" s="9" customFormat="1" ht="11.25" customHeight="1" x14ac:dyDescent="0.15">
      <c r="A201" s="55">
        <v>200</v>
      </c>
      <c r="B201" s="55" t="s">
        <v>462</v>
      </c>
      <c r="C201" s="52" t="s">
        <v>354</v>
      </c>
      <c r="D201" s="52">
        <v>9</v>
      </c>
      <c r="E201" s="53" t="str">
        <f t="shared" ca="1" si="31"/>
        <v>Hora Cátedra Enseñanza Superior 9 hs</v>
      </c>
      <c r="F201" s="124">
        <f t="shared" ca="1" si="32"/>
        <v>891</v>
      </c>
      <c r="G201" s="129">
        <f ca="1">INT((F201*Valores!$C$2*100)+0.5)/100</f>
        <v>4575.0200000000004</v>
      </c>
      <c r="H201" s="133">
        <v>0</v>
      </c>
      <c r="I201" s="80">
        <f ca="1">INT((H201*Valores!$C$2*100)+0.5)/100</f>
        <v>0</v>
      </c>
      <c r="J201" s="148">
        <v>0</v>
      </c>
      <c r="K201" s="80">
        <f ca="1">INT((J201*Valores!$C$2*100)+0.5)/100</f>
        <v>0</v>
      </c>
      <c r="L201" s="121">
        <v>0</v>
      </c>
      <c r="M201" s="80">
        <f ca="1">INT((L201*Valores!$C$2*100)+0.5)/100</f>
        <v>0</v>
      </c>
      <c r="N201" s="80">
        <f t="shared" ca="1" si="28"/>
        <v>0</v>
      </c>
      <c r="O201" s="80">
        <f t="shared" ca="1" si="29"/>
        <v>4859.7800000000007</v>
      </c>
      <c r="P201" s="85">
        <f ca="1">Valores!$C$14*D201</f>
        <v>1033.3799999999999</v>
      </c>
      <c r="Q201" s="85">
        <f ca="1">IF(D201&lt;15,(Valores!$E$4*D201),Valores!$D$4)</f>
        <v>1378.08</v>
      </c>
      <c r="R201" s="80">
        <v>0</v>
      </c>
      <c r="S201" s="82">
        <f ca="1">Valores!$C$45*D201</f>
        <v>284.76</v>
      </c>
      <c r="T201" s="85">
        <f ca="1">Valores!$C$22*D201</f>
        <v>417.87</v>
      </c>
      <c r="U201" s="80">
        <f t="shared" ca="1" si="30"/>
        <v>835.74</v>
      </c>
      <c r="V201" s="80">
        <v>0</v>
      </c>
      <c r="W201" s="80">
        <v>0</v>
      </c>
      <c r="X201" s="60">
        <v>0</v>
      </c>
      <c r="Y201" s="80">
        <f ca="1">X201*Valores!$C$2</f>
        <v>0</v>
      </c>
      <c r="Z201" s="80">
        <v>0</v>
      </c>
      <c r="AA201" s="90">
        <f ca="1">(Valores!$C$32)*D201</f>
        <v>47.52</v>
      </c>
      <c r="AB201" s="80">
        <f t="shared" ca="1" si="34"/>
        <v>0</v>
      </c>
      <c r="AC201" s="80">
        <f ca="1">Valores!$C$33*D201</f>
        <v>39.51</v>
      </c>
      <c r="AD201" s="115">
        <v>0</v>
      </c>
      <c r="AE201" s="80">
        <f ca="1">INT(((AD201*Valores!$C$2)*100)+0.5)/100</f>
        <v>0</v>
      </c>
      <c r="AF201" s="80">
        <f ca="1">Valores!$D$51*D201</f>
        <v>160.72200000000001</v>
      </c>
      <c r="AG201" s="80">
        <f ca="1">Valores!$D$52*D201</f>
        <v>45.923999999999999</v>
      </c>
      <c r="AH201" s="80">
        <f ca="1">SUM(G201,I201,K201,M201,N201,O201,P201,Q201,R201,S201,U201,V201,W201,Y201,Z201,AA201,AB201,AC201,AE201,AF201,AG201)*Valores!$C$54</f>
        <v>0</v>
      </c>
      <c r="AI201" s="142">
        <f t="shared" ca="1" si="37"/>
        <v>13260.436000000002</v>
      </c>
      <c r="AJ201" s="85">
        <f ca="1">Valores!$C$36*D201</f>
        <v>109.17</v>
      </c>
      <c r="AK201" s="82">
        <f ca="1">Valores!$C$11*D201</f>
        <v>76.59</v>
      </c>
      <c r="AL201" s="90">
        <f ca="1">9.3545*D201</f>
        <v>84.1905</v>
      </c>
      <c r="AM201" s="82">
        <f ca="1">IF($G$4="SI",SUM(AK201+AL201),AK201)*Valores!$C$54</f>
        <v>0</v>
      </c>
      <c r="AN201" s="186">
        <f t="shared" ca="1" si="38"/>
        <v>269.95049999999998</v>
      </c>
      <c r="AO201" s="155">
        <f ca="1">AI201*-Valores!$C$56</f>
        <v>-1723.8566800000003</v>
      </c>
      <c r="AP201" s="155">
        <f ca="1">AI201*-Valores!$C$57</f>
        <v>-66.302180000000007</v>
      </c>
      <c r="AQ201" s="81">
        <f ca="1">AI201*-Valores!$C$58</f>
        <v>-596.71962000000008</v>
      </c>
      <c r="AR201" s="81">
        <f ca="1">AI201*-Valores!$C$59</f>
        <v>-358.0317720000001</v>
      </c>
      <c r="AS201" s="81">
        <f ca="1">AI201*-Valores!$C$60</f>
        <v>-39.781308000000003</v>
      </c>
      <c r="AT201" s="54">
        <f t="shared" ca="1" si="35"/>
        <v>11143.508020000001</v>
      </c>
      <c r="AU201" s="54">
        <f t="shared" ca="1" si="36"/>
        <v>11342.414560000001</v>
      </c>
      <c r="AV201" s="81">
        <f ca="1">AI201*Valores!$C$61</f>
        <v>2121.6697600000002</v>
      </c>
      <c r="AW201" s="81">
        <f ca="1">AI201*Valores!$C$62</f>
        <v>596.71962000000008</v>
      </c>
      <c r="AX201" s="81">
        <f ca="1">AI201*Valores!$C$64</f>
        <v>132.60436000000001</v>
      </c>
      <c r="AY201" s="81">
        <f ca="1">AI201*Valores!$C$65</f>
        <v>464.11526000000009</v>
      </c>
      <c r="AZ201" s="81">
        <f ca="1">AI201*Valores!$C$66</f>
        <v>79.562616000000006</v>
      </c>
      <c r="BA201" s="81">
        <f t="shared" ref="BA201:BA264" ca="1" si="39">AI201*5.4/100</f>
        <v>716.06354400000009</v>
      </c>
      <c r="BB201" s="55"/>
      <c r="BC201" s="55">
        <f t="shared" ca="1" si="33"/>
        <v>36</v>
      </c>
      <c r="BD201" s="52" t="s">
        <v>467</v>
      </c>
    </row>
    <row r="202" spans="1:56" s="9" customFormat="1" ht="11.25" customHeight="1" x14ac:dyDescent="0.15">
      <c r="A202" s="20">
        <v>201</v>
      </c>
      <c r="B202" s="20"/>
      <c r="C202" s="9" t="s">
        <v>354</v>
      </c>
      <c r="D202" s="9">
        <v>10</v>
      </c>
      <c r="E202" s="10" t="str">
        <f t="shared" ca="1" si="31"/>
        <v>Hora Cátedra Enseñanza Superior 10 hs</v>
      </c>
      <c r="F202" s="123">
        <f t="shared" ca="1" si="32"/>
        <v>990</v>
      </c>
      <c r="G202" s="7">
        <f ca="1">INT((F202*Valores!$C$2*100)+0.5)/100</f>
        <v>5083.3500000000004</v>
      </c>
      <c r="H202" s="134">
        <v>0</v>
      </c>
      <c r="I202" s="77">
        <f ca="1">INT((H202*Valores!$C$2*100)+0.5)/100</f>
        <v>0</v>
      </c>
      <c r="J202" s="147">
        <v>0</v>
      </c>
      <c r="K202" s="77">
        <f ca="1">INT((J202*Valores!$C$2*100)+0.5)/100</f>
        <v>0</v>
      </c>
      <c r="L202" s="120">
        <v>0</v>
      </c>
      <c r="M202" s="77">
        <f ca="1">INT((L202*Valores!$C$2*100)+0.5)/100</f>
        <v>0</v>
      </c>
      <c r="N202" s="77">
        <f t="shared" ref="N202:N265" ca="1" si="40">IF($I$2=0,IF(C202&lt;&gt;"13-930",(SUM(G202,I202,K202,M202,Y202,T202,S202)*$N$2),0),0)</f>
        <v>0</v>
      </c>
      <c r="O202" s="77">
        <f t="shared" ref="O202:O265" ca="1" si="41">SUM(G202,I202,K202,M202,Y202,S202)*$I$2</f>
        <v>5399.75</v>
      </c>
      <c r="P202" s="61">
        <f ca="1">Valores!$C$14*D202</f>
        <v>1148.1999999999998</v>
      </c>
      <c r="Q202" s="61">
        <f ca="1">IF(D202&lt;15,(Valores!$E$4*D202),Valores!$D$4)</f>
        <v>1531.2</v>
      </c>
      <c r="R202" s="77">
        <v>0</v>
      </c>
      <c r="S202" s="79">
        <f ca="1">Valores!$C$45*D202</f>
        <v>316.39999999999998</v>
      </c>
      <c r="T202" s="61">
        <f ca="1">Valores!$C$22*D202</f>
        <v>464.3</v>
      </c>
      <c r="U202" s="77">
        <f t="shared" ca="1" si="30"/>
        <v>928.6</v>
      </c>
      <c r="V202" s="77">
        <v>0</v>
      </c>
      <c r="W202" s="77">
        <v>0</v>
      </c>
      <c r="X202" s="37">
        <v>0</v>
      </c>
      <c r="Y202" s="77">
        <f ca="1">X202*Valores!$C$2</f>
        <v>0</v>
      </c>
      <c r="Z202" s="77">
        <v>0</v>
      </c>
      <c r="AA202" s="89">
        <f ca="1">(Valores!$C$32)*D202</f>
        <v>52.800000000000004</v>
      </c>
      <c r="AB202" s="77">
        <f t="shared" ca="1" si="34"/>
        <v>0</v>
      </c>
      <c r="AC202" s="77">
        <f ca="1">Valores!$C$33*D202</f>
        <v>43.9</v>
      </c>
      <c r="AD202" s="116">
        <v>0</v>
      </c>
      <c r="AE202" s="77">
        <f ca="1">INT(((AD202*Valores!$C$2)*100)+0.5)/100</f>
        <v>0</v>
      </c>
      <c r="AF202" s="77">
        <f ca="1">Valores!$D$51*D202</f>
        <v>178.58</v>
      </c>
      <c r="AG202" s="77">
        <f ca="1">Valores!$D$52*D202</f>
        <v>51.026666666666671</v>
      </c>
      <c r="AH202" s="77">
        <f ca="1">SUM(G202,I202,K202,M202,N202,O202,P202,Q202,R202,S202,U202,V202,W202,Y202,Z202,AA202,AB202,AC202,AE202,AF202,AG202)*Valores!$C$54</f>
        <v>0</v>
      </c>
      <c r="AI202" s="141">
        <f t="shared" ca="1" si="37"/>
        <v>14733.806666666665</v>
      </c>
      <c r="AJ202" s="61">
        <f ca="1">Valores!$C$36*D202</f>
        <v>121.30000000000001</v>
      </c>
      <c r="AK202" s="79">
        <f ca="1">Valores!$C$11*D202</f>
        <v>85.1</v>
      </c>
      <c r="AL202" s="89">
        <f ca="1">9.354*D202</f>
        <v>93.539999999999992</v>
      </c>
      <c r="AM202" s="79">
        <f ca="1">IF($G$4="SI",SUM(AK202+AL202),AK202)*Valores!$C$54</f>
        <v>0</v>
      </c>
      <c r="AN202" s="12">
        <f t="shared" ca="1" si="38"/>
        <v>299.94</v>
      </c>
      <c r="AO202" s="13">
        <f ca="1">AI202*-Valores!$C$56</f>
        <v>-1915.3948666666665</v>
      </c>
      <c r="AP202" s="13">
        <f ca="1">AI202*-Valores!$C$57</f>
        <v>-73.669033333333331</v>
      </c>
      <c r="AQ202" s="78">
        <f ca="1">AI202*-Valores!$C$58</f>
        <v>-663.02129999999988</v>
      </c>
      <c r="AR202" s="78">
        <f ca="1">AI202*-Valores!$C$59</f>
        <v>-397.81278000000003</v>
      </c>
      <c r="AS202" s="78">
        <f ca="1">AI202*-Valores!$C$60</f>
        <v>-44.201419999999999</v>
      </c>
      <c r="AT202" s="15">
        <f t="shared" ca="1" si="35"/>
        <v>12381.661466666665</v>
      </c>
      <c r="AU202" s="15">
        <f t="shared" ca="1" si="36"/>
        <v>12602.668566666665</v>
      </c>
      <c r="AV202" s="78">
        <f ca="1">AI202*Valores!$C$61</f>
        <v>2357.4090666666666</v>
      </c>
      <c r="AW202" s="78">
        <f ca="1">AI202*Valores!$C$62</f>
        <v>663.02129999999988</v>
      </c>
      <c r="AX202" s="78">
        <f ca="1">AI202*Valores!$C$64</f>
        <v>147.33806666666666</v>
      </c>
      <c r="AY202" s="78">
        <f ca="1">AI202*Valores!$C$65</f>
        <v>515.68323333333331</v>
      </c>
      <c r="AZ202" s="78">
        <f ca="1">AI202*Valores!$C$66</f>
        <v>88.402839999999998</v>
      </c>
      <c r="BA202" s="78">
        <f t="shared" ca="1" si="39"/>
        <v>795.62555999999995</v>
      </c>
      <c r="BB202" s="20"/>
      <c r="BC202" s="20">
        <f t="shared" ca="1" si="33"/>
        <v>40</v>
      </c>
      <c r="BD202" s="9" t="s">
        <v>467</v>
      </c>
    </row>
    <row r="203" spans="1:56" s="9" customFormat="1" ht="11.25" customHeight="1" x14ac:dyDescent="0.15">
      <c r="A203" s="20">
        <v>202</v>
      </c>
      <c r="B203" s="20"/>
      <c r="C203" s="9" t="s">
        <v>354</v>
      </c>
      <c r="D203" s="9">
        <v>11</v>
      </c>
      <c r="E203" s="10" t="str">
        <f t="shared" ca="1" si="31"/>
        <v>Hora Cátedra Enseñanza Superior 11 hs</v>
      </c>
      <c r="F203" s="123">
        <f t="shared" ca="1" si="32"/>
        <v>1089</v>
      </c>
      <c r="G203" s="7">
        <f ca="1">INT((F203*Valores!$C$2*100)+0.5)/100</f>
        <v>5591.69</v>
      </c>
      <c r="H203" s="134">
        <v>0</v>
      </c>
      <c r="I203" s="77">
        <f ca="1">INT((H203*Valores!$C$2*100)+0.5)/100</f>
        <v>0</v>
      </c>
      <c r="J203" s="147">
        <v>0</v>
      </c>
      <c r="K203" s="77">
        <f ca="1">INT((J203*Valores!$C$2*100)+0.5)/100</f>
        <v>0</v>
      </c>
      <c r="L203" s="120">
        <v>0</v>
      </c>
      <c r="M203" s="77">
        <f ca="1">INT((L203*Valores!$C$2*100)+0.5)/100</f>
        <v>0</v>
      </c>
      <c r="N203" s="77">
        <f t="shared" ca="1" si="40"/>
        <v>0</v>
      </c>
      <c r="O203" s="77">
        <f t="shared" ca="1" si="41"/>
        <v>5939.73</v>
      </c>
      <c r="P203" s="61">
        <f ca="1">Valores!$C$14*D203</f>
        <v>1263.02</v>
      </c>
      <c r="Q203" s="61">
        <f ca="1">IF(D203&lt;15,(Valores!$E$4*D203),Valores!$D$4)</f>
        <v>1684.3200000000002</v>
      </c>
      <c r="R203" s="77">
        <v>0</v>
      </c>
      <c r="S203" s="79">
        <f ca="1">Valores!$C$45*D203</f>
        <v>348.04</v>
      </c>
      <c r="T203" s="61">
        <f ca="1">Valores!$C$22*D203</f>
        <v>510.73</v>
      </c>
      <c r="U203" s="77">
        <f t="shared" ca="1" si="30"/>
        <v>1021.46</v>
      </c>
      <c r="V203" s="77">
        <v>0</v>
      </c>
      <c r="W203" s="77">
        <v>0</v>
      </c>
      <c r="X203" s="37">
        <v>0</v>
      </c>
      <c r="Y203" s="77">
        <f ca="1">X203*Valores!$C$2</f>
        <v>0</v>
      </c>
      <c r="Z203" s="77">
        <v>0</v>
      </c>
      <c r="AA203" s="89">
        <f ca="1">(Valores!$C$32)*D203</f>
        <v>58.080000000000005</v>
      </c>
      <c r="AB203" s="77">
        <f t="shared" ca="1" si="34"/>
        <v>0</v>
      </c>
      <c r="AC203" s="77">
        <f ca="1">Valores!$C$33*D203</f>
        <v>48.29</v>
      </c>
      <c r="AD203" s="116">
        <v>0</v>
      </c>
      <c r="AE203" s="77">
        <f ca="1">INT(((AD203*Valores!$C$2)*100)+0.5)/100</f>
        <v>0</v>
      </c>
      <c r="AF203" s="77">
        <f ca="1">Valores!$D$51*D203</f>
        <v>196.43800000000002</v>
      </c>
      <c r="AG203" s="77">
        <f ca="1">Valores!$D$52*D203</f>
        <v>56.129333333333335</v>
      </c>
      <c r="AH203" s="77">
        <f ca="1">SUM(G203,I203,K203,M203,N203,O203,P203,Q203,R203,S203,U203,V203,W203,Y203,Z203,AA203,AB203,AC203,AE203,AF203,AG203)*Valores!$C$54</f>
        <v>0</v>
      </c>
      <c r="AI203" s="141">
        <f t="shared" ca="1" si="37"/>
        <v>16207.197333333334</v>
      </c>
      <c r="AJ203" s="61">
        <f ca="1">Valores!$C$36*D203</f>
        <v>133.43</v>
      </c>
      <c r="AK203" s="79">
        <f ca="1">Valores!$C$11*D203</f>
        <v>93.61</v>
      </c>
      <c r="AL203" s="89">
        <f ca="1">9.3545*D203</f>
        <v>102.8995</v>
      </c>
      <c r="AM203" s="79">
        <f ca="1">IF($G$4="SI",SUM(AK203+AL203),AK203)*Valores!$C$54</f>
        <v>0</v>
      </c>
      <c r="AN203" s="12">
        <f t="shared" ca="1" si="38"/>
        <v>329.93950000000001</v>
      </c>
      <c r="AO203" s="13">
        <f ca="1">AI203*-Valores!$C$56</f>
        <v>-2106.9356533333334</v>
      </c>
      <c r="AP203" s="13">
        <f ca="1">AI203*-Valores!$C$57</f>
        <v>-81.035986666666673</v>
      </c>
      <c r="AQ203" s="78">
        <f ca="1">AI203*-Valores!$C$58</f>
        <v>-729.32388000000003</v>
      </c>
      <c r="AR203" s="78">
        <f ca="1">AI203*-Valores!$C$59</f>
        <v>-437.59432800000008</v>
      </c>
      <c r="AS203" s="78">
        <f ca="1">AI203*-Valores!$C$60</f>
        <v>-48.621592</v>
      </c>
      <c r="AT203" s="15">
        <f t="shared" ca="1" si="35"/>
        <v>13619.841313333334</v>
      </c>
      <c r="AU203" s="15">
        <f t="shared" ca="1" si="36"/>
        <v>13862.949273333335</v>
      </c>
      <c r="AV203" s="78">
        <f ca="1">AI203*Valores!$C$61</f>
        <v>2593.1515733333335</v>
      </c>
      <c r="AW203" s="78">
        <f ca="1">AI203*Valores!$C$62</f>
        <v>729.32388000000003</v>
      </c>
      <c r="AX203" s="78">
        <f ca="1">AI203*Valores!$C$64</f>
        <v>162.07197333333335</v>
      </c>
      <c r="AY203" s="78">
        <f ca="1">AI203*Valores!$C$65</f>
        <v>567.25190666666674</v>
      </c>
      <c r="AZ203" s="78">
        <f ca="1">AI203*Valores!$C$66</f>
        <v>97.243183999999999</v>
      </c>
      <c r="BA203" s="78">
        <f t="shared" ca="1" si="39"/>
        <v>875.18865600000004</v>
      </c>
      <c r="BB203" s="20"/>
      <c r="BC203" s="20">
        <f t="shared" ca="1" si="33"/>
        <v>44</v>
      </c>
      <c r="BD203" s="9" t="s">
        <v>467</v>
      </c>
    </row>
    <row r="204" spans="1:56" s="9" customFormat="1" ht="11.25" customHeight="1" x14ac:dyDescent="0.15">
      <c r="A204" s="20">
        <v>203</v>
      </c>
      <c r="B204" s="20"/>
      <c r="C204" s="9" t="s">
        <v>354</v>
      </c>
      <c r="D204" s="9">
        <v>12</v>
      </c>
      <c r="E204" s="10" t="str">
        <f t="shared" ca="1" si="31"/>
        <v>Hora Cátedra Enseñanza Superior 12 hs</v>
      </c>
      <c r="F204" s="123">
        <f t="shared" ca="1" si="32"/>
        <v>1188</v>
      </c>
      <c r="G204" s="7">
        <f ca="1">INT((F204*Valores!$C$2*100)+0.5)/100</f>
        <v>6100.02</v>
      </c>
      <c r="H204" s="134">
        <v>0</v>
      </c>
      <c r="I204" s="77">
        <f ca="1">INT((H204*Valores!$C$2*100)+0.5)/100</f>
        <v>0</v>
      </c>
      <c r="J204" s="147">
        <v>0</v>
      </c>
      <c r="K204" s="77">
        <f ca="1">INT((J204*Valores!$C$2*100)+0.5)/100</f>
        <v>0</v>
      </c>
      <c r="L204" s="120">
        <v>0</v>
      </c>
      <c r="M204" s="77">
        <f ca="1">INT((L204*Valores!$C$2*100)+0.5)/100</f>
        <v>0</v>
      </c>
      <c r="N204" s="77">
        <f t="shared" ca="1" si="40"/>
        <v>0</v>
      </c>
      <c r="O204" s="77">
        <f t="shared" ca="1" si="41"/>
        <v>6479.7000000000007</v>
      </c>
      <c r="P204" s="61">
        <f ca="1">Valores!$C$14*D204</f>
        <v>1377.84</v>
      </c>
      <c r="Q204" s="61">
        <f ca="1">IF(D204&lt;15,(Valores!$E$4*D204),Valores!$D$4)</f>
        <v>1837.44</v>
      </c>
      <c r="R204" s="77">
        <v>0</v>
      </c>
      <c r="S204" s="79">
        <f ca="1">Valores!$C$45*D204</f>
        <v>379.68</v>
      </c>
      <c r="T204" s="61">
        <f ca="1">Valores!$C$22*D204</f>
        <v>557.16</v>
      </c>
      <c r="U204" s="77">
        <f t="shared" ca="1" si="30"/>
        <v>1114.32</v>
      </c>
      <c r="V204" s="77">
        <v>0</v>
      </c>
      <c r="W204" s="77">
        <v>0</v>
      </c>
      <c r="X204" s="37">
        <v>0</v>
      </c>
      <c r="Y204" s="77">
        <f ca="1">X204*Valores!$C$2</f>
        <v>0</v>
      </c>
      <c r="Z204" s="77">
        <v>0</v>
      </c>
      <c r="AA204" s="89">
        <f ca="1">(Valores!$C$32)*D204</f>
        <v>63.36</v>
      </c>
      <c r="AB204" s="77">
        <f t="shared" ca="1" si="34"/>
        <v>0</v>
      </c>
      <c r="AC204" s="77">
        <f ca="1">Valores!$C$33*D204</f>
        <v>52.679999999999993</v>
      </c>
      <c r="AD204" s="116">
        <v>0</v>
      </c>
      <c r="AE204" s="77">
        <f ca="1">INT(((AD204*Valores!$C$2)*100)+0.5)/100</f>
        <v>0</v>
      </c>
      <c r="AF204" s="77">
        <f ca="1">Valores!$D$51*D204</f>
        <v>214.29599999999999</v>
      </c>
      <c r="AG204" s="77">
        <f ca="1">Valores!$D$52*D204</f>
        <v>61.231999999999999</v>
      </c>
      <c r="AH204" s="77">
        <f ca="1">SUM(G204,I204,K204,M204,N204,O204,P204,Q204,R204,S204,U204,V204,W204,Y204,Z204,AA204,AB204,AC204,AE204,AF204,AG204)*Valores!$C$54</f>
        <v>0</v>
      </c>
      <c r="AI204" s="141">
        <f t="shared" ca="1" si="37"/>
        <v>17680.568000000003</v>
      </c>
      <c r="AJ204" s="61">
        <f ca="1">Valores!$C$36*D204</f>
        <v>145.56</v>
      </c>
      <c r="AK204" s="79">
        <f ca="1">Valores!$C$11*D204</f>
        <v>102.12</v>
      </c>
      <c r="AL204" s="89">
        <f ca="1">9.3545*D204</f>
        <v>112.25399999999999</v>
      </c>
      <c r="AM204" s="79">
        <f ca="1">IF($G$4="SI",SUM(AK204+AL204),AK204)*Valores!$C$54</f>
        <v>0</v>
      </c>
      <c r="AN204" s="12">
        <f t="shared" ca="1" si="38"/>
        <v>359.93399999999997</v>
      </c>
      <c r="AO204" s="13">
        <f ca="1">AI204*-Valores!$C$56</f>
        <v>-2298.4738400000006</v>
      </c>
      <c r="AP204" s="13">
        <f ca="1">AI204*-Valores!$C$57</f>
        <v>-88.402840000000012</v>
      </c>
      <c r="AQ204" s="78">
        <f ca="1">AI204*-Valores!$C$58</f>
        <v>-795.62556000000006</v>
      </c>
      <c r="AR204" s="78">
        <f ca="1">AI204*-Valores!$C$59</f>
        <v>-477.37533600000012</v>
      </c>
      <c r="AS204" s="78">
        <f ca="1">AI204*-Valores!$C$60</f>
        <v>-53.04170400000001</v>
      </c>
      <c r="AT204" s="15">
        <f t="shared" ca="1" si="35"/>
        <v>14857.999760000004</v>
      </c>
      <c r="AU204" s="15">
        <f t="shared" ca="1" si="36"/>
        <v>15123.208280000004</v>
      </c>
      <c r="AV204" s="78">
        <f ca="1">AI204*Valores!$C$61</f>
        <v>2828.8908800000004</v>
      </c>
      <c r="AW204" s="78">
        <f ca="1">AI204*Valores!$C$62</f>
        <v>795.62556000000006</v>
      </c>
      <c r="AX204" s="78">
        <f ca="1">AI204*Valores!$C$64</f>
        <v>176.80568000000002</v>
      </c>
      <c r="AY204" s="78">
        <f ca="1">AI204*Valores!$C$65</f>
        <v>618.81988000000013</v>
      </c>
      <c r="AZ204" s="78">
        <f ca="1">AI204*Valores!$C$66</f>
        <v>106.08340800000002</v>
      </c>
      <c r="BA204" s="78">
        <f t="shared" ca="1" si="39"/>
        <v>954.75067200000024</v>
      </c>
      <c r="BB204" s="20"/>
      <c r="BC204" s="55">
        <f t="shared" ca="1" si="33"/>
        <v>48</v>
      </c>
      <c r="BD204" s="9" t="s">
        <v>467</v>
      </c>
    </row>
    <row r="205" spans="1:56" s="9" customFormat="1" ht="11.25" customHeight="1" x14ac:dyDescent="0.15">
      <c r="A205" s="20">
        <v>204</v>
      </c>
      <c r="B205" s="20"/>
      <c r="C205" s="9" t="s">
        <v>354</v>
      </c>
      <c r="D205" s="9">
        <v>13</v>
      </c>
      <c r="E205" s="10" t="str">
        <f t="shared" ca="1" si="31"/>
        <v>Hora Cátedra Enseñanza Superior 13 hs</v>
      </c>
      <c r="F205" s="123">
        <f t="shared" ca="1" si="32"/>
        <v>1287</v>
      </c>
      <c r="G205" s="7">
        <f ca="1">INT((F205*Valores!$C$2*100)+0.5)/100</f>
        <v>6608.36</v>
      </c>
      <c r="H205" s="134">
        <v>0</v>
      </c>
      <c r="I205" s="77">
        <f ca="1">INT((H205*Valores!$C$2*100)+0.5)/100</f>
        <v>0</v>
      </c>
      <c r="J205" s="147">
        <v>0</v>
      </c>
      <c r="K205" s="77">
        <f ca="1">INT((J205*Valores!$C$2*100)+0.5)/100</f>
        <v>0</v>
      </c>
      <c r="L205" s="120">
        <v>0</v>
      </c>
      <c r="M205" s="77">
        <f ca="1">INT((L205*Valores!$C$2*100)+0.5)/100</f>
        <v>0</v>
      </c>
      <c r="N205" s="77">
        <f t="shared" ca="1" si="40"/>
        <v>0</v>
      </c>
      <c r="O205" s="77">
        <f t="shared" ca="1" si="41"/>
        <v>7019.6799999999994</v>
      </c>
      <c r="P205" s="61">
        <f ca="1">Valores!$C$14*D205</f>
        <v>1492.6599999999999</v>
      </c>
      <c r="Q205" s="61">
        <f ca="1">IF(D205&lt;15,(Valores!$E$4*D205),Valores!$D$4)</f>
        <v>1990.56</v>
      </c>
      <c r="R205" s="77">
        <v>0</v>
      </c>
      <c r="S205" s="79">
        <f ca="1">Valores!$C$45*D205</f>
        <v>411.32</v>
      </c>
      <c r="T205" s="61">
        <f ca="1">Valores!$C$22*D205</f>
        <v>603.59</v>
      </c>
      <c r="U205" s="77">
        <f t="shared" ca="1" si="30"/>
        <v>1207.18</v>
      </c>
      <c r="V205" s="77">
        <v>0</v>
      </c>
      <c r="W205" s="77">
        <v>0</v>
      </c>
      <c r="X205" s="37">
        <v>0</v>
      </c>
      <c r="Y205" s="77">
        <f ca="1">X205*Valores!$C$2</f>
        <v>0</v>
      </c>
      <c r="Z205" s="77">
        <v>0</v>
      </c>
      <c r="AA205" s="89">
        <f ca="1">(Valores!$C$32)*D205</f>
        <v>68.64</v>
      </c>
      <c r="AB205" s="77">
        <f t="shared" ca="1" si="34"/>
        <v>0</v>
      </c>
      <c r="AC205" s="77">
        <f ca="1">Valores!$C$33*D205</f>
        <v>57.069999999999993</v>
      </c>
      <c r="AD205" s="116">
        <v>0</v>
      </c>
      <c r="AE205" s="77">
        <f ca="1">INT(((AD205*Valores!$C$2)*100)+0.5)/100</f>
        <v>0</v>
      </c>
      <c r="AF205" s="77">
        <f ca="1">Valores!$D$51*D205</f>
        <v>232.154</v>
      </c>
      <c r="AG205" s="77">
        <f ca="1">Valores!$D$52*D205</f>
        <v>66.334666666666664</v>
      </c>
      <c r="AH205" s="77">
        <f ca="1">SUM(G205,I205,K205,M205,N205,O205,P205,Q205,R205,S205,U205,V205,W205,Y205,Z205,AA205,AB205,AC205,AE205,AF205,AG205)*Valores!$C$54</f>
        <v>0</v>
      </c>
      <c r="AI205" s="141">
        <f t="shared" ca="1" si="37"/>
        <v>19153.958666666662</v>
      </c>
      <c r="AJ205" s="61">
        <f ca="1">Valores!$C$36*D205</f>
        <v>157.69</v>
      </c>
      <c r="AK205" s="79">
        <f ca="1">Valores!$C$11*D205</f>
        <v>110.63</v>
      </c>
      <c r="AL205" s="89">
        <f ca="1">9.354*D205</f>
        <v>121.60199999999999</v>
      </c>
      <c r="AM205" s="79">
        <f ca="1">IF($G$4="SI",SUM(AK205+AL205),AK205)*Valores!$C$54</f>
        <v>0</v>
      </c>
      <c r="AN205" s="12">
        <f t="shared" ca="1" si="38"/>
        <v>389.92199999999997</v>
      </c>
      <c r="AO205" s="13">
        <f ca="1">AI205*-Valores!$C$56</f>
        <v>-2490.0146266666661</v>
      </c>
      <c r="AP205" s="13">
        <f ca="1">AI205*-Valores!$C$57</f>
        <v>-95.769793333333311</v>
      </c>
      <c r="AQ205" s="78">
        <f ca="1">AI205*-Valores!$C$58</f>
        <v>-861.92813999999976</v>
      </c>
      <c r="AR205" s="78">
        <f ca="1">AI205*-Valores!$C$59</f>
        <v>-517.15688399999988</v>
      </c>
      <c r="AS205" s="78">
        <f ca="1">AI205*-Valores!$C$60</f>
        <v>-57.46187599999999</v>
      </c>
      <c r="AT205" s="15">
        <f t="shared" ca="1" si="35"/>
        <v>16096.168106666661</v>
      </c>
      <c r="AU205" s="15">
        <f t="shared" ca="1" si="36"/>
        <v>16383.477486666661</v>
      </c>
      <c r="AV205" s="78">
        <f ca="1">AI205*Valores!$C$61</f>
        <v>3064.633386666666</v>
      </c>
      <c r="AW205" s="78">
        <f ca="1">AI205*Valores!$C$62</f>
        <v>861.92813999999976</v>
      </c>
      <c r="AX205" s="78">
        <f ca="1">AI205*Valores!$C$64</f>
        <v>191.53958666666662</v>
      </c>
      <c r="AY205" s="78">
        <f ca="1">AI205*Valores!$C$65</f>
        <v>670.38855333333322</v>
      </c>
      <c r="AZ205" s="78">
        <f ca="1">AI205*Valores!$C$66</f>
        <v>114.92375199999998</v>
      </c>
      <c r="BA205" s="78">
        <f t="shared" ca="1" si="39"/>
        <v>1034.3137679999998</v>
      </c>
      <c r="BB205" s="20"/>
      <c r="BC205" s="20">
        <f t="shared" ca="1" si="33"/>
        <v>52</v>
      </c>
      <c r="BD205" s="9" t="s">
        <v>467</v>
      </c>
    </row>
    <row r="206" spans="1:56" s="9" customFormat="1" ht="11.25" customHeight="1" x14ac:dyDescent="0.15">
      <c r="A206" s="55">
        <v>205</v>
      </c>
      <c r="B206" s="55" t="s">
        <v>462</v>
      </c>
      <c r="C206" s="52" t="s">
        <v>354</v>
      </c>
      <c r="D206" s="52">
        <v>14</v>
      </c>
      <c r="E206" s="53" t="str">
        <f t="shared" ca="1" si="31"/>
        <v>Hora Cátedra Enseñanza Superior 14 hs</v>
      </c>
      <c r="F206" s="124">
        <f t="shared" ca="1" si="32"/>
        <v>1386</v>
      </c>
      <c r="G206" s="129">
        <f ca="1">INT((F206*Valores!$C$2*100)+0.5)/100</f>
        <v>7116.69</v>
      </c>
      <c r="H206" s="133">
        <v>0</v>
      </c>
      <c r="I206" s="80">
        <f ca="1">INT((H206*Valores!$C$2*100)+0.5)/100</f>
        <v>0</v>
      </c>
      <c r="J206" s="148">
        <v>0</v>
      </c>
      <c r="K206" s="80">
        <f ca="1">INT((J206*Valores!$C$2*100)+0.5)/100</f>
        <v>0</v>
      </c>
      <c r="L206" s="121">
        <v>0</v>
      </c>
      <c r="M206" s="80">
        <f ca="1">INT((L206*Valores!$C$2*100)+0.5)/100</f>
        <v>0</v>
      </c>
      <c r="N206" s="80">
        <f t="shared" ca="1" si="40"/>
        <v>0</v>
      </c>
      <c r="O206" s="80">
        <f t="shared" ca="1" si="41"/>
        <v>7559.65</v>
      </c>
      <c r="P206" s="85">
        <f ca="1">Valores!$C$14*D206</f>
        <v>1607.48</v>
      </c>
      <c r="Q206" s="85">
        <f ca="1">IF(D206&lt;15,(Valores!$E$4*D206),Valores!$D$4)</f>
        <v>2143.6800000000003</v>
      </c>
      <c r="R206" s="80">
        <v>0</v>
      </c>
      <c r="S206" s="82">
        <f ca="1">Valores!$C$45*D206</f>
        <v>442.96000000000004</v>
      </c>
      <c r="T206" s="85">
        <f ca="1">Valores!$C$22*D206</f>
        <v>650.02</v>
      </c>
      <c r="U206" s="80">
        <f t="shared" ca="1" si="30"/>
        <v>1300.04</v>
      </c>
      <c r="V206" s="80">
        <v>0</v>
      </c>
      <c r="W206" s="80">
        <v>0</v>
      </c>
      <c r="X206" s="60">
        <v>0</v>
      </c>
      <c r="Y206" s="80">
        <f ca="1">X206*Valores!$C$2</f>
        <v>0</v>
      </c>
      <c r="Z206" s="80">
        <v>0</v>
      </c>
      <c r="AA206" s="90">
        <f ca="1">(Valores!$C$32)*D206</f>
        <v>73.92</v>
      </c>
      <c r="AB206" s="80">
        <f t="shared" ca="1" si="34"/>
        <v>0</v>
      </c>
      <c r="AC206" s="80">
        <f ca="1">Valores!$C$33*D206</f>
        <v>61.459999999999994</v>
      </c>
      <c r="AD206" s="115">
        <v>0</v>
      </c>
      <c r="AE206" s="80">
        <f ca="1">INT(((AD206*Valores!$C$2)*100)+0.5)/100</f>
        <v>0</v>
      </c>
      <c r="AF206" s="80">
        <f ca="1">Valores!$D$51*D206</f>
        <v>250.012</v>
      </c>
      <c r="AG206" s="80">
        <f ca="1">Valores!$D$52*D206</f>
        <v>71.437333333333342</v>
      </c>
      <c r="AH206" s="80">
        <f ca="1">SUM(G206,I206,K206,M206,N206,O206,P206,Q206,R206,S206,U206,V206,W206,Y206,Z206,AA206,AB206,AC206,AE206,AF206,AG206)*Valores!$C$54</f>
        <v>0</v>
      </c>
      <c r="AI206" s="142">
        <f t="shared" ca="1" si="37"/>
        <v>20627.329333333331</v>
      </c>
      <c r="AJ206" s="85">
        <f ca="1">Valores!$C$36*D206</f>
        <v>169.82000000000002</v>
      </c>
      <c r="AK206" s="82">
        <f ca="1">Valores!$C$11*D206</f>
        <v>119.14</v>
      </c>
      <c r="AL206" s="90">
        <f ca="1">9.3545*D206</f>
        <v>130.96299999999999</v>
      </c>
      <c r="AM206" s="82">
        <f ca="1">IF($G$4="SI",SUM(AK206+AL206),AK206)*Valores!$C$54</f>
        <v>0</v>
      </c>
      <c r="AN206" s="186">
        <f t="shared" ca="1" si="38"/>
        <v>419.923</v>
      </c>
      <c r="AO206" s="155">
        <f ca="1">AI206*-Valores!$C$56</f>
        <v>-2681.5528133333332</v>
      </c>
      <c r="AP206" s="155">
        <f ca="1">AI206*-Valores!$C$57</f>
        <v>-103.13664666666666</v>
      </c>
      <c r="AQ206" s="81">
        <f ca="1">AI206*-Valores!$C$58</f>
        <v>-928.2298199999999</v>
      </c>
      <c r="AR206" s="81">
        <f ca="1">AI206*-Valores!$C$59</f>
        <v>-556.93789200000003</v>
      </c>
      <c r="AS206" s="81">
        <f ca="1">AI206*-Valores!$C$60</f>
        <v>-61.881987999999993</v>
      </c>
      <c r="AT206" s="54">
        <f t="shared" ca="1" si="35"/>
        <v>17334.333053333332</v>
      </c>
      <c r="AU206" s="54">
        <f t="shared" ca="1" si="36"/>
        <v>17643.74299333333</v>
      </c>
      <c r="AV206" s="81">
        <f ca="1">AI206*Valores!$C$61</f>
        <v>3300.3726933333332</v>
      </c>
      <c r="AW206" s="81">
        <f ca="1">AI206*Valores!$C$62</f>
        <v>928.2298199999999</v>
      </c>
      <c r="AX206" s="81">
        <f ca="1">AI206*Valores!$C$64</f>
        <v>206.27329333333333</v>
      </c>
      <c r="AY206" s="81">
        <f ca="1">AI206*Valores!$C$65</f>
        <v>721.95652666666672</v>
      </c>
      <c r="AZ206" s="81">
        <f ca="1">AI206*Valores!$C$66</f>
        <v>123.76397599999999</v>
      </c>
      <c r="BA206" s="81">
        <f t="shared" ca="1" si="39"/>
        <v>1113.8757840000001</v>
      </c>
      <c r="BB206" s="55"/>
      <c r="BC206" s="55">
        <f t="shared" ca="1" si="33"/>
        <v>56</v>
      </c>
      <c r="BD206" s="52" t="s">
        <v>467</v>
      </c>
    </row>
    <row r="207" spans="1:56" s="9" customFormat="1" ht="11.25" customHeight="1" x14ac:dyDescent="0.15">
      <c r="A207" s="20">
        <v>206</v>
      </c>
      <c r="B207" s="20"/>
      <c r="C207" s="9" t="s">
        <v>354</v>
      </c>
      <c r="D207" s="9">
        <v>15</v>
      </c>
      <c r="E207" s="10" t="str">
        <f t="shared" ca="1" si="31"/>
        <v>Hora Cátedra Enseñanza Superior 15 hs</v>
      </c>
      <c r="F207" s="123">
        <f t="shared" ca="1" si="32"/>
        <v>1485</v>
      </c>
      <c r="G207" s="7">
        <f ca="1">INT((F207*Valores!$C$2*100)+0.5)/100</f>
        <v>7625.03</v>
      </c>
      <c r="H207" s="134">
        <v>0</v>
      </c>
      <c r="I207" s="77">
        <f ca="1">INT((H207*Valores!$C$2*100)+0.5)/100</f>
        <v>0</v>
      </c>
      <c r="J207" s="147">
        <v>0</v>
      </c>
      <c r="K207" s="77">
        <f ca="1">INT((J207*Valores!$C$2*100)+0.5)/100</f>
        <v>0</v>
      </c>
      <c r="L207" s="120">
        <v>0</v>
      </c>
      <c r="M207" s="77">
        <f ca="1">INT((L207*Valores!$C$2*100)+0.5)/100</f>
        <v>0</v>
      </c>
      <c r="N207" s="77">
        <f t="shared" ca="1" si="40"/>
        <v>0</v>
      </c>
      <c r="O207" s="77">
        <f t="shared" ca="1" si="41"/>
        <v>8099.63</v>
      </c>
      <c r="P207" s="61">
        <f ca="1">Valores!$C$14*D207</f>
        <v>1722.3</v>
      </c>
      <c r="Q207" s="61">
        <f ca="1">IF(D207&lt;15,(Valores!$E$4*D207),Valores!$D$4)</f>
        <v>2296.75</v>
      </c>
      <c r="R207" s="77">
        <v>0</v>
      </c>
      <c r="S207" s="79">
        <f ca="1">Valores!$C$45*D207</f>
        <v>474.6</v>
      </c>
      <c r="T207" s="61">
        <f ca="1">Valores!$C$22*D207</f>
        <v>696.45</v>
      </c>
      <c r="U207" s="77">
        <f t="shared" ca="1" si="30"/>
        <v>1392.9</v>
      </c>
      <c r="V207" s="77">
        <v>0</v>
      </c>
      <c r="W207" s="77">
        <v>0</v>
      </c>
      <c r="X207" s="37">
        <v>0</v>
      </c>
      <c r="Y207" s="77">
        <f ca="1">X207*Valores!$C$2</f>
        <v>0</v>
      </c>
      <c r="Z207" s="77">
        <v>0</v>
      </c>
      <c r="AA207" s="89">
        <f ca="1">(Valores!$C$32)*D207</f>
        <v>79.2</v>
      </c>
      <c r="AB207" s="77">
        <f t="shared" ca="1" si="34"/>
        <v>0</v>
      </c>
      <c r="AC207" s="77">
        <f ca="1">Valores!$C$33*D207</f>
        <v>65.849999999999994</v>
      </c>
      <c r="AD207" s="116">
        <v>0</v>
      </c>
      <c r="AE207" s="77">
        <f ca="1">INT(((AD207*Valores!$C$2)*100)+0.5)/100</f>
        <v>0</v>
      </c>
      <c r="AF207" s="77">
        <f ca="1">Valores!$D$51*D207</f>
        <v>267.87</v>
      </c>
      <c r="AG207" s="77">
        <f ca="1">Valores!$D$52*D207</f>
        <v>76.540000000000006</v>
      </c>
      <c r="AH207" s="77">
        <f ca="1">SUM(G207,I207,K207,M207,N207,O207,P207,Q207,R207,S207,U207,V207,W207,Y207,Z207,AA207,AB207,AC207,AE207,AF207,AG207)*Valores!$C$54</f>
        <v>0</v>
      </c>
      <c r="AI207" s="141">
        <f t="shared" ca="1" si="37"/>
        <v>22100.67</v>
      </c>
      <c r="AJ207" s="61">
        <f ca="1">Valores!$C$36*D207</f>
        <v>181.95000000000002</v>
      </c>
      <c r="AK207" s="79">
        <f ca="1">Valores!$C$11*D207</f>
        <v>127.64999999999999</v>
      </c>
      <c r="AL207" s="89">
        <f ca="1">9.354*D207</f>
        <v>140.31</v>
      </c>
      <c r="AM207" s="79">
        <f ca="1">IF($G$4="SI",SUM(AK207+AL207),AK207)*Valores!$C$54</f>
        <v>0</v>
      </c>
      <c r="AN207" s="12">
        <f t="shared" ca="1" si="38"/>
        <v>449.91</v>
      </c>
      <c r="AO207" s="13">
        <f ca="1">AI207*-Valores!$C$56</f>
        <v>-2873.0870999999997</v>
      </c>
      <c r="AP207" s="13">
        <f ca="1">AI207*-Valores!$C$57</f>
        <v>-110.50335</v>
      </c>
      <c r="AQ207" s="78">
        <f ca="1">AI207*-Valores!$C$58</f>
        <v>-994.53014999999994</v>
      </c>
      <c r="AR207" s="78">
        <f ca="1">AI207*-Valores!$C$59</f>
        <v>-596.71809000000007</v>
      </c>
      <c r="AS207" s="78">
        <f ca="1">AI207*-Valores!$C$60</f>
        <v>-66.302009999999996</v>
      </c>
      <c r="AT207" s="15">
        <f t="shared" ca="1" si="35"/>
        <v>18572.4594</v>
      </c>
      <c r="AU207" s="15">
        <f t="shared" ca="1" si="36"/>
        <v>18903.969450000001</v>
      </c>
      <c r="AV207" s="78">
        <f ca="1">AI207*Valores!$C$61</f>
        <v>3536.1071999999999</v>
      </c>
      <c r="AW207" s="78">
        <f ca="1">AI207*Valores!$C$62</f>
        <v>994.53014999999994</v>
      </c>
      <c r="AX207" s="78">
        <f ca="1">AI207*Valores!$C$64</f>
        <v>221.0067</v>
      </c>
      <c r="AY207" s="78">
        <f ca="1">AI207*Valores!$C$65</f>
        <v>773.52345000000003</v>
      </c>
      <c r="AZ207" s="78">
        <f ca="1">AI207*Valores!$C$66</f>
        <v>132.60401999999999</v>
      </c>
      <c r="BA207" s="78">
        <f t="shared" ca="1" si="39"/>
        <v>1193.4361799999999</v>
      </c>
      <c r="BB207" s="20"/>
      <c r="BC207" s="20">
        <f t="shared" ca="1" si="33"/>
        <v>60</v>
      </c>
      <c r="BD207" s="9" t="s">
        <v>467</v>
      </c>
    </row>
    <row r="208" spans="1:56" s="9" customFormat="1" ht="11.25" customHeight="1" x14ac:dyDescent="0.15">
      <c r="A208" s="20">
        <v>207</v>
      </c>
      <c r="B208" s="20"/>
      <c r="C208" s="9" t="s">
        <v>354</v>
      </c>
      <c r="D208" s="9">
        <v>16</v>
      </c>
      <c r="E208" s="10" t="str">
        <f t="shared" ca="1" si="31"/>
        <v>Hora Cátedra Enseñanza Superior 16 hs</v>
      </c>
      <c r="F208" s="123">
        <f t="shared" ca="1" si="32"/>
        <v>1584</v>
      </c>
      <c r="G208" s="7">
        <f ca="1">INT((F208*Valores!$C$2*100)+0.5)/100</f>
        <v>8133.36</v>
      </c>
      <c r="H208" s="134">
        <v>0</v>
      </c>
      <c r="I208" s="77">
        <f ca="1">INT((H208*Valores!$C$2*100)+0.5)/100</f>
        <v>0</v>
      </c>
      <c r="J208" s="147">
        <v>0</v>
      </c>
      <c r="K208" s="77">
        <f ca="1">INT((J208*Valores!$C$2*100)+0.5)/100</f>
        <v>0</v>
      </c>
      <c r="L208" s="120">
        <v>0</v>
      </c>
      <c r="M208" s="77">
        <f ca="1">INT((L208*Valores!$C$2*100)+0.5)/100</f>
        <v>0</v>
      </c>
      <c r="N208" s="77">
        <f t="shared" ca="1" si="40"/>
        <v>0</v>
      </c>
      <c r="O208" s="77">
        <f t="shared" ca="1" si="41"/>
        <v>8639.6</v>
      </c>
      <c r="P208" s="61">
        <f ca="1">Valores!$C$14*D208</f>
        <v>1837.12</v>
      </c>
      <c r="Q208" s="61">
        <f ca="1">IF(D208&lt;15,(Valores!$E$4*D208),Valores!$D$4)</f>
        <v>2296.75</v>
      </c>
      <c r="R208" s="77">
        <v>0</v>
      </c>
      <c r="S208" s="79">
        <f ca="1">Valores!$C$45*D208</f>
        <v>506.24</v>
      </c>
      <c r="T208" s="61">
        <f ca="1">Valores!$C$22*D208</f>
        <v>742.88</v>
      </c>
      <c r="U208" s="77">
        <f t="shared" ca="1" si="30"/>
        <v>1485.76</v>
      </c>
      <c r="V208" s="77">
        <v>0</v>
      </c>
      <c r="W208" s="77">
        <v>0</v>
      </c>
      <c r="X208" s="37">
        <v>0</v>
      </c>
      <c r="Y208" s="77">
        <f ca="1">X208*Valores!$C$2</f>
        <v>0</v>
      </c>
      <c r="Z208" s="77">
        <v>0</v>
      </c>
      <c r="AA208" s="89">
        <f ca="1">(Valores!$C$32)*D208</f>
        <v>84.48</v>
      </c>
      <c r="AB208" s="77">
        <f t="shared" ca="1" si="34"/>
        <v>0</v>
      </c>
      <c r="AC208" s="77">
        <f ca="1">Valores!$C$33*D208</f>
        <v>70.239999999999995</v>
      </c>
      <c r="AD208" s="116">
        <v>0</v>
      </c>
      <c r="AE208" s="77">
        <f ca="1">INT(((AD208*Valores!$C$2)*100)+0.5)/100</f>
        <v>0</v>
      </c>
      <c r="AF208" s="77">
        <f ca="1">Valores!$D$51*D208</f>
        <v>285.72800000000001</v>
      </c>
      <c r="AG208" s="77">
        <f ca="1">Valores!$D$52*D208</f>
        <v>81.64266666666667</v>
      </c>
      <c r="AH208" s="77">
        <f ca="1">SUM(G208,I208,K208,M208,N208,O208,P208,Q208,R208,S208,U208,V208,W208,Y208,Z208,AA208,AB208,AC208,AE208,AF208,AG208)*Valores!$C$54</f>
        <v>0</v>
      </c>
      <c r="AI208" s="141">
        <f t="shared" ca="1" si="37"/>
        <v>23420.920666666665</v>
      </c>
      <c r="AJ208" s="61">
        <f ca="1">Valores!$C$36*D208</f>
        <v>194.08</v>
      </c>
      <c r="AK208" s="79">
        <f ca="1">Valores!$C$11*D208</f>
        <v>136.16</v>
      </c>
      <c r="AL208" s="89">
        <f ca="1">9.3545*D208</f>
        <v>149.672</v>
      </c>
      <c r="AM208" s="79">
        <f ca="1">IF($G$4="SI",SUM(AK208+AL208),AK208)*Valores!$C$54</f>
        <v>0</v>
      </c>
      <c r="AN208" s="12">
        <f t="shared" ca="1" si="38"/>
        <v>479.91200000000003</v>
      </c>
      <c r="AO208" s="13">
        <f ca="1">AI208*-Valores!$C$56</f>
        <v>-3044.7196866666663</v>
      </c>
      <c r="AP208" s="13">
        <f ca="1">AI208*-Valores!$C$57</f>
        <v>-117.10460333333333</v>
      </c>
      <c r="AQ208" s="78">
        <f ca="1">AI208*-Valores!$C$58</f>
        <v>-1053.9414299999999</v>
      </c>
      <c r="AR208" s="78">
        <f ca="1">AI208*-Valores!$C$59</f>
        <v>-632.36485800000003</v>
      </c>
      <c r="AS208" s="78">
        <f ca="1">AI208*-Valores!$C$60</f>
        <v>-70.262761999999995</v>
      </c>
      <c r="AT208" s="15">
        <f t="shared" ca="1" si="35"/>
        <v>19685.066946666666</v>
      </c>
      <c r="AU208" s="15">
        <f t="shared" ca="1" si="36"/>
        <v>20036.380756666666</v>
      </c>
      <c r="AV208" s="78">
        <f ca="1">AI208*Valores!$C$61</f>
        <v>3747.3473066666666</v>
      </c>
      <c r="AW208" s="78">
        <f ca="1">AI208*Valores!$C$62</f>
        <v>1053.9414299999999</v>
      </c>
      <c r="AX208" s="78">
        <f ca="1">AI208*Valores!$C$64</f>
        <v>234.20920666666666</v>
      </c>
      <c r="AY208" s="78">
        <f ca="1">AI208*Valores!$C$65</f>
        <v>819.73222333333331</v>
      </c>
      <c r="AZ208" s="78">
        <f ca="1">AI208*Valores!$C$66</f>
        <v>140.52552399999999</v>
      </c>
      <c r="BA208" s="78">
        <f t="shared" ca="1" si="39"/>
        <v>1264.7297160000001</v>
      </c>
      <c r="BB208" s="20"/>
      <c r="BC208" s="20">
        <f t="shared" ca="1" si="33"/>
        <v>64</v>
      </c>
      <c r="BD208" s="9" t="s">
        <v>467</v>
      </c>
    </row>
    <row r="209" spans="1:56" s="9" customFormat="1" ht="11.25" customHeight="1" x14ac:dyDescent="0.15">
      <c r="A209" s="20">
        <v>208</v>
      </c>
      <c r="B209" s="20"/>
      <c r="C209" s="9" t="s">
        <v>354</v>
      </c>
      <c r="D209" s="9">
        <v>17</v>
      </c>
      <c r="E209" s="10" t="str">
        <f t="shared" ca="1" si="31"/>
        <v>Hora Cátedra Enseñanza Superior 17 hs</v>
      </c>
      <c r="F209" s="123">
        <f t="shared" ca="1" si="32"/>
        <v>1683</v>
      </c>
      <c r="G209" s="7">
        <f ca="1">INT((F209*Valores!$C$2*100)+0.5)/100</f>
        <v>8641.7000000000007</v>
      </c>
      <c r="H209" s="134">
        <v>0</v>
      </c>
      <c r="I209" s="77">
        <f ca="1">INT((H209*Valores!$C$2*100)+0.5)/100</f>
        <v>0</v>
      </c>
      <c r="J209" s="147">
        <v>0</v>
      </c>
      <c r="K209" s="77">
        <f ca="1">INT((J209*Valores!$C$2*100)+0.5)/100</f>
        <v>0</v>
      </c>
      <c r="L209" s="120">
        <v>0</v>
      </c>
      <c r="M209" s="77">
        <f ca="1">INT((L209*Valores!$C$2*100)+0.5)/100</f>
        <v>0</v>
      </c>
      <c r="N209" s="77">
        <f t="shared" ca="1" si="40"/>
        <v>0</v>
      </c>
      <c r="O209" s="77">
        <f t="shared" ca="1" si="41"/>
        <v>9179.58</v>
      </c>
      <c r="P209" s="61">
        <f ca="1">Valores!$C$14*D209</f>
        <v>1951.9399999999998</v>
      </c>
      <c r="Q209" s="61">
        <f ca="1">IF(D209&lt;15,(Valores!$E$4*D209),Valores!$D$4)</f>
        <v>2296.75</v>
      </c>
      <c r="R209" s="77">
        <v>0</v>
      </c>
      <c r="S209" s="79">
        <f ca="1">Valores!$C$45*D209</f>
        <v>537.88</v>
      </c>
      <c r="T209" s="61">
        <f ca="1">Valores!$C$22*D209</f>
        <v>789.31</v>
      </c>
      <c r="U209" s="77">
        <f t="shared" ca="1" si="30"/>
        <v>1578.62</v>
      </c>
      <c r="V209" s="77">
        <v>0</v>
      </c>
      <c r="W209" s="77">
        <v>0</v>
      </c>
      <c r="X209" s="37">
        <v>0</v>
      </c>
      <c r="Y209" s="77">
        <f ca="1">X209*Valores!$C$2</f>
        <v>0</v>
      </c>
      <c r="Z209" s="77">
        <v>0</v>
      </c>
      <c r="AA209" s="89">
        <f ca="1">(Valores!$C$32)*D209</f>
        <v>89.76</v>
      </c>
      <c r="AB209" s="77">
        <f t="shared" ca="1" si="34"/>
        <v>0</v>
      </c>
      <c r="AC209" s="77">
        <f ca="1">Valores!$C$33*D209</f>
        <v>74.63</v>
      </c>
      <c r="AD209" s="116">
        <v>0</v>
      </c>
      <c r="AE209" s="77">
        <f ca="1">INT(((AD209*Valores!$C$2)*100)+0.5)/100</f>
        <v>0</v>
      </c>
      <c r="AF209" s="77">
        <f ca="1">Valores!$D$51*D209</f>
        <v>303.58600000000001</v>
      </c>
      <c r="AG209" s="77">
        <f ca="1">Valores!$D$52*D209</f>
        <v>86.745333333333335</v>
      </c>
      <c r="AH209" s="77">
        <f ca="1">SUM(G209,I209,K209,M209,N209,O209,P209,Q209,R209,S209,U209,V209,W209,Y209,Z209,AA209,AB209,AC209,AE209,AF209,AG209)*Valores!$C$54</f>
        <v>0</v>
      </c>
      <c r="AI209" s="141">
        <f t="shared" ca="1" si="37"/>
        <v>24741.191333333329</v>
      </c>
      <c r="AJ209" s="61">
        <f ca="1">Valores!$C$36*D209</f>
        <v>206.21</v>
      </c>
      <c r="AK209" s="79">
        <f ca="1">Valores!$C$11*D209</f>
        <v>144.66999999999999</v>
      </c>
      <c r="AL209" s="89">
        <f ca="1">9.3545*D209</f>
        <v>159.0265</v>
      </c>
      <c r="AM209" s="79">
        <f ca="1">IF($G$4="SI",SUM(AK209+AL209),AK209)*Valores!$C$54</f>
        <v>0</v>
      </c>
      <c r="AN209" s="12">
        <f t="shared" ca="1" si="38"/>
        <v>509.90649999999999</v>
      </c>
      <c r="AO209" s="13">
        <f ca="1">AI209*-Valores!$C$56</f>
        <v>-3216.3548733333328</v>
      </c>
      <c r="AP209" s="13">
        <f ca="1">AI209*-Valores!$C$57</f>
        <v>-123.70595666666665</v>
      </c>
      <c r="AQ209" s="78">
        <f ca="1">AI209*-Valores!$C$58</f>
        <v>-1113.3536099999997</v>
      </c>
      <c r="AR209" s="78">
        <f ca="1">AI209*-Valores!$C$59</f>
        <v>-668.01216599999998</v>
      </c>
      <c r="AS209" s="78">
        <f ca="1">AI209*-Valores!$C$60</f>
        <v>-74.223573999999985</v>
      </c>
      <c r="AT209" s="15">
        <f t="shared" ca="1" si="35"/>
        <v>20797.683393333333</v>
      </c>
      <c r="AU209" s="15">
        <f t="shared" ca="1" si="36"/>
        <v>21168.801263333331</v>
      </c>
      <c r="AV209" s="78">
        <f ca="1">AI209*Valores!$C$61</f>
        <v>3958.5906133333328</v>
      </c>
      <c r="AW209" s="78">
        <f ca="1">AI209*Valores!$C$62</f>
        <v>1113.3536099999997</v>
      </c>
      <c r="AX209" s="78">
        <f ca="1">AI209*Valores!$C$64</f>
        <v>247.4119133333333</v>
      </c>
      <c r="AY209" s="78">
        <f ca="1">AI209*Valores!$C$65</f>
        <v>865.94169666666653</v>
      </c>
      <c r="AZ209" s="78">
        <f ca="1">AI209*Valores!$C$66</f>
        <v>148.44714799999997</v>
      </c>
      <c r="BA209" s="78">
        <f t="shared" ca="1" si="39"/>
        <v>1336.0243319999997</v>
      </c>
      <c r="BB209" s="20"/>
      <c r="BC209" s="55">
        <f t="shared" ca="1" si="33"/>
        <v>68</v>
      </c>
      <c r="BD209" s="9" t="s">
        <v>467</v>
      </c>
    </row>
    <row r="210" spans="1:56" s="9" customFormat="1" ht="11.25" customHeight="1" x14ac:dyDescent="0.15">
      <c r="A210" s="20">
        <v>209</v>
      </c>
      <c r="B210" s="20"/>
      <c r="C210" s="9" t="s">
        <v>354</v>
      </c>
      <c r="D210" s="9">
        <v>18</v>
      </c>
      <c r="E210" s="10" t="str">
        <f t="shared" ca="1" si="31"/>
        <v>Hora Cátedra Enseñanza Superior 18 hs</v>
      </c>
      <c r="F210" s="123">
        <f t="shared" ca="1" si="32"/>
        <v>1782</v>
      </c>
      <c r="G210" s="7">
        <f ca="1">INT((F210*Valores!$C$2*100)+0.5)/100</f>
        <v>9150.0400000000009</v>
      </c>
      <c r="H210" s="134">
        <v>0</v>
      </c>
      <c r="I210" s="77">
        <f ca="1">INT((H210*Valores!$C$2*100)+0.5)/100</f>
        <v>0</v>
      </c>
      <c r="J210" s="147">
        <v>0</v>
      </c>
      <c r="K210" s="77">
        <f ca="1">INT((J210*Valores!$C$2*100)+0.5)/100</f>
        <v>0</v>
      </c>
      <c r="L210" s="120">
        <v>0</v>
      </c>
      <c r="M210" s="77">
        <f ca="1">INT((L210*Valores!$C$2*100)+0.5)/100</f>
        <v>0</v>
      </c>
      <c r="N210" s="77">
        <f t="shared" ca="1" si="40"/>
        <v>0</v>
      </c>
      <c r="O210" s="77">
        <f t="shared" ca="1" si="41"/>
        <v>9719.5600000000013</v>
      </c>
      <c r="P210" s="61">
        <f ca="1">Valores!$C$14*D210</f>
        <v>2066.7599999999998</v>
      </c>
      <c r="Q210" s="61">
        <f ca="1">IF(D210&lt;15,(Valores!$E$4*D210),Valores!$D$4)</f>
        <v>2296.75</v>
      </c>
      <c r="R210" s="77">
        <v>0</v>
      </c>
      <c r="S210" s="79">
        <f ca="1">Valores!$C$45*D210</f>
        <v>569.52</v>
      </c>
      <c r="T210" s="61">
        <f ca="1">Valores!$C$22*D210</f>
        <v>835.74</v>
      </c>
      <c r="U210" s="77">
        <f t="shared" ca="1" si="30"/>
        <v>1671.48</v>
      </c>
      <c r="V210" s="77">
        <v>0</v>
      </c>
      <c r="W210" s="77">
        <v>0</v>
      </c>
      <c r="X210" s="37">
        <v>0</v>
      </c>
      <c r="Y210" s="77">
        <f ca="1">X210*Valores!$C$2</f>
        <v>0</v>
      </c>
      <c r="Z210" s="77">
        <v>0</v>
      </c>
      <c r="AA210" s="89">
        <f ca="1">(Valores!$C$32)*D210</f>
        <v>95.04</v>
      </c>
      <c r="AB210" s="77">
        <f t="shared" ca="1" si="34"/>
        <v>0</v>
      </c>
      <c r="AC210" s="77">
        <f ca="1">Valores!$C$33*D210</f>
        <v>79.02</v>
      </c>
      <c r="AD210" s="116">
        <v>0</v>
      </c>
      <c r="AE210" s="77">
        <f ca="1">INT(((AD210*Valores!$C$2)*100)+0.5)/100</f>
        <v>0</v>
      </c>
      <c r="AF210" s="77">
        <f ca="1">Valores!$D$51*D210</f>
        <v>321.44400000000002</v>
      </c>
      <c r="AG210" s="77">
        <f ca="1">Valores!$D$52*D210</f>
        <v>91.847999999999999</v>
      </c>
      <c r="AH210" s="77">
        <f ca="1">SUM(G210,I210,K210,M210,N210,O210,P210,Q210,R210,S210,U210,V210,W210,Y210,Z210,AA210,AB210,AC210,AE210,AF210,AG210)*Valores!$C$54</f>
        <v>0</v>
      </c>
      <c r="AI210" s="141">
        <f t="shared" ca="1" si="37"/>
        <v>26061.462000000003</v>
      </c>
      <c r="AJ210" s="61">
        <f ca="1">Valores!$C$36*D210</f>
        <v>218.34</v>
      </c>
      <c r="AK210" s="79">
        <f ca="1">Valores!$C$11*D210</f>
        <v>153.18</v>
      </c>
      <c r="AL210" s="89">
        <f ca="1">9.3545*D210</f>
        <v>168.381</v>
      </c>
      <c r="AM210" s="79">
        <f ca="1">IF($G$4="SI",SUM(AK210+AL210),AK210)*Valores!$C$54</f>
        <v>0</v>
      </c>
      <c r="AN210" s="12">
        <f t="shared" ca="1" si="38"/>
        <v>539.90099999999995</v>
      </c>
      <c r="AO210" s="13">
        <f ca="1">AI210*-Valores!$C$56</f>
        <v>-3387.9900600000005</v>
      </c>
      <c r="AP210" s="13">
        <f ca="1">AI210*-Valores!$C$57</f>
        <v>-130.30731000000003</v>
      </c>
      <c r="AQ210" s="78">
        <f ca="1">AI210*-Valores!$C$58</f>
        <v>-1172.7657900000002</v>
      </c>
      <c r="AR210" s="78">
        <f ca="1">AI210*-Valores!$C$59</f>
        <v>-703.65947400000016</v>
      </c>
      <c r="AS210" s="78">
        <f ca="1">AI210*-Valores!$C$60</f>
        <v>-78.184386000000018</v>
      </c>
      <c r="AT210" s="15">
        <f t="shared" ca="1" si="35"/>
        <v>21910.299840000003</v>
      </c>
      <c r="AU210" s="15">
        <f t="shared" ca="1" si="36"/>
        <v>22301.221770000004</v>
      </c>
      <c r="AV210" s="78">
        <f ca="1">AI210*Valores!$C$61</f>
        <v>4169.8339200000009</v>
      </c>
      <c r="AW210" s="78">
        <f ca="1">AI210*Valores!$C$62</f>
        <v>1172.7657900000002</v>
      </c>
      <c r="AX210" s="78">
        <f ca="1">AI210*Valores!$C$64</f>
        <v>260.61462000000006</v>
      </c>
      <c r="AY210" s="78">
        <f ca="1">AI210*Valores!$C$65</f>
        <v>912.15117000000021</v>
      </c>
      <c r="AZ210" s="78">
        <f ca="1">AI210*Valores!$C$66</f>
        <v>156.36877200000004</v>
      </c>
      <c r="BA210" s="78">
        <f t="shared" ca="1" si="39"/>
        <v>1407.3189480000003</v>
      </c>
      <c r="BB210" s="20"/>
      <c r="BC210" s="20">
        <f t="shared" ca="1" si="33"/>
        <v>72</v>
      </c>
      <c r="BD210" s="9" t="s">
        <v>467</v>
      </c>
    </row>
    <row r="211" spans="1:56" s="9" customFormat="1" ht="11.25" customHeight="1" x14ac:dyDescent="0.15">
      <c r="A211" s="55">
        <v>210</v>
      </c>
      <c r="B211" s="55" t="s">
        <v>462</v>
      </c>
      <c r="C211" s="52" t="s">
        <v>354</v>
      </c>
      <c r="D211" s="52">
        <v>19</v>
      </c>
      <c r="E211" s="53" t="str">
        <f t="shared" ca="1" si="31"/>
        <v>Hora Cátedra Enseñanza Superior 19 hs</v>
      </c>
      <c r="F211" s="124">
        <f t="shared" ca="1" si="32"/>
        <v>1881</v>
      </c>
      <c r="G211" s="129">
        <f ca="1">INT((F211*Valores!$C$2*100)+0.5)/100</f>
        <v>9658.3700000000008</v>
      </c>
      <c r="H211" s="133">
        <v>0</v>
      </c>
      <c r="I211" s="80">
        <f ca="1">INT((H211*Valores!$C$2*100)+0.5)/100</f>
        <v>0</v>
      </c>
      <c r="J211" s="148">
        <v>0</v>
      </c>
      <c r="K211" s="80">
        <f ca="1">INT((J211*Valores!$C$2*100)+0.5)/100</f>
        <v>0</v>
      </c>
      <c r="L211" s="121">
        <v>0</v>
      </c>
      <c r="M211" s="80">
        <f ca="1">INT((L211*Valores!$C$2*100)+0.5)/100</f>
        <v>0</v>
      </c>
      <c r="N211" s="80">
        <f t="shared" ca="1" si="40"/>
        <v>0</v>
      </c>
      <c r="O211" s="80">
        <f t="shared" ca="1" si="41"/>
        <v>10259.530000000001</v>
      </c>
      <c r="P211" s="85">
        <f ca="1">Valores!$C$14*D211</f>
        <v>2181.58</v>
      </c>
      <c r="Q211" s="85">
        <f ca="1">IF(D211&lt;15,(Valores!$E$4*D211),Valores!$D$4)</f>
        <v>2296.75</v>
      </c>
      <c r="R211" s="80">
        <v>0</v>
      </c>
      <c r="S211" s="82">
        <f ca="1">Valores!$C$45*D211</f>
        <v>601.16</v>
      </c>
      <c r="T211" s="85">
        <f ca="1">Valores!$C$22*D211</f>
        <v>882.17</v>
      </c>
      <c r="U211" s="80">
        <f t="shared" ca="1" si="30"/>
        <v>1764.34</v>
      </c>
      <c r="V211" s="80">
        <v>0</v>
      </c>
      <c r="W211" s="80">
        <v>0</v>
      </c>
      <c r="X211" s="60">
        <v>0</v>
      </c>
      <c r="Y211" s="80">
        <f ca="1">X211*Valores!$C$2</f>
        <v>0</v>
      </c>
      <c r="Z211" s="80">
        <v>0</v>
      </c>
      <c r="AA211" s="90">
        <f ca="1">(Valores!$C$32)*D211</f>
        <v>100.32000000000001</v>
      </c>
      <c r="AB211" s="80">
        <f t="shared" ca="1" si="34"/>
        <v>0</v>
      </c>
      <c r="AC211" s="80">
        <f ca="1">Valores!$C$33*D211</f>
        <v>83.41</v>
      </c>
      <c r="AD211" s="115">
        <v>0</v>
      </c>
      <c r="AE211" s="80">
        <f ca="1">INT(((AD211*Valores!$C$2)*100)+0.5)/100</f>
        <v>0</v>
      </c>
      <c r="AF211" s="80">
        <f ca="1">Valores!$D$51*D211</f>
        <v>339.30200000000002</v>
      </c>
      <c r="AG211" s="80">
        <f ca="1">Valores!$D$52*D211</f>
        <v>96.950666666666677</v>
      </c>
      <c r="AH211" s="80">
        <f ca="1">SUM(G211,I211,K211,M211,N211,O211,P211,Q211,R211,S211,U211,V211,W211,Y211,Z211,AA211,AB211,AC211,AE211,AF211,AG211)*Valores!$C$54</f>
        <v>0</v>
      </c>
      <c r="AI211" s="142">
        <f t="shared" ca="1" si="37"/>
        <v>27381.71266666667</v>
      </c>
      <c r="AJ211" s="85">
        <f ca="1">Valores!$C$36*D211</f>
        <v>230.47000000000003</v>
      </c>
      <c r="AK211" s="82">
        <f ca="1">Valores!$C$11*D211</f>
        <v>161.69</v>
      </c>
      <c r="AL211" s="90">
        <f ca="1">9.3545*D211</f>
        <v>177.7355</v>
      </c>
      <c r="AM211" s="82">
        <f ca="1">IF($G$4="SI",SUM(AK211+AL211),AK211)*Valores!$C$54</f>
        <v>0</v>
      </c>
      <c r="AN211" s="186">
        <f t="shared" ca="1" si="38"/>
        <v>569.89550000000008</v>
      </c>
      <c r="AO211" s="155">
        <f ca="1">AI211*-Valores!$C$56</f>
        <v>-3559.6226466666672</v>
      </c>
      <c r="AP211" s="155">
        <f ca="1">AI211*-Valores!$C$57</f>
        <v>-136.90856333333335</v>
      </c>
      <c r="AQ211" s="81">
        <f ca="1">AI211*-Valores!$C$58</f>
        <v>-1232.1770700000002</v>
      </c>
      <c r="AR211" s="81">
        <f ca="1">AI211*-Valores!$C$59</f>
        <v>-739.30624200000022</v>
      </c>
      <c r="AS211" s="81">
        <f ca="1">AI211*-Valores!$C$60</f>
        <v>-82.145138000000017</v>
      </c>
      <c r="AT211" s="54">
        <f t="shared" ca="1" si="35"/>
        <v>23022.899886666666</v>
      </c>
      <c r="AU211" s="54">
        <f t="shared" ca="1" si="36"/>
        <v>23433.625576666669</v>
      </c>
      <c r="AV211" s="81">
        <f ca="1">AI211*Valores!$C$61</f>
        <v>4381.0740266666671</v>
      </c>
      <c r="AW211" s="81">
        <f ca="1">AI211*Valores!$C$62</f>
        <v>1232.1770700000002</v>
      </c>
      <c r="AX211" s="81">
        <f ca="1">AI211*Valores!$C$64</f>
        <v>273.8171266666667</v>
      </c>
      <c r="AY211" s="81">
        <f ca="1">AI211*Valores!$C$65</f>
        <v>958.35994333333349</v>
      </c>
      <c r="AZ211" s="81">
        <f ca="1">AI211*Valores!$C$66</f>
        <v>164.29027600000003</v>
      </c>
      <c r="BA211" s="81">
        <f t="shared" ca="1" si="39"/>
        <v>1478.6124840000004</v>
      </c>
      <c r="BB211" s="55"/>
      <c r="BC211" s="55">
        <f t="shared" ca="1" si="33"/>
        <v>76</v>
      </c>
      <c r="BD211" s="52" t="s">
        <v>467</v>
      </c>
    </row>
    <row r="212" spans="1:56" s="9" customFormat="1" ht="11.25" customHeight="1" x14ac:dyDescent="0.15">
      <c r="A212" s="20">
        <v>211</v>
      </c>
      <c r="B212" s="20"/>
      <c r="C212" s="9" t="s">
        <v>354</v>
      </c>
      <c r="D212" s="9">
        <v>20</v>
      </c>
      <c r="E212" s="10" t="str">
        <f t="shared" ca="1" si="31"/>
        <v>Hora Cátedra Enseñanza Superior 20 hs</v>
      </c>
      <c r="F212" s="123">
        <f t="shared" ca="1" si="32"/>
        <v>1980</v>
      </c>
      <c r="G212" s="7">
        <f ca="1">INT((F212*Valores!$C$2*100)+0.5)/100</f>
        <v>10166.709999999999</v>
      </c>
      <c r="H212" s="134">
        <v>0</v>
      </c>
      <c r="I212" s="77">
        <f ca="1">INT((H212*Valores!$C$2*100)+0.5)/100</f>
        <v>0</v>
      </c>
      <c r="J212" s="147">
        <v>0</v>
      </c>
      <c r="K212" s="77">
        <f ca="1">INT((J212*Valores!$C$2*100)+0.5)/100</f>
        <v>0</v>
      </c>
      <c r="L212" s="120">
        <v>0</v>
      </c>
      <c r="M212" s="77">
        <f ca="1">INT((L212*Valores!$C$2*100)+0.5)/100</f>
        <v>0</v>
      </c>
      <c r="N212" s="77">
        <f t="shared" ca="1" si="40"/>
        <v>0</v>
      </c>
      <c r="O212" s="77">
        <f t="shared" ca="1" si="41"/>
        <v>10799.509999999998</v>
      </c>
      <c r="P212" s="61">
        <f ca="1">Valores!$C$14*D212</f>
        <v>2296.3999999999996</v>
      </c>
      <c r="Q212" s="61">
        <f ca="1">IF(D212&lt;15,(Valores!$E$4*D212),Valores!$D$4)</f>
        <v>2296.75</v>
      </c>
      <c r="R212" s="77">
        <v>0</v>
      </c>
      <c r="S212" s="79">
        <f ca="1">Valores!$C$45*D212</f>
        <v>632.79999999999995</v>
      </c>
      <c r="T212" s="61">
        <f ca="1">Valores!$C$22*D212</f>
        <v>928.6</v>
      </c>
      <c r="U212" s="77">
        <f t="shared" ca="1" si="30"/>
        <v>1857.2</v>
      </c>
      <c r="V212" s="77">
        <v>0</v>
      </c>
      <c r="W212" s="77">
        <v>0</v>
      </c>
      <c r="X212" s="37">
        <v>0</v>
      </c>
      <c r="Y212" s="77">
        <f ca="1">X212*Valores!$C$2</f>
        <v>0</v>
      </c>
      <c r="Z212" s="77">
        <v>0</v>
      </c>
      <c r="AA212" s="89">
        <f ca="1">(Valores!$C$32)*D212</f>
        <v>105.60000000000001</v>
      </c>
      <c r="AB212" s="77">
        <f t="shared" ca="1" si="34"/>
        <v>0</v>
      </c>
      <c r="AC212" s="77">
        <f ca="1">Valores!$C$33*D212</f>
        <v>87.8</v>
      </c>
      <c r="AD212" s="116">
        <v>0</v>
      </c>
      <c r="AE212" s="77">
        <f ca="1">INT(((AD212*Valores!$C$2)*100)+0.5)/100</f>
        <v>0</v>
      </c>
      <c r="AF212" s="77">
        <f ca="1">Valores!$D$51*D212</f>
        <v>357.16</v>
      </c>
      <c r="AG212" s="77">
        <f ca="1">Valores!$D$52*D212</f>
        <v>102.05333333333334</v>
      </c>
      <c r="AH212" s="77">
        <f ca="1">SUM(G212,I212,K212,M212,N212,O212,P212,Q212,R212,S212,U212,V212,W212,Y212,Z212,AA212,AB212,AC212,AE212,AF212,AG212)*Valores!$C$54</f>
        <v>0</v>
      </c>
      <c r="AI212" s="141">
        <f t="shared" ca="1" si="37"/>
        <v>28701.983333333326</v>
      </c>
      <c r="AJ212" s="61">
        <f ca="1">Valores!$C$36*D212</f>
        <v>242.60000000000002</v>
      </c>
      <c r="AK212" s="79">
        <f ca="1">Valores!$C$11*D212</f>
        <v>170.2</v>
      </c>
      <c r="AL212" s="89">
        <f ca="1">9.35405*D212</f>
        <v>187.08100000000002</v>
      </c>
      <c r="AM212" s="79">
        <f ca="1">IF($G$4="SI",SUM(AK212+AL212),AK212)*Valores!$C$54</f>
        <v>0</v>
      </c>
      <c r="AN212" s="12">
        <f t="shared" ca="1" si="38"/>
        <v>599.88100000000009</v>
      </c>
      <c r="AO212" s="13">
        <f ca="1">AI212*-Valores!$C$56</f>
        <v>-3731.2578333333327</v>
      </c>
      <c r="AP212" s="13">
        <f ca="1">AI212*-Valores!$C$57</f>
        <v>-143.50991666666664</v>
      </c>
      <c r="AQ212" s="78">
        <f ca="1">AI212*-Valores!$C$58</f>
        <v>-1291.5892499999995</v>
      </c>
      <c r="AR212" s="78">
        <f ca="1">AI212*-Valores!$C$59</f>
        <v>-774.95354999999995</v>
      </c>
      <c r="AS212" s="78">
        <f ca="1">AI212*-Valores!$C$60</f>
        <v>-86.105949999999979</v>
      </c>
      <c r="AT212" s="15">
        <f t="shared" ca="1" si="35"/>
        <v>24135.507333333328</v>
      </c>
      <c r="AU212" s="15">
        <f t="shared" ca="1" si="36"/>
        <v>24566.037083333329</v>
      </c>
      <c r="AV212" s="78">
        <f ca="1">AI212*Valores!$C$61</f>
        <v>4592.3173333333325</v>
      </c>
      <c r="AW212" s="78">
        <f ca="1">AI212*Valores!$C$62</f>
        <v>1291.5892499999995</v>
      </c>
      <c r="AX212" s="78">
        <f ca="1">AI212*Valores!$C$64</f>
        <v>287.01983333333328</v>
      </c>
      <c r="AY212" s="78">
        <f ca="1">AI212*Valores!$C$65</f>
        <v>1004.5694166666665</v>
      </c>
      <c r="AZ212" s="78">
        <f ca="1">AI212*Valores!$C$66</f>
        <v>172.21189999999996</v>
      </c>
      <c r="BA212" s="78">
        <f t="shared" ca="1" si="39"/>
        <v>1549.9070999999997</v>
      </c>
      <c r="BB212" s="20"/>
      <c r="BC212" s="20">
        <f t="shared" ca="1" si="33"/>
        <v>80</v>
      </c>
      <c r="BD212" s="9" t="s">
        <v>467</v>
      </c>
    </row>
    <row r="213" spans="1:56" s="9" customFormat="1" ht="11.25" customHeight="1" x14ac:dyDescent="0.15">
      <c r="A213" s="20">
        <v>212</v>
      </c>
      <c r="B213" s="20"/>
      <c r="C213" s="9" t="s">
        <v>354</v>
      </c>
      <c r="D213" s="9">
        <v>21</v>
      </c>
      <c r="E213" s="10" t="str">
        <f t="shared" ca="1" si="31"/>
        <v>Hora Cátedra Enseñanza Superior 21 hs</v>
      </c>
      <c r="F213" s="123">
        <f t="shared" ca="1" si="32"/>
        <v>2079</v>
      </c>
      <c r="G213" s="7">
        <f ca="1">INT((F213*Valores!$C$2*100)+0.5)/100</f>
        <v>10675.04</v>
      </c>
      <c r="H213" s="134">
        <v>0</v>
      </c>
      <c r="I213" s="77">
        <f ca="1">INT((H213*Valores!$C$2*100)+0.5)/100</f>
        <v>0</v>
      </c>
      <c r="J213" s="147">
        <v>0</v>
      </c>
      <c r="K213" s="77">
        <f ca="1">INT((J213*Valores!$C$2*100)+0.5)/100</f>
        <v>0</v>
      </c>
      <c r="L213" s="120">
        <v>0</v>
      </c>
      <c r="M213" s="77">
        <f ca="1">INT((L213*Valores!$C$2*100)+0.5)/100</f>
        <v>0</v>
      </c>
      <c r="N213" s="77">
        <f t="shared" ca="1" si="40"/>
        <v>0</v>
      </c>
      <c r="O213" s="77">
        <f t="shared" ca="1" si="41"/>
        <v>11339.480000000001</v>
      </c>
      <c r="P213" s="61">
        <f ca="1">Valores!$C$14*D213</f>
        <v>2411.2199999999998</v>
      </c>
      <c r="Q213" s="61">
        <f ca="1">IF(D213&lt;15,(Valores!$E$4*D213),Valores!$D$4)</f>
        <v>2296.75</v>
      </c>
      <c r="R213" s="77">
        <v>0</v>
      </c>
      <c r="S213" s="79">
        <f ca="1">Valores!$C$45*D213</f>
        <v>664.44</v>
      </c>
      <c r="T213" s="61">
        <f ca="1">Valores!$C$22*D213</f>
        <v>975.03</v>
      </c>
      <c r="U213" s="77">
        <f t="shared" ca="1" si="30"/>
        <v>1950.06</v>
      </c>
      <c r="V213" s="77">
        <v>0</v>
      </c>
      <c r="W213" s="77">
        <v>0</v>
      </c>
      <c r="X213" s="37">
        <v>0</v>
      </c>
      <c r="Y213" s="77">
        <f ca="1">X213*Valores!$C$2</f>
        <v>0</v>
      </c>
      <c r="Z213" s="77">
        <v>0</v>
      </c>
      <c r="AA213" s="89">
        <f ca="1">(Valores!$C$32)*D213</f>
        <v>110.88000000000001</v>
      </c>
      <c r="AB213" s="77">
        <f t="shared" ca="1" si="34"/>
        <v>0</v>
      </c>
      <c r="AC213" s="77">
        <f ca="1">Valores!$C$33*D213</f>
        <v>92.19</v>
      </c>
      <c r="AD213" s="116">
        <v>0</v>
      </c>
      <c r="AE213" s="77">
        <f ca="1">INT(((AD213*Valores!$C$2)*100)+0.5)/100</f>
        <v>0</v>
      </c>
      <c r="AF213" s="77">
        <f ca="1">Valores!$D$51*D213</f>
        <v>375.01800000000003</v>
      </c>
      <c r="AG213" s="77">
        <f ca="1">Valores!$D$52*D213</f>
        <v>107.15600000000001</v>
      </c>
      <c r="AH213" s="77">
        <f ca="1">SUM(G213,I213,K213,M213,N213,O213,P213,Q213,R213,S213,U213,V213,W213,Y213,Z213,AA213,AB213,AC213,AE213,AF213,AG213)*Valores!$C$54</f>
        <v>0</v>
      </c>
      <c r="AI213" s="141">
        <f t="shared" ca="1" si="37"/>
        <v>30022.234000000004</v>
      </c>
      <c r="AJ213" s="61">
        <f ca="1">Valores!$C$36*D213</f>
        <v>254.73000000000002</v>
      </c>
      <c r="AK213" s="79">
        <f ca="1">Valores!$C$11*D213</f>
        <v>178.71</v>
      </c>
      <c r="AL213" s="89">
        <f ca="1">9.35*D213</f>
        <v>196.35</v>
      </c>
      <c r="AM213" s="79">
        <f ca="1">IF($G$4="SI",SUM(AK213+AL213),AK213)*Valores!$C$54</f>
        <v>0</v>
      </c>
      <c r="AN213" s="12">
        <f t="shared" ca="1" si="38"/>
        <v>629.79000000000008</v>
      </c>
      <c r="AO213" s="13">
        <f ca="1">AI213*-Valores!$C$56</f>
        <v>-3902.8904200000006</v>
      </c>
      <c r="AP213" s="13">
        <f ca="1">AI213*-Valores!$C$57</f>
        <v>-150.11117000000002</v>
      </c>
      <c r="AQ213" s="78">
        <f ca="1">AI213*-Valores!$C$58</f>
        <v>-1351.00053</v>
      </c>
      <c r="AR213" s="78">
        <f ca="1">AI213*-Valores!$C$59</f>
        <v>-810.60031800000024</v>
      </c>
      <c r="AS213" s="78">
        <f ca="1">AI213*-Valores!$C$60</f>
        <v>-90.066702000000021</v>
      </c>
      <c r="AT213" s="15">
        <f t="shared" ca="1" si="35"/>
        <v>25248.021880000004</v>
      </c>
      <c r="AU213" s="15">
        <f t="shared" ca="1" si="36"/>
        <v>25698.355390000004</v>
      </c>
      <c r="AV213" s="78">
        <f ca="1">AI213*Valores!$C$61</f>
        <v>4803.5574400000005</v>
      </c>
      <c r="AW213" s="78">
        <f ca="1">AI213*Valores!$C$62</f>
        <v>1351.00053</v>
      </c>
      <c r="AX213" s="78">
        <f ca="1">AI213*Valores!$C$64</f>
        <v>300.22234000000003</v>
      </c>
      <c r="AY213" s="78">
        <f ca="1">AI213*Valores!$C$65</f>
        <v>1050.7781900000002</v>
      </c>
      <c r="AZ213" s="78">
        <f ca="1">AI213*Valores!$C$66</f>
        <v>180.13340400000004</v>
      </c>
      <c r="BA213" s="78">
        <f t="shared" ca="1" si="39"/>
        <v>1621.2006360000003</v>
      </c>
      <c r="BB213" s="20"/>
      <c r="BC213" s="20">
        <f t="shared" ca="1" si="33"/>
        <v>84</v>
      </c>
      <c r="BD213" s="9" t="s">
        <v>466</v>
      </c>
    </row>
    <row r="214" spans="1:56" s="9" customFormat="1" ht="11.25" customHeight="1" x14ac:dyDescent="0.15">
      <c r="A214" s="20">
        <v>213</v>
      </c>
      <c r="B214" s="20"/>
      <c r="C214" s="9" t="s">
        <v>354</v>
      </c>
      <c r="D214" s="9">
        <v>22</v>
      </c>
      <c r="E214" s="10" t="str">
        <f t="shared" ca="1" si="31"/>
        <v>Hora Cátedra Enseñanza Superior 22 hs</v>
      </c>
      <c r="F214" s="123">
        <f t="shared" ca="1" si="32"/>
        <v>2178</v>
      </c>
      <c r="G214" s="7">
        <f ca="1">INT((F214*Valores!$C$2*100)+0.5)/100</f>
        <v>11183.38</v>
      </c>
      <c r="H214" s="134">
        <v>0</v>
      </c>
      <c r="I214" s="77">
        <f ca="1">INT((H214*Valores!$C$2*100)+0.5)/100</f>
        <v>0</v>
      </c>
      <c r="J214" s="147">
        <v>0</v>
      </c>
      <c r="K214" s="77">
        <f ca="1">INT((J214*Valores!$C$2*100)+0.5)/100</f>
        <v>0</v>
      </c>
      <c r="L214" s="120">
        <v>0</v>
      </c>
      <c r="M214" s="77">
        <f ca="1">INT((L214*Valores!$C$2*100)+0.5)/100</f>
        <v>0</v>
      </c>
      <c r="N214" s="77">
        <f t="shared" ca="1" si="40"/>
        <v>0</v>
      </c>
      <c r="O214" s="77">
        <f t="shared" ca="1" si="41"/>
        <v>11879.46</v>
      </c>
      <c r="P214" s="61">
        <f ca="1">Valores!$C$14*D214</f>
        <v>2526.04</v>
      </c>
      <c r="Q214" s="61">
        <f ca="1">IF(D214&lt;15,(Valores!$E$4*D214),Valores!$D$4)</f>
        <v>2296.75</v>
      </c>
      <c r="R214" s="77">
        <v>0</v>
      </c>
      <c r="S214" s="79">
        <f ca="1">Valores!$C$45*D214</f>
        <v>696.08</v>
      </c>
      <c r="T214" s="61">
        <f ca="1">Valores!$C$22*D214</f>
        <v>1021.46</v>
      </c>
      <c r="U214" s="77">
        <f t="shared" ca="1" si="30"/>
        <v>2042.92</v>
      </c>
      <c r="V214" s="77">
        <v>0</v>
      </c>
      <c r="W214" s="77">
        <v>0</v>
      </c>
      <c r="X214" s="37">
        <v>0</v>
      </c>
      <c r="Y214" s="77">
        <f ca="1">X214*Valores!$C$2</f>
        <v>0</v>
      </c>
      <c r="Z214" s="77">
        <v>0</v>
      </c>
      <c r="AA214" s="89">
        <f ca="1">(Valores!$C$32)*D214</f>
        <v>116.16000000000001</v>
      </c>
      <c r="AB214" s="77">
        <f t="shared" ca="1" si="34"/>
        <v>0</v>
      </c>
      <c r="AC214" s="77">
        <f ca="1">Valores!$C$33*D214</f>
        <v>96.58</v>
      </c>
      <c r="AD214" s="116">
        <v>0</v>
      </c>
      <c r="AE214" s="77">
        <f ca="1">INT(((AD214*Valores!$C$2)*100)+0.5)/100</f>
        <v>0</v>
      </c>
      <c r="AF214" s="77">
        <f ca="1">Valores!$D$51*D214</f>
        <v>392.87600000000003</v>
      </c>
      <c r="AG214" s="77">
        <f ca="1">Valores!$D$52*D214</f>
        <v>112.25866666666667</v>
      </c>
      <c r="AH214" s="77">
        <f ca="1">SUM(G214,I214,K214,M214,N214,O214,P214,Q214,R214,S214,U214,V214,W214,Y214,Z214,AA214,AB214,AC214,AE214,AF214,AG214)*Valores!$C$54</f>
        <v>0</v>
      </c>
      <c r="AI214" s="141">
        <f t="shared" ca="1" si="37"/>
        <v>31342.504666666668</v>
      </c>
      <c r="AJ214" s="61">
        <f ca="1">Valores!$C$36*D214</f>
        <v>266.86</v>
      </c>
      <c r="AK214" s="79">
        <f ca="1">Valores!$C$11*D214</f>
        <v>187.22</v>
      </c>
      <c r="AL214" s="89">
        <f ca="1">9.3545*D214</f>
        <v>205.79900000000001</v>
      </c>
      <c r="AM214" s="79">
        <f ca="1">IF($G$4="SI",SUM(AK214+AL214),AK214)*Valores!$C$54</f>
        <v>0</v>
      </c>
      <c r="AN214" s="12">
        <f t="shared" ca="1" si="38"/>
        <v>659.87900000000002</v>
      </c>
      <c r="AO214" s="13">
        <f ca="1">AI214*-Valores!$C$56</f>
        <v>-4074.525606666667</v>
      </c>
      <c r="AP214" s="13">
        <f ca="1">AI214*-Valores!$C$57</f>
        <v>-156.71252333333334</v>
      </c>
      <c r="AQ214" s="78">
        <f ca="1">AI214*-Valores!$C$58</f>
        <v>-1410.4127100000001</v>
      </c>
      <c r="AR214" s="78">
        <f ca="1">AI214*-Valores!$C$59</f>
        <v>-846.24762600000008</v>
      </c>
      <c r="AS214" s="78">
        <f ca="1">AI214*-Valores!$C$60</f>
        <v>-94.027514000000011</v>
      </c>
      <c r="AT214" s="15">
        <f t="shared" ca="1" si="35"/>
        <v>26360.73282666667</v>
      </c>
      <c r="AU214" s="15">
        <f t="shared" ca="1" si="36"/>
        <v>26830.870396666669</v>
      </c>
      <c r="AV214" s="78">
        <f ca="1">AI214*Valores!$C$61</f>
        <v>5014.8007466666668</v>
      </c>
      <c r="AW214" s="78">
        <f ca="1">AI214*Valores!$C$62</f>
        <v>1410.4127100000001</v>
      </c>
      <c r="AX214" s="78">
        <f ca="1">AI214*Valores!$C$64</f>
        <v>313.42504666666667</v>
      </c>
      <c r="AY214" s="78">
        <f ca="1">AI214*Valores!$C$65</f>
        <v>1096.9876633333336</v>
      </c>
      <c r="AZ214" s="78">
        <f ca="1">AI214*Valores!$C$66</f>
        <v>188.05502800000002</v>
      </c>
      <c r="BA214" s="78">
        <f t="shared" ca="1" si="39"/>
        <v>1692.4952519999999</v>
      </c>
      <c r="BB214" s="20"/>
      <c r="BC214" s="55">
        <f t="shared" ca="1" si="33"/>
        <v>88</v>
      </c>
      <c r="BD214" s="9" t="s">
        <v>467</v>
      </c>
    </row>
    <row r="215" spans="1:56" s="9" customFormat="1" ht="11.25" customHeight="1" x14ac:dyDescent="0.15">
      <c r="A215" s="20">
        <v>214</v>
      </c>
      <c r="B215" s="20"/>
      <c r="C215" s="9" t="s">
        <v>354</v>
      </c>
      <c r="D215" s="9">
        <v>23</v>
      </c>
      <c r="E215" s="10" t="str">
        <f t="shared" ca="1" si="31"/>
        <v>Hora Cátedra Enseñanza Superior 23 hs</v>
      </c>
      <c r="F215" s="123">
        <f t="shared" ca="1" si="32"/>
        <v>2277</v>
      </c>
      <c r="G215" s="7">
        <f ca="1">INT((F215*Valores!$C$2*100)+0.5)/100</f>
        <v>11691.71</v>
      </c>
      <c r="H215" s="134">
        <v>0</v>
      </c>
      <c r="I215" s="77">
        <f ca="1">INT((H215*Valores!$C$2*100)+0.5)/100</f>
        <v>0</v>
      </c>
      <c r="J215" s="147">
        <v>0</v>
      </c>
      <c r="K215" s="77">
        <f ca="1">INT((J215*Valores!$C$2*100)+0.5)/100</f>
        <v>0</v>
      </c>
      <c r="L215" s="120">
        <v>0</v>
      </c>
      <c r="M215" s="77">
        <f ca="1">INT((L215*Valores!$C$2*100)+0.5)/100</f>
        <v>0</v>
      </c>
      <c r="N215" s="77">
        <f t="shared" ca="1" si="40"/>
        <v>0</v>
      </c>
      <c r="O215" s="77">
        <f t="shared" ca="1" si="41"/>
        <v>12419.429999999998</v>
      </c>
      <c r="P215" s="61">
        <f ca="1">Valores!$C$14*D215</f>
        <v>2640.8599999999997</v>
      </c>
      <c r="Q215" s="61">
        <f ca="1">IF(D215&lt;15,(Valores!$E$4*D215),Valores!$D$4)</f>
        <v>2296.75</v>
      </c>
      <c r="R215" s="77">
        <v>0</v>
      </c>
      <c r="S215" s="79">
        <f ca="1">Valores!$C$45*D215</f>
        <v>727.72</v>
      </c>
      <c r="T215" s="61">
        <f ca="1">Valores!$C$22*D215</f>
        <v>1067.8900000000001</v>
      </c>
      <c r="U215" s="77">
        <f t="shared" ca="1" si="30"/>
        <v>2135.7800000000002</v>
      </c>
      <c r="V215" s="77">
        <v>0</v>
      </c>
      <c r="W215" s="77">
        <v>0</v>
      </c>
      <c r="X215" s="37">
        <v>0</v>
      </c>
      <c r="Y215" s="77">
        <f ca="1">X215*Valores!$C$2</f>
        <v>0</v>
      </c>
      <c r="Z215" s="77">
        <v>0</v>
      </c>
      <c r="AA215" s="89">
        <f ca="1">(Valores!$C$32)*D215</f>
        <v>121.44000000000001</v>
      </c>
      <c r="AB215" s="77">
        <f t="shared" ca="1" si="34"/>
        <v>0</v>
      </c>
      <c r="AC215" s="77">
        <f ca="1">Valores!$C$33*D215</f>
        <v>100.97</v>
      </c>
      <c r="AD215" s="116">
        <v>0</v>
      </c>
      <c r="AE215" s="77">
        <f ca="1">INT(((AD215*Valores!$C$2)*100)+0.5)/100</f>
        <v>0</v>
      </c>
      <c r="AF215" s="77">
        <f ca="1">Valores!$D$51*D215</f>
        <v>410.73400000000004</v>
      </c>
      <c r="AG215" s="77">
        <f ca="1">Valores!$D$52*D215</f>
        <v>117.36133333333333</v>
      </c>
      <c r="AH215" s="77">
        <f ca="1">SUM(G215,I215,K215,M215,N215,O215,P215,Q215,R215,S215,U215,V215,W215,Y215,Z215,AA215,AB215,AC215,AE215,AF215,AG215)*Valores!$C$54</f>
        <v>0</v>
      </c>
      <c r="AI215" s="141">
        <f t="shared" ca="1" si="37"/>
        <v>32662.755333333334</v>
      </c>
      <c r="AJ215" s="61">
        <f ca="1">Valores!$C$36*D215</f>
        <v>278.99</v>
      </c>
      <c r="AK215" s="79">
        <f ca="1">Valores!$C$11*D215</f>
        <v>195.73</v>
      </c>
      <c r="AL215" s="89">
        <f ca="1">9.3545*D215</f>
        <v>215.15350000000001</v>
      </c>
      <c r="AM215" s="79">
        <f ca="1">IF($G$4="SI",SUM(AK215+AL215),AK215)*Valores!$C$54</f>
        <v>0</v>
      </c>
      <c r="AN215" s="12">
        <f t="shared" ca="1" si="38"/>
        <v>689.87350000000004</v>
      </c>
      <c r="AO215" s="13">
        <f ca="1">AI215*-Valores!$C$56</f>
        <v>-4246.1581933333337</v>
      </c>
      <c r="AP215" s="13">
        <f ca="1">AI215*-Valores!$C$57</f>
        <v>-163.31377666666668</v>
      </c>
      <c r="AQ215" s="78">
        <f ca="1">AI215*-Valores!$C$58</f>
        <v>-1469.8239900000001</v>
      </c>
      <c r="AR215" s="78">
        <f ca="1">AI215*-Valores!$C$59</f>
        <v>-881.89439400000015</v>
      </c>
      <c r="AS215" s="78">
        <f ca="1">AI215*-Valores!$C$60</f>
        <v>-97.98826600000001</v>
      </c>
      <c r="AT215" s="15">
        <f t="shared" ca="1" si="35"/>
        <v>27473.332873333333</v>
      </c>
      <c r="AU215" s="15">
        <f t="shared" ca="1" si="36"/>
        <v>27963.274203333334</v>
      </c>
      <c r="AV215" s="78">
        <f ca="1">AI215*Valores!$C$61</f>
        <v>5226.0408533333339</v>
      </c>
      <c r="AW215" s="78">
        <f ca="1">AI215*Valores!$C$62</f>
        <v>1469.8239900000001</v>
      </c>
      <c r="AX215" s="78">
        <f ca="1">AI215*Valores!$C$64</f>
        <v>326.62755333333337</v>
      </c>
      <c r="AY215" s="78">
        <f ca="1">AI215*Valores!$C$65</f>
        <v>1143.1964366666668</v>
      </c>
      <c r="AZ215" s="78">
        <f ca="1">AI215*Valores!$C$66</f>
        <v>195.97653200000002</v>
      </c>
      <c r="BA215" s="78">
        <f t="shared" ca="1" si="39"/>
        <v>1763.7887880000001</v>
      </c>
      <c r="BB215" s="20"/>
      <c r="BC215" s="20">
        <f t="shared" ca="1" si="33"/>
        <v>92</v>
      </c>
      <c r="BD215" s="9" t="s">
        <v>466</v>
      </c>
    </row>
    <row r="216" spans="1:56" s="9" customFormat="1" ht="11.25" customHeight="1" x14ac:dyDescent="0.15">
      <c r="A216" s="55">
        <v>215</v>
      </c>
      <c r="B216" s="55" t="s">
        <v>462</v>
      </c>
      <c r="C216" s="52" t="s">
        <v>354</v>
      </c>
      <c r="D216" s="52">
        <v>24</v>
      </c>
      <c r="E216" s="53" t="str">
        <f t="shared" ca="1" si="31"/>
        <v>Hora Cátedra Enseñanza Superior 24 hs</v>
      </c>
      <c r="F216" s="124">
        <f t="shared" ca="1" si="32"/>
        <v>2376</v>
      </c>
      <c r="G216" s="129">
        <f ca="1">INT((F216*Valores!$C$2*100)+0.5)/100</f>
        <v>12200.05</v>
      </c>
      <c r="H216" s="133">
        <v>0</v>
      </c>
      <c r="I216" s="80">
        <f ca="1">INT((H216*Valores!$C$2*100)+0.5)/100</f>
        <v>0</v>
      </c>
      <c r="J216" s="148">
        <v>0</v>
      </c>
      <c r="K216" s="80">
        <f ca="1">INT((J216*Valores!$C$2*100)+0.5)/100</f>
        <v>0</v>
      </c>
      <c r="L216" s="121">
        <v>0</v>
      </c>
      <c r="M216" s="80">
        <f ca="1">INT((L216*Valores!$C$2*100)+0.5)/100</f>
        <v>0</v>
      </c>
      <c r="N216" s="80">
        <f t="shared" ca="1" si="40"/>
        <v>0</v>
      </c>
      <c r="O216" s="80">
        <f t="shared" ca="1" si="41"/>
        <v>12959.41</v>
      </c>
      <c r="P216" s="85">
        <f ca="1">Valores!$C$14*D216</f>
        <v>2755.68</v>
      </c>
      <c r="Q216" s="85">
        <f ca="1">IF(D216&lt;15,(Valores!$E$4*D216),Valores!$D$4)</f>
        <v>2296.75</v>
      </c>
      <c r="R216" s="80">
        <v>0</v>
      </c>
      <c r="S216" s="82">
        <f ca="1">Valores!$C$45*D216</f>
        <v>759.36</v>
      </c>
      <c r="T216" s="85">
        <f ca="1">Valores!$C$22*D216</f>
        <v>1114.32</v>
      </c>
      <c r="U216" s="80">
        <f t="shared" ca="1" si="30"/>
        <v>2228.64</v>
      </c>
      <c r="V216" s="80">
        <v>0</v>
      </c>
      <c r="W216" s="80">
        <v>0</v>
      </c>
      <c r="X216" s="60">
        <v>0</v>
      </c>
      <c r="Y216" s="80">
        <f ca="1">X216*Valores!$C$2</f>
        <v>0</v>
      </c>
      <c r="Z216" s="80">
        <v>0</v>
      </c>
      <c r="AA216" s="90">
        <f ca="1">(Valores!$C$32)*D216</f>
        <v>126.72</v>
      </c>
      <c r="AB216" s="80">
        <f t="shared" ca="1" si="34"/>
        <v>0</v>
      </c>
      <c r="AC216" s="80">
        <f ca="1">Valores!$C$33*D216</f>
        <v>105.35999999999999</v>
      </c>
      <c r="AD216" s="115">
        <v>0</v>
      </c>
      <c r="AE216" s="80">
        <f ca="1">INT(((AD216*Valores!$C$2)*100)+0.5)/100</f>
        <v>0</v>
      </c>
      <c r="AF216" s="80">
        <f ca="1">Valores!$D$51*D216</f>
        <v>428.59199999999998</v>
      </c>
      <c r="AG216" s="80">
        <f ca="1">Valores!$D$52*D216</f>
        <v>122.464</v>
      </c>
      <c r="AH216" s="80">
        <f ca="1">SUM(G216,I216,K216,M216,N216,O216,P216,Q216,R216,S216,U216,V216,W216,Y216,Z216,AA216,AB216,AC216,AE216,AF216,AG216)*Valores!$C$54</f>
        <v>0</v>
      </c>
      <c r="AI216" s="142">
        <f t="shared" ca="1" si="37"/>
        <v>33983.025999999998</v>
      </c>
      <c r="AJ216" s="85">
        <f ca="1">Valores!$C$36*D216</f>
        <v>291.12</v>
      </c>
      <c r="AK216" s="82">
        <f ca="1">Valores!$C$11*D216</f>
        <v>204.24</v>
      </c>
      <c r="AL216" s="90">
        <f ca="1">(9.35405*D216)</f>
        <v>224.49720000000002</v>
      </c>
      <c r="AM216" s="82">
        <f ca="1">IF($G$4="SI",SUM(AK216+AL216),AK216)*Valores!$C$54</f>
        <v>0</v>
      </c>
      <c r="AN216" s="186">
        <f t="shared" ca="1" si="38"/>
        <v>719.85720000000003</v>
      </c>
      <c r="AO216" s="155">
        <f ca="1">AI216*-Valores!$C$56</f>
        <v>-4417.7933800000001</v>
      </c>
      <c r="AP216" s="155">
        <f ca="1">AI216*-Valores!$C$57</f>
        <v>-169.91513</v>
      </c>
      <c r="AQ216" s="81">
        <f ca="1">AI216*-Valores!$C$58</f>
        <v>-1529.2361699999999</v>
      </c>
      <c r="AR216" s="81">
        <f ca="1">AI216*-Valores!$C$59</f>
        <v>-917.5417020000001</v>
      </c>
      <c r="AS216" s="81">
        <f ca="1">AI216*-Valores!$C$60</f>
        <v>-101.949078</v>
      </c>
      <c r="AT216" s="54">
        <f t="shared" ca="1" si="35"/>
        <v>28585.93852</v>
      </c>
      <c r="AU216" s="54">
        <f t="shared" ca="1" si="36"/>
        <v>29095.683909999992</v>
      </c>
      <c r="AV216" s="81">
        <f ca="1">AI216*Valores!$C$61</f>
        <v>5437.2841600000002</v>
      </c>
      <c r="AW216" s="81">
        <f ca="1">AI216*Valores!$C$62</f>
        <v>1529.2361699999999</v>
      </c>
      <c r="AX216" s="81">
        <f ca="1">AI216*Valores!$C$64</f>
        <v>339.83026000000001</v>
      </c>
      <c r="AY216" s="81">
        <f ca="1">AI216*Valores!$C$65</f>
        <v>1189.4059099999999</v>
      </c>
      <c r="AZ216" s="81">
        <f ca="1">AI216*Valores!$C$66</f>
        <v>203.898156</v>
      </c>
      <c r="BA216" s="81">
        <f t="shared" ca="1" si="39"/>
        <v>1835.0834040000002</v>
      </c>
      <c r="BB216" s="55"/>
      <c r="BC216" s="55">
        <f t="shared" ca="1" si="33"/>
        <v>96</v>
      </c>
      <c r="BD216" s="52" t="s">
        <v>466</v>
      </c>
    </row>
    <row r="217" spans="1:56" s="9" customFormat="1" ht="11.25" customHeight="1" x14ac:dyDescent="0.15">
      <c r="A217" s="20">
        <v>216</v>
      </c>
      <c r="B217" s="20"/>
      <c r="C217" s="9" t="s">
        <v>354</v>
      </c>
      <c r="D217" s="9">
        <v>25</v>
      </c>
      <c r="E217" s="10" t="str">
        <f t="shared" ca="1" si="31"/>
        <v>Hora Cátedra Enseñanza Superior 25 hs</v>
      </c>
      <c r="F217" s="123">
        <f t="shared" ca="1" si="32"/>
        <v>2475</v>
      </c>
      <c r="G217" s="7">
        <f ca="1">INT((F217*Valores!$C$2*100)+0.5)/100</f>
        <v>12708.38</v>
      </c>
      <c r="H217" s="134">
        <v>0</v>
      </c>
      <c r="I217" s="77">
        <f ca="1">INT((H217*Valores!$C$2*100)+0.5)/100</f>
        <v>0</v>
      </c>
      <c r="J217" s="147">
        <v>0</v>
      </c>
      <c r="K217" s="77">
        <f ca="1">INT((J217*Valores!$C$2*100)+0.5)/100</f>
        <v>0</v>
      </c>
      <c r="L217" s="120">
        <v>0</v>
      </c>
      <c r="M217" s="77">
        <f ca="1">INT((L217*Valores!$C$2*100)+0.5)/100</f>
        <v>0</v>
      </c>
      <c r="N217" s="77">
        <f t="shared" ca="1" si="40"/>
        <v>0</v>
      </c>
      <c r="O217" s="77">
        <f t="shared" ca="1" si="41"/>
        <v>13499.38</v>
      </c>
      <c r="P217" s="61">
        <f ca="1">Valores!$C$14*D217</f>
        <v>2870.5</v>
      </c>
      <c r="Q217" s="61">
        <f ca="1">IF(D217&lt;15,(Valores!$E$4*D217),Valores!$D$4)</f>
        <v>2296.75</v>
      </c>
      <c r="R217" s="77">
        <v>0</v>
      </c>
      <c r="S217" s="79">
        <f ca="1">Valores!$C$45*D217</f>
        <v>791</v>
      </c>
      <c r="T217" s="61">
        <f ca="1">Valores!$C$22*D217</f>
        <v>1160.75</v>
      </c>
      <c r="U217" s="77">
        <f t="shared" ca="1" si="30"/>
        <v>2321.5</v>
      </c>
      <c r="V217" s="77">
        <v>0</v>
      </c>
      <c r="W217" s="77">
        <v>0</v>
      </c>
      <c r="X217" s="37">
        <v>0</v>
      </c>
      <c r="Y217" s="77">
        <f ca="1">X217*Valores!$C$2</f>
        <v>0</v>
      </c>
      <c r="Z217" s="77">
        <v>0</v>
      </c>
      <c r="AA217" s="89">
        <f ca="1">(Valores!$C$32)*D217</f>
        <v>132</v>
      </c>
      <c r="AB217" s="77">
        <f t="shared" ca="1" si="34"/>
        <v>0</v>
      </c>
      <c r="AC217" s="77">
        <f ca="1">Valores!$C$33*D217</f>
        <v>109.74999999999999</v>
      </c>
      <c r="AD217" s="116">
        <v>0</v>
      </c>
      <c r="AE217" s="77">
        <f ca="1">INT(((AD217*Valores!$C$2)*100)+0.5)/100</f>
        <v>0</v>
      </c>
      <c r="AF217" s="77">
        <f ca="1">Valores!$D$51*D217</f>
        <v>446.45</v>
      </c>
      <c r="AG217" s="77">
        <f ca="1">Valores!$D$52*D217</f>
        <v>127.56666666666668</v>
      </c>
      <c r="AH217" s="77">
        <f ca="1">SUM(G217,I217,K217,M217,N217,O217,P217,Q217,R217,S217,U217,V217,W217,Y217,Z217,AA217,AB217,AC217,AE217,AF217,AG217)*Valores!$C$54</f>
        <v>0</v>
      </c>
      <c r="AI217" s="141">
        <f t="shared" ca="1" si="37"/>
        <v>35303.276666666658</v>
      </c>
      <c r="AJ217" s="61">
        <f ca="1">Valores!$C$36*D217</f>
        <v>303.25</v>
      </c>
      <c r="AK217" s="79">
        <f ca="1">Valores!$C$11*D217</f>
        <v>212.75</v>
      </c>
      <c r="AL217" s="89">
        <v>224.5</v>
      </c>
      <c r="AM217" s="79">
        <f ca="1">IF($G$4="SI",SUM(AK217+AL217),AK217)*Valores!$C$54</f>
        <v>0</v>
      </c>
      <c r="AN217" s="12">
        <f t="shared" ca="1" si="38"/>
        <v>740.5</v>
      </c>
      <c r="AO217" s="13">
        <f ca="1">AI217*-Valores!$C$56</f>
        <v>-4589.4259666666658</v>
      </c>
      <c r="AP217" s="13">
        <f ca="1">AI217*-Valores!$C$57</f>
        <v>-176.51638333333329</v>
      </c>
      <c r="AQ217" s="78">
        <f ca="1">AI217*-Valores!$C$58</f>
        <v>-1588.6474499999995</v>
      </c>
      <c r="AR217" s="78">
        <f ca="1">AI217*-Valores!$C$59</f>
        <v>-953.18846999999982</v>
      </c>
      <c r="AS217" s="78">
        <f ca="1">AI217*-Valores!$C$60</f>
        <v>-105.90982999999997</v>
      </c>
      <c r="AT217" s="15">
        <f t="shared" ca="1" si="35"/>
        <v>29689.18686666666</v>
      </c>
      <c r="AU217" s="15">
        <f t="shared" ca="1" si="36"/>
        <v>30218.736016666655</v>
      </c>
      <c r="AV217" s="78">
        <f ca="1">AI217*Valores!$C$61</f>
        <v>5648.5242666666654</v>
      </c>
      <c r="AW217" s="78">
        <f ca="1">AI217*Valores!$C$62</f>
        <v>1588.6474499999995</v>
      </c>
      <c r="AX217" s="78">
        <f ca="1">AI217*Valores!$C$64</f>
        <v>353.03276666666659</v>
      </c>
      <c r="AY217" s="78">
        <f ca="1">AI217*Valores!$C$65</f>
        <v>1235.6146833333332</v>
      </c>
      <c r="AZ217" s="78">
        <f ca="1">AI217*Valores!$C$66</f>
        <v>211.81965999999994</v>
      </c>
      <c r="BA217" s="78">
        <f t="shared" ca="1" si="39"/>
        <v>1906.3769399999996</v>
      </c>
      <c r="BB217" s="20"/>
      <c r="BC217" s="20">
        <f t="shared" ca="1" si="33"/>
        <v>100</v>
      </c>
      <c r="BD217" s="9" t="s">
        <v>466</v>
      </c>
    </row>
    <row r="218" spans="1:56" s="9" customFormat="1" ht="11.25" customHeight="1" x14ac:dyDescent="0.15">
      <c r="A218" s="20">
        <v>217</v>
      </c>
      <c r="B218" s="20"/>
      <c r="C218" s="9" t="s">
        <v>354</v>
      </c>
      <c r="D218" s="9">
        <v>26</v>
      </c>
      <c r="E218" s="10" t="str">
        <f t="shared" ca="1" si="31"/>
        <v>Hora Cátedra Enseñanza Superior 26 hs</v>
      </c>
      <c r="F218" s="123">
        <f t="shared" ca="1" si="32"/>
        <v>2574</v>
      </c>
      <c r="G218" s="7">
        <f ca="1">INT((F218*Valores!$C$2*100)+0.5)/100</f>
        <v>13216.72</v>
      </c>
      <c r="H218" s="134">
        <v>0</v>
      </c>
      <c r="I218" s="77">
        <f ca="1">INT((H218*Valores!$C$2*100)+0.5)/100</f>
        <v>0</v>
      </c>
      <c r="J218" s="147">
        <v>0</v>
      </c>
      <c r="K218" s="77">
        <f ca="1">INT((J218*Valores!$C$2*100)+0.5)/100</f>
        <v>0</v>
      </c>
      <c r="L218" s="120">
        <v>0</v>
      </c>
      <c r="M218" s="77">
        <f ca="1">INT((L218*Valores!$C$2*100)+0.5)/100</f>
        <v>0</v>
      </c>
      <c r="N218" s="77">
        <f t="shared" ca="1" si="40"/>
        <v>0</v>
      </c>
      <c r="O218" s="77">
        <f t="shared" ca="1" si="41"/>
        <v>14039.359999999999</v>
      </c>
      <c r="P218" s="61">
        <f ca="1">Valores!$C$14*D218</f>
        <v>2985.3199999999997</v>
      </c>
      <c r="Q218" s="61">
        <f ca="1">IF(D218&lt;15,(Valores!$E$4*D218),Valores!$D$4)</f>
        <v>2296.75</v>
      </c>
      <c r="R218" s="77">
        <v>0</v>
      </c>
      <c r="S218" s="79">
        <f ca="1">Valores!$C$45*D218</f>
        <v>822.64</v>
      </c>
      <c r="T218" s="61">
        <f ca="1">Valores!$C$22*D218</f>
        <v>1207.18</v>
      </c>
      <c r="U218" s="77">
        <f t="shared" ca="1" si="30"/>
        <v>2414.36</v>
      </c>
      <c r="V218" s="77">
        <v>0</v>
      </c>
      <c r="W218" s="77">
        <v>0</v>
      </c>
      <c r="X218" s="37">
        <v>0</v>
      </c>
      <c r="Y218" s="77">
        <f ca="1">X218*Valores!$C$2</f>
        <v>0</v>
      </c>
      <c r="Z218" s="77">
        <v>0</v>
      </c>
      <c r="AA218" s="89">
        <f ca="1">(Valores!$C$32)*D218</f>
        <v>137.28</v>
      </c>
      <c r="AB218" s="77">
        <f t="shared" ca="1" si="34"/>
        <v>0</v>
      </c>
      <c r="AC218" s="77">
        <f ca="1">Valores!$C$33*D218</f>
        <v>114.13999999999999</v>
      </c>
      <c r="AD218" s="116">
        <v>0</v>
      </c>
      <c r="AE218" s="77">
        <f ca="1">INT(((AD218*Valores!$C$2)*100)+0.5)/100</f>
        <v>0</v>
      </c>
      <c r="AF218" s="77">
        <f ca="1">Valores!$D$51*D218</f>
        <v>464.30799999999999</v>
      </c>
      <c r="AG218" s="77">
        <f ca="1">Valores!$D$52*D218</f>
        <v>132.66933333333333</v>
      </c>
      <c r="AH218" s="77">
        <f ca="1">SUM(G218,I218,K218,M218,N218,O218,P218,Q218,R218,S218,U218,V218,W218,Y218,Z218,AA218,AB218,AC218,AE218,AF218,AG218)*Valores!$C$54</f>
        <v>0</v>
      </c>
      <c r="AI218" s="141">
        <f t="shared" ca="1" si="37"/>
        <v>36623.547333333321</v>
      </c>
      <c r="AJ218" s="61">
        <f ca="1">Valores!$C$36*D218</f>
        <v>315.38</v>
      </c>
      <c r="AK218" s="79">
        <f ca="1">Valores!$C$11*D218</f>
        <v>221.26</v>
      </c>
      <c r="AL218" s="89">
        <v>224.5</v>
      </c>
      <c r="AM218" s="79">
        <f ca="1">IF($G$4="SI",SUM(AK218+AL218),AK218)*Valores!$C$54</f>
        <v>0</v>
      </c>
      <c r="AN218" s="12">
        <f t="shared" ca="1" si="38"/>
        <v>761.14</v>
      </c>
      <c r="AO218" s="13">
        <f ca="1">AI218*-Valores!$C$56</f>
        <v>-4761.0611533333322</v>
      </c>
      <c r="AP218" s="13">
        <f ca="1">AI218*-Valores!$C$57</f>
        <v>-183.11773666666662</v>
      </c>
      <c r="AQ218" s="78">
        <f ca="1">AI218*-Valores!$C$58</f>
        <v>-1648.0596299999993</v>
      </c>
      <c r="AR218" s="78">
        <f ca="1">AI218*-Valores!$C$59</f>
        <v>-988.83577799999978</v>
      </c>
      <c r="AS218" s="78">
        <f ca="1">AI218*-Valores!$C$60</f>
        <v>-109.87064199999996</v>
      </c>
      <c r="AT218" s="15">
        <f t="shared" ca="1" si="35"/>
        <v>30792.448813333325</v>
      </c>
      <c r="AU218" s="15">
        <f t="shared" ca="1" si="36"/>
        <v>31341.802023333319</v>
      </c>
      <c r="AV218" s="78">
        <f ca="1">AI218*Valores!$C$61</f>
        <v>5859.7675733333317</v>
      </c>
      <c r="AW218" s="78">
        <f ca="1">AI218*Valores!$C$62</f>
        <v>1648.0596299999993</v>
      </c>
      <c r="AX218" s="78">
        <f ca="1">AI218*Valores!$C$64</f>
        <v>366.23547333333323</v>
      </c>
      <c r="AY218" s="78">
        <f ca="1">AI218*Valores!$C$65</f>
        <v>1281.8241566666663</v>
      </c>
      <c r="AZ218" s="78">
        <f ca="1">AI218*Valores!$C$66</f>
        <v>219.74128399999992</v>
      </c>
      <c r="BA218" s="78">
        <f t="shared" ca="1" si="39"/>
        <v>1977.6715559999993</v>
      </c>
      <c r="BB218" s="20"/>
      <c r="BC218" s="20">
        <f t="shared" ca="1" si="33"/>
        <v>104</v>
      </c>
      <c r="BD218" s="9" t="s">
        <v>466</v>
      </c>
    </row>
    <row r="219" spans="1:56" s="9" customFormat="1" ht="11.25" customHeight="1" x14ac:dyDescent="0.15">
      <c r="A219" s="20">
        <v>218</v>
      </c>
      <c r="B219" s="20"/>
      <c r="C219" s="9" t="s">
        <v>354</v>
      </c>
      <c r="D219" s="9">
        <v>27</v>
      </c>
      <c r="E219" s="10" t="str">
        <f t="shared" ca="1" si="31"/>
        <v>Hora Cátedra Enseñanza Superior 27 hs</v>
      </c>
      <c r="F219" s="123">
        <f t="shared" ca="1" si="32"/>
        <v>2673</v>
      </c>
      <c r="G219" s="7">
        <f ca="1">INT((F219*Valores!$C$2*100)+0.5)/100</f>
        <v>13725.05</v>
      </c>
      <c r="H219" s="134">
        <v>0</v>
      </c>
      <c r="I219" s="77">
        <f ca="1">INT((H219*Valores!$C$2*100)+0.5)/100</f>
        <v>0</v>
      </c>
      <c r="J219" s="147">
        <v>0</v>
      </c>
      <c r="K219" s="77">
        <f ca="1">INT((J219*Valores!$C$2*100)+0.5)/100</f>
        <v>0</v>
      </c>
      <c r="L219" s="120">
        <v>0</v>
      </c>
      <c r="M219" s="77">
        <f ca="1">INT((L219*Valores!$C$2*100)+0.5)/100</f>
        <v>0</v>
      </c>
      <c r="N219" s="77">
        <f t="shared" ca="1" si="40"/>
        <v>0</v>
      </c>
      <c r="O219" s="77">
        <f t="shared" ca="1" si="41"/>
        <v>14579.33</v>
      </c>
      <c r="P219" s="61">
        <f ca="1">Valores!$C$14*D219</f>
        <v>3100.14</v>
      </c>
      <c r="Q219" s="61">
        <f ca="1">IF(D219&lt;15,(Valores!$E$4*D219),Valores!$D$4)</f>
        <v>2296.75</v>
      </c>
      <c r="R219" s="77">
        <v>0</v>
      </c>
      <c r="S219" s="79">
        <f ca="1">Valores!$C$45*D219</f>
        <v>854.28</v>
      </c>
      <c r="T219" s="79">
        <f ca="1">Valores!$C$22*D219</f>
        <v>1253.6099999999999</v>
      </c>
      <c r="U219" s="77">
        <f t="shared" ca="1" si="30"/>
        <v>2507.2199999999998</v>
      </c>
      <c r="V219" s="77">
        <v>0</v>
      </c>
      <c r="W219" s="77">
        <v>0</v>
      </c>
      <c r="X219" s="37">
        <v>0</v>
      </c>
      <c r="Y219" s="77">
        <f ca="1">X219*Valores!$C$2</f>
        <v>0</v>
      </c>
      <c r="Z219" s="77">
        <v>0</v>
      </c>
      <c r="AA219" s="89">
        <f ca="1">(Valores!$C$32)*D219</f>
        <v>142.56</v>
      </c>
      <c r="AB219" s="77">
        <f t="shared" ca="1" si="34"/>
        <v>0</v>
      </c>
      <c r="AC219" s="77">
        <f ca="1">Valores!$C$33*D219</f>
        <v>118.52999999999999</v>
      </c>
      <c r="AD219" s="116">
        <v>0</v>
      </c>
      <c r="AE219" s="77">
        <f ca="1">INT(((AD219*Valores!$C$2)*100)+0.5)/100</f>
        <v>0</v>
      </c>
      <c r="AF219" s="77">
        <f ca="1">Valores!$D$51*D219</f>
        <v>482.166</v>
      </c>
      <c r="AG219" s="77">
        <f ca="1">Valores!$D$52*D219</f>
        <v>137.77200000000002</v>
      </c>
      <c r="AH219" s="77">
        <f ca="1">SUM(G219,I219,K219,M219,N219,O219,P219,Q219,R219,S219,U219,V219,W219,Y219,Z219,AA219,AB219,AC219,AE219,AF219,AG219)*Valores!$C$54</f>
        <v>0</v>
      </c>
      <c r="AI219" s="141">
        <f t="shared" ca="1" si="37"/>
        <v>37943.797999999988</v>
      </c>
      <c r="AJ219" s="61">
        <f ca="1">Valores!$C$36*D219</f>
        <v>327.51000000000005</v>
      </c>
      <c r="AK219" s="79">
        <f ca="1">Valores!$C$11*D219</f>
        <v>229.76999999999998</v>
      </c>
      <c r="AL219" s="89">
        <v>224.5</v>
      </c>
      <c r="AM219" s="79">
        <f ca="1">IF($G$4="SI",SUM(AK219+AL219),AK219)*Valores!$C$54</f>
        <v>0</v>
      </c>
      <c r="AN219" s="12">
        <f t="shared" ca="1" si="38"/>
        <v>781.78</v>
      </c>
      <c r="AO219" s="13">
        <f ca="1">AI219*-Valores!$C$56</f>
        <v>-4932.6937399999988</v>
      </c>
      <c r="AP219" s="13">
        <f ca="1">AI219*-Valores!$C$57</f>
        <v>-189.71898999999993</v>
      </c>
      <c r="AQ219" s="78">
        <f ca="1">AI219*-Valores!$C$58</f>
        <v>-1707.4709099999993</v>
      </c>
      <c r="AR219" s="78">
        <f ca="1">AI219*-Valores!$C$59</f>
        <v>-1024.4825459999997</v>
      </c>
      <c r="AS219" s="78">
        <f ca="1">AI219*-Valores!$C$60</f>
        <v>-113.83139399999996</v>
      </c>
      <c r="AT219" s="15">
        <f t="shared" ca="1" si="35"/>
        <v>31895.69435999999</v>
      </c>
      <c r="AU219" s="15">
        <f t="shared" ca="1" si="36"/>
        <v>32464.851329999987</v>
      </c>
      <c r="AV219" s="78">
        <f ca="1">AI219*Valores!$C$61</f>
        <v>6071.0076799999979</v>
      </c>
      <c r="AW219" s="78">
        <f ca="1">AI219*Valores!$C$62</f>
        <v>1707.4709099999993</v>
      </c>
      <c r="AX219" s="78">
        <f ca="1">AI219*Valores!$C$64</f>
        <v>379.43797999999987</v>
      </c>
      <c r="AY219" s="78">
        <f ca="1">AI219*Valores!$C$65</f>
        <v>1328.0329299999996</v>
      </c>
      <c r="AZ219" s="78">
        <f ca="1">AI219*Valores!$C$66</f>
        <v>227.66278799999992</v>
      </c>
      <c r="BA219" s="78">
        <f t="shared" ca="1" si="39"/>
        <v>2048.9650919999995</v>
      </c>
      <c r="BB219" s="20"/>
      <c r="BC219" s="20">
        <f t="shared" ca="1" si="33"/>
        <v>108</v>
      </c>
      <c r="BD219" s="9" t="s">
        <v>466</v>
      </c>
    </row>
    <row r="220" spans="1:56" s="9" customFormat="1" ht="11.25" customHeight="1" x14ac:dyDescent="0.15">
      <c r="A220" s="20">
        <v>219</v>
      </c>
      <c r="B220" s="20"/>
      <c r="C220" s="9" t="s">
        <v>354</v>
      </c>
      <c r="D220" s="9">
        <v>28</v>
      </c>
      <c r="E220" s="10" t="str">
        <f t="shared" ca="1" si="31"/>
        <v>Hora Cátedra Enseñanza Superior 28 hs</v>
      </c>
      <c r="F220" s="123">
        <f t="shared" ca="1" si="32"/>
        <v>2772</v>
      </c>
      <c r="G220" s="7">
        <f ca="1">INT((F220*Valores!$C$2*100)+0.5)/100</f>
        <v>14233.39</v>
      </c>
      <c r="H220" s="134">
        <v>0</v>
      </c>
      <c r="I220" s="77">
        <f ca="1">INT((H220*Valores!$C$2*100)+0.5)/100</f>
        <v>0</v>
      </c>
      <c r="J220" s="147">
        <v>0</v>
      </c>
      <c r="K220" s="77">
        <f ca="1">INT((J220*Valores!$C$2*100)+0.5)/100</f>
        <v>0</v>
      </c>
      <c r="L220" s="120">
        <v>0</v>
      </c>
      <c r="M220" s="77">
        <f ca="1">INT((L220*Valores!$C$2*100)+0.5)/100</f>
        <v>0</v>
      </c>
      <c r="N220" s="77">
        <f t="shared" ca="1" si="40"/>
        <v>0</v>
      </c>
      <c r="O220" s="77">
        <f t="shared" ca="1" si="41"/>
        <v>15119.31</v>
      </c>
      <c r="P220" s="61">
        <f ca="1">Valores!$C$14*D220</f>
        <v>3214.96</v>
      </c>
      <c r="Q220" s="61">
        <f ca="1">IF(D220&lt;15,(Valores!$E$4*D220),Valores!$D$4)</f>
        <v>2296.75</v>
      </c>
      <c r="R220" s="77">
        <v>0</v>
      </c>
      <c r="S220" s="79">
        <f ca="1">Valores!$C$45*D220</f>
        <v>885.92000000000007</v>
      </c>
      <c r="T220" s="61">
        <f ca="1">Valores!$C$22*D220</f>
        <v>1300.04</v>
      </c>
      <c r="U220" s="77">
        <f t="shared" ca="1" si="30"/>
        <v>2600.08</v>
      </c>
      <c r="V220" s="77">
        <v>0</v>
      </c>
      <c r="W220" s="77">
        <v>0</v>
      </c>
      <c r="X220" s="37">
        <v>0</v>
      </c>
      <c r="Y220" s="77">
        <f ca="1">X220*Valores!$C$2</f>
        <v>0</v>
      </c>
      <c r="Z220" s="77">
        <v>0</v>
      </c>
      <c r="AA220" s="89">
        <f ca="1">(Valores!$C$32)*D220</f>
        <v>147.84</v>
      </c>
      <c r="AB220" s="77">
        <f t="shared" ca="1" si="34"/>
        <v>0</v>
      </c>
      <c r="AC220" s="77">
        <f ca="1">Valores!$C$33*D220</f>
        <v>122.91999999999999</v>
      </c>
      <c r="AD220" s="116">
        <v>0</v>
      </c>
      <c r="AE220" s="77">
        <f ca="1">INT(((AD220*Valores!$C$2)*100)+0.5)/100</f>
        <v>0</v>
      </c>
      <c r="AF220" s="77">
        <f ca="1">Valores!$D$51*D220</f>
        <v>500.024</v>
      </c>
      <c r="AG220" s="77">
        <f ca="1">Valores!$D$52*D220</f>
        <v>142.87466666666668</v>
      </c>
      <c r="AH220" s="77">
        <f ca="1">SUM(G220,I220,K220,M220,N220,O220,P220,Q220,R220,S220,U220,V220,W220,Y220,Z220,AA220,AB220,AC220,AE220,AF220,AG220)*Valores!$C$54</f>
        <v>0</v>
      </c>
      <c r="AI220" s="141">
        <f t="shared" ca="1" si="37"/>
        <v>39264.068666666659</v>
      </c>
      <c r="AJ220" s="61">
        <f ca="1">Valores!$C$36*D220</f>
        <v>339.64000000000004</v>
      </c>
      <c r="AK220" s="79">
        <f ca="1">Valores!$C$11*D220</f>
        <v>238.28</v>
      </c>
      <c r="AL220" s="89">
        <v>224.5</v>
      </c>
      <c r="AM220" s="79">
        <f ca="1">IF($G$4="SI",SUM(AK220+AL220),AK220)*Valores!$C$54</f>
        <v>0</v>
      </c>
      <c r="AN220" s="12">
        <f t="shared" ca="1" si="38"/>
        <v>802.42000000000007</v>
      </c>
      <c r="AO220" s="13">
        <f ca="1">AI220*-Valores!$C$56</f>
        <v>-5104.3289266666661</v>
      </c>
      <c r="AP220" s="13">
        <f ca="1">AI220*-Valores!$C$57</f>
        <v>-196.32034333333331</v>
      </c>
      <c r="AQ220" s="78">
        <f ca="1">AI220*-Valores!$C$58</f>
        <v>-1766.8830899999996</v>
      </c>
      <c r="AR220" s="78">
        <f ca="1">AI220*-Valores!$C$59</f>
        <v>-1060.129854</v>
      </c>
      <c r="AS220" s="78">
        <f ca="1">AI220*-Valores!$C$60</f>
        <v>-117.79220599999998</v>
      </c>
      <c r="AT220" s="15">
        <f t="shared" ca="1" si="35"/>
        <v>32998.956306666652</v>
      </c>
      <c r="AU220" s="15">
        <f t="shared" ca="1" si="36"/>
        <v>33587.917336666658</v>
      </c>
      <c r="AV220" s="78">
        <f ca="1">AI220*Valores!$C$61</f>
        <v>6282.250986666666</v>
      </c>
      <c r="AW220" s="78">
        <f ca="1">AI220*Valores!$C$62</f>
        <v>1766.8830899999996</v>
      </c>
      <c r="AX220" s="78">
        <f ca="1">AI220*Valores!$C$64</f>
        <v>392.64068666666662</v>
      </c>
      <c r="AY220" s="78">
        <f ca="1">AI220*Valores!$C$65</f>
        <v>1374.2424033333332</v>
      </c>
      <c r="AZ220" s="78">
        <f ca="1">AI220*Valores!$C$66</f>
        <v>235.58441199999996</v>
      </c>
      <c r="BA220" s="78">
        <f t="shared" ca="1" si="39"/>
        <v>2120.2597079999996</v>
      </c>
      <c r="BB220" s="20"/>
      <c r="BC220" s="20">
        <f t="shared" ca="1" si="33"/>
        <v>112</v>
      </c>
      <c r="BD220" s="9" t="s">
        <v>466</v>
      </c>
    </row>
    <row r="221" spans="1:56" s="9" customFormat="1" ht="11.25" customHeight="1" x14ac:dyDescent="0.15">
      <c r="A221" s="55">
        <v>220</v>
      </c>
      <c r="B221" s="55" t="s">
        <v>462</v>
      </c>
      <c r="C221" s="52" t="s">
        <v>354</v>
      </c>
      <c r="D221" s="52">
        <v>29</v>
      </c>
      <c r="E221" s="53" t="str">
        <f t="shared" ca="1" si="31"/>
        <v>Hora Cátedra Enseñanza Superior 29 hs</v>
      </c>
      <c r="F221" s="124">
        <f t="shared" ca="1" si="32"/>
        <v>2871</v>
      </c>
      <c r="G221" s="129">
        <f ca="1">INT((F221*Valores!$C$2*100)+0.5)/100</f>
        <v>14741.72</v>
      </c>
      <c r="H221" s="133">
        <v>0</v>
      </c>
      <c r="I221" s="80">
        <f ca="1">INT((H221*Valores!$C$2*100)+0.5)/100</f>
        <v>0</v>
      </c>
      <c r="J221" s="148">
        <v>0</v>
      </c>
      <c r="K221" s="80">
        <f ca="1">INT((J221*Valores!$C$2*100)+0.5)/100</f>
        <v>0</v>
      </c>
      <c r="L221" s="121">
        <v>0</v>
      </c>
      <c r="M221" s="80">
        <f ca="1">INT((L221*Valores!$C$2*100)+0.5)/100</f>
        <v>0</v>
      </c>
      <c r="N221" s="80">
        <f t="shared" ca="1" si="40"/>
        <v>0</v>
      </c>
      <c r="O221" s="80">
        <f t="shared" ca="1" si="41"/>
        <v>15659.279999999999</v>
      </c>
      <c r="P221" s="85">
        <f ca="1">Valores!$C$14*D221</f>
        <v>3329.7799999999997</v>
      </c>
      <c r="Q221" s="85">
        <f ca="1">IF(D221&lt;15,(Valores!$E$4*D221),Valores!$D$4)</f>
        <v>2296.75</v>
      </c>
      <c r="R221" s="80">
        <v>0</v>
      </c>
      <c r="S221" s="82">
        <f ca="1">Valores!$C$45*D221</f>
        <v>917.56000000000006</v>
      </c>
      <c r="T221" s="82">
        <f ca="1">Valores!$C$22*D221</f>
        <v>1346.47</v>
      </c>
      <c r="U221" s="80">
        <f t="shared" ca="1" si="30"/>
        <v>2692.94</v>
      </c>
      <c r="V221" s="80">
        <v>0</v>
      </c>
      <c r="W221" s="80">
        <v>0</v>
      </c>
      <c r="X221" s="60">
        <v>0</v>
      </c>
      <c r="Y221" s="80">
        <f ca="1">X221*Valores!$C$2</f>
        <v>0</v>
      </c>
      <c r="Z221" s="80">
        <v>0</v>
      </c>
      <c r="AA221" s="90">
        <f ca="1">(Valores!$C$32)*D221</f>
        <v>153.12</v>
      </c>
      <c r="AB221" s="80">
        <f t="shared" ca="1" si="34"/>
        <v>0</v>
      </c>
      <c r="AC221" s="80">
        <f ca="1">Valores!$C$33*D221</f>
        <v>127.30999999999999</v>
      </c>
      <c r="AD221" s="115">
        <v>0</v>
      </c>
      <c r="AE221" s="80">
        <f ca="1">INT(((AD221*Valores!$C$2)*100)+0.5)/100</f>
        <v>0</v>
      </c>
      <c r="AF221" s="80">
        <f ca="1">Valores!$D$51*D221</f>
        <v>517.88200000000006</v>
      </c>
      <c r="AG221" s="80">
        <f ca="1">Valores!$D$52*D221</f>
        <v>147.97733333333335</v>
      </c>
      <c r="AH221" s="80">
        <f ca="1">SUM(G221,I221,K221,M221,N221,O221,P221,Q221,R221,S221,U221,V221,W221,Y221,Z221,AA221,AB221,AC221,AE221,AF221,AG221)*Valores!$C$54</f>
        <v>0</v>
      </c>
      <c r="AI221" s="142">
        <f t="shared" ca="1" si="37"/>
        <v>40584.319333333333</v>
      </c>
      <c r="AJ221" s="85">
        <f ca="1">Valores!$C$36*D221</f>
        <v>351.77000000000004</v>
      </c>
      <c r="AK221" s="82">
        <f ca="1">Valores!$C$11*D221</f>
        <v>246.79</v>
      </c>
      <c r="AL221" s="90">
        <v>224.5</v>
      </c>
      <c r="AM221" s="82">
        <f ca="1">IF($G$4="SI",SUM(AK221+AL221),AK221)*Valores!$C$54</f>
        <v>0</v>
      </c>
      <c r="AN221" s="186">
        <f t="shared" ca="1" si="38"/>
        <v>823.06000000000006</v>
      </c>
      <c r="AO221" s="155">
        <f ca="1">AI221*-Valores!$C$56</f>
        <v>-5275.9615133333336</v>
      </c>
      <c r="AP221" s="155">
        <f ca="1">AI221*-Valores!$C$57</f>
        <v>-202.92159666666666</v>
      </c>
      <c r="AQ221" s="81">
        <f ca="1">AI221*-Valores!$C$58</f>
        <v>-1826.2943699999998</v>
      </c>
      <c r="AR221" s="81">
        <f ca="1">AI221*-Valores!$C$59</f>
        <v>-1095.7766220000001</v>
      </c>
      <c r="AS221" s="81">
        <f ca="1">AI221*-Valores!$C$60</f>
        <v>-121.75295800000001</v>
      </c>
      <c r="AT221" s="54">
        <f t="shared" ca="1" si="35"/>
        <v>34102.201853333325</v>
      </c>
      <c r="AU221" s="54">
        <f t="shared" ca="1" si="36"/>
        <v>34710.966643333333</v>
      </c>
      <c r="AV221" s="81">
        <f ca="1">AI221*Valores!$C$61</f>
        <v>6493.4910933333331</v>
      </c>
      <c r="AW221" s="81">
        <f ca="1">AI221*Valores!$C$62</f>
        <v>1826.2943699999998</v>
      </c>
      <c r="AX221" s="81">
        <f ca="1">AI221*Valores!$C$64</f>
        <v>405.84319333333332</v>
      </c>
      <c r="AY221" s="81">
        <f ca="1">AI221*Valores!$C$65</f>
        <v>1420.4511766666667</v>
      </c>
      <c r="AZ221" s="81">
        <f ca="1">AI221*Valores!$C$66</f>
        <v>243.50591600000001</v>
      </c>
      <c r="BA221" s="81">
        <f t="shared" ca="1" si="39"/>
        <v>2191.5532440000002</v>
      </c>
      <c r="BB221" s="55"/>
      <c r="BC221" s="55">
        <f t="shared" ca="1" si="33"/>
        <v>116</v>
      </c>
      <c r="BD221" s="52" t="s">
        <v>466</v>
      </c>
    </row>
    <row r="222" spans="1:56" s="9" customFormat="1" ht="11.25" customHeight="1" thickBot="1" x14ac:dyDescent="0.2">
      <c r="A222" s="20">
        <v>221</v>
      </c>
      <c r="B222" s="20"/>
      <c r="C222" s="9" t="s">
        <v>354</v>
      </c>
      <c r="D222" s="9">
        <v>30</v>
      </c>
      <c r="E222" s="10" t="str">
        <f t="shared" ca="1" si="31"/>
        <v>Hora Cátedra Enseñanza Superior 30 hs</v>
      </c>
      <c r="F222" s="123">
        <f t="shared" ca="1" si="32"/>
        <v>2970</v>
      </c>
      <c r="G222" s="7">
        <f ca="1">INT((F222*Valores!$C$2*100)+0.5)/100</f>
        <v>15250.06</v>
      </c>
      <c r="H222" s="134">
        <v>0</v>
      </c>
      <c r="I222" s="77">
        <f ca="1">INT((H222*Valores!$C$2*100)+0.5)/100</f>
        <v>0</v>
      </c>
      <c r="J222" s="147">
        <v>0</v>
      </c>
      <c r="K222" s="77">
        <f ca="1">INT((J222*Valores!$C$2*100)+0.5)/100</f>
        <v>0</v>
      </c>
      <c r="L222" s="120">
        <v>0</v>
      </c>
      <c r="M222" s="77">
        <f ca="1">INT((L222*Valores!$C$2*100)+0.5)/100</f>
        <v>0</v>
      </c>
      <c r="N222" s="77">
        <f t="shared" ca="1" si="40"/>
        <v>0</v>
      </c>
      <c r="O222" s="77">
        <f t="shared" ca="1" si="41"/>
        <v>16199.26</v>
      </c>
      <c r="P222" s="61">
        <f ca="1">Valores!$C$14*D222</f>
        <v>3444.6</v>
      </c>
      <c r="Q222" s="61">
        <f ca="1">IF(D222&lt;15,(Valores!$E$4*D222),Valores!$D$4)</f>
        <v>2296.75</v>
      </c>
      <c r="R222" s="77">
        <v>0</v>
      </c>
      <c r="S222" s="79">
        <f ca="1">Valores!$C$45*D222</f>
        <v>949.2</v>
      </c>
      <c r="T222" s="61">
        <f ca="1">Valores!$C$22*D222</f>
        <v>1392.9</v>
      </c>
      <c r="U222" s="77">
        <f t="shared" ca="1" si="30"/>
        <v>2785.8</v>
      </c>
      <c r="V222" s="77">
        <v>0</v>
      </c>
      <c r="W222" s="77">
        <v>0</v>
      </c>
      <c r="X222" s="37">
        <v>0</v>
      </c>
      <c r="Y222" s="77">
        <f ca="1">X222*Valores!$C$2</f>
        <v>0</v>
      </c>
      <c r="Z222" s="77">
        <v>0</v>
      </c>
      <c r="AA222" s="89">
        <f ca="1">(Valores!$C$32)*D222</f>
        <v>158.4</v>
      </c>
      <c r="AB222" s="77">
        <f t="shared" ca="1" si="34"/>
        <v>0</v>
      </c>
      <c r="AC222" s="77">
        <v>131.68</v>
      </c>
      <c r="AD222" s="116">
        <v>0</v>
      </c>
      <c r="AE222" s="77">
        <f ca="1">INT(((AD222*Valores!$C$2)*100)+0.5)/100</f>
        <v>0</v>
      </c>
      <c r="AF222" s="77">
        <f ca="1">Valores!$D$51*D222</f>
        <v>535.74</v>
      </c>
      <c r="AG222" s="77">
        <f ca="1">Valores!$D$52*D222</f>
        <v>153.08000000000001</v>
      </c>
      <c r="AH222" s="77">
        <f ca="1">SUM(G222,I222,K222,M222,N222,O222,P222,Q222,R222,S222,U222,V222,W222,Y222,Z222,AA222,AB222,AC222,AE222,AF222,AG222)*Valores!$C$54</f>
        <v>0</v>
      </c>
      <c r="AI222" s="141">
        <f t="shared" ca="1" si="37"/>
        <v>41904.57</v>
      </c>
      <c r="AJ222" s="61">
        <f ca="1">Valores!$C$36*D222</f>
        <v>363.90000000000003</v>
      </c>
      <c r="AK222" s="79">
        <f ca="1">Valores!$C$11*D222</f>
        <v>255.29999999999998</v>
      </c>
      <c r="AL222" s="89">
        <v>224.5</v>
      </c>
      <c r="AM222" s="79">
        <f ca="1">IF($G$4="SI",SUM(AK222+AL222),AK222)*Valores!$C$54</f>
        <v>0</v>
      </c>
      <c r="AN222" s="12">
        <f t="shared" ca="1" si="38"/>
        <v>843.7</v>
      </c>
      <c r="AO222" s="13">
        <f ca="1">AI222*-Valores!$C$56</f>
        <v>-5447.5941000000003</v>
      </c>
      <c r="AP222" s="13">
        <f ca="1">AI222*-Valores!$C$57</f>
        <v>-209.52285000000001</v>
      </c>
      <c r="AQ222" s="78">
        <f ca="1">AI222*-Valores!$C$58</f>
        <v>-1885.7056499999999</v>
      </c>
      <c r="AR222" s="78">
        <f ca="1">AI222*-Valores!$C$59</f>
        <v>-1131.4233900000002</v>
      </c>
      <c r="AS222" s="78">
        <f ca="1">AI222*-Valores!$C$60</f>
        <v>-125.71371000000001</v>
      </c>
      <c r="AT222" s="15">
        <f t="shared" ca="1" si="35"/>
        <v>35205.44739999999</v>
      </c>
      <c r="AU222" s="15">
        <f t="shared" ca="1" si="36"/>
        <v>35834.015949999986</v>
      </c>
      <c r="AV222" s="78">
        <f ca="1">AI222*Valores!$C$61</f>
        <v>6704.7312000000002</v>
      </c>
      <c r="AW222" s="78">
        <f ca="1">AI222*Valores!$C$62</f>
        <v>1885.7056499999999</v>
      </c>
      <c r="AX222" s="78">
        <f ca="1">AI222*Valores!$C$64</f>
        <v>419.04570000000001</v>
      </c>
      <c r="AY222" s="78">
        <f ca="1">AI222*Valores!$C$65</f>
        <v>1466.6599500000002</v>
      </c>
      <c r="AZ222" s="78">
        <f ca="1">AI222*Valores!$C$66</f>
        <v>251.42742000000001</v>
      </c>
      <c r="BA222" s="78">
        <f t="shared" ca="1" si="39"/>
        <v>2262.8467800000003</v>
      </c>
      <c r="BB222" s="20"/>
      <c r="BC222" s="110">
        <f t="shared" ca="1" si="33"/>
        <v>120</v>
      </c>
      <c r="BD222" s="9" t="s">
        <v>466</v>
      </c>
    </row>
    <row r="223" spans="1:56" s="9" customFormat="1" ht="11.25" customHeight="1" thickTop="1" thickBot="1" x14ac:dyDescent="0.2">
      <c r="A223" s="20">
        <v>222</v>
      </c>
      <c r="B223" s="20"/>
      <c r="C223" s="9" t="s">
        <v>354</v>
      </c>
      <c r="D223" s="9">
        <v>31</v>
      </c>
      <c r="E223" s="10" t="str">
        <f t="shared" ca="1" si="31"/>
        <v>Hora Cátedra Enseñanza Superior 31 hs</v>
      </c>
      <c r="F223" s="123">
        <f t="shared" ca="1" si="32"/>
        <v>3069</v>
      </c>
      <c r="G223" s="7">
        <f ca="1">INT((F223*Valores!$C$2*100)+0.5)/100</f>
        <v>15758.39</v>
      </c>
      <c r="H223" s="134">
        <v>0</v>
      </c>
      <c r="I223" s="77">
        <f ca="1">INT((H223*Valores!$C$2*100)+0.5)/100</f>
        <v>0</v>
      </c>
      <c r="J223" s="147">
        <v>0</v>
      </c>
      <c r="K223" s="77">
        <f ca="1">INT((J223*Valores!$C$2*100)+0.5)/100</f>
        <v>0</v>
      </c>
      <c r="L223" s="120">
        <v>0</v>
      </c>
      <c r="M223" s="77">
        <f ca="1">INT((L223*Valores!$C$2*100)+0.5)/100</f>
        <v>0</v>
      </c>
      <c r="N223" s="77">
        <f t="shared" ca="1" si="40"/>
        <v>0</v>
      </c>
      <c r="O223" s="77">
        <f t="shared" ca="1" si="41"/>
        <v>16739.23</v>
      </c>
      <c r="P223" s="61">
        <f ca="1">Valores!$C$14*D223</f>
        <v>3559.4199999999996</v>
      </c>
      <c r="Q223" s="61">
        <f ca="1">IF(D223&lt;15,(Valores!$E$4*D223),Valores!$D$4)</f>
        <v>2296.75</v>
      </c>
      <c r="R223" s="77">
        <v>0</v>
      </c>
      <c r="S223" s="79">
        <f ca="1">Valores!$C$45*D223</f>
        <v>980.84</v>
      </c>
      <c r="T223" s="79">
        <f ca="1">Valores!$C$22*D223</f>
        <v>1439.33</v>
      </c>
      <c r="U223" s="77">
        <f t="shared" ca="1" si="30"/>
        <v>2878.66</v>
      </c>
      <c r="V223" s="77">
        <v>0</v>
      </c>
      <c r="W223" s="77">
        <v>0</v>
      </c>
      <c r="X223" s="37">
        <v>0</v>
      </c>
      <c r="Y223" s="77">
        <f ca="1">X223*Valores!$C$2</f>
        <v>0</v>
      </c>
      <c r="Z223" s="77">
        <v>0</v>
      </c>
      <c r="AA223" s="89">
        <f ca="1">(Valores!$C$32)*D223</f>
        <v>163.68</v>
      </c>
      <c r="AB223" s="77">
        <f t="shared" ca="1" si="34"/>
        <v>0</v>
      </c>
      <c r="AC223" s="77">
        <v>131.68</v>
      </c>
      <c r="AD223" s="116">
        <v>0</v>
      </c>
      <c r="AE223" s="77">
        <f ca="1">INT(((AD223*Valores!$C$2)*100)+0.5)/100</f>
        <v>0</v>
      </c>
      <c r="AF223" s="77">
        <f t="shared" ref="AF223:AG228" ca="1" si="42">AF222</f>
        <v>535.74</v>
      </c>
      <c r="AG223" s="77">
        <f t="shared" ca="1" si="42"/>
        <v>153.08000000000001</v>
      </c>
      <c r="AH223" s="77">
        <f ca="1">SUM(G223,I223,K223,M223,N223,O223,P223,Q223,R223,S223,U223,V223,W223,Y223,Z223,AA223,AB223,AC223,AE223,AF223,AG223)*Valores!$C$54</f>
        <v>0</v>
      </c>
      <c r="AI223" s="141">
        <f t="shared" ca="1" si="37"/>
        <v>43197.469999999994</v>
      </c>
      <c r="AJ223" s="61">
        <f ca="1">(Valores!$C$36*$D$222)+0.04</f>
        <v>363.94000000000005</v>
      </c>
      <c r="AK223" s="79">
        <f ca="1">Valores!$C$11*D223</f>
        <v>263.81</v>
      </c>
      <c r="AL223" s="89">
        <v>224.5</v>
      </c>
      <c r="AM223" s="79">
        <f ca="1">IF($G$4="SI",SUM(AK223+AL223),AK223)*Valores!$C$54</f>
        <v>0</v>
      </c>
      <c r="AN223" s="12">
        <f t="shared" ca="1" si="38"/>
        <v>852.25</v>
      </c>
      <c r="AO223" s="13">
        <f ca="1">AI223*-Valores!$C$56</f>
        <v>-5615.6710999999996</v>
      </c>
      <c r="AP223" s="13">
        <f ca="1">AI223*-Valores!$C$57</f>
        <v>-215.98734999999996</v>
      </c>
      <c r="AQ223" s="78">
        <f ca="1">AI223*-Valores!$C$58</f>
        <v>-1943.8861499999996</v>
      </c>
      <c r="AR223" s="78">
        <f ca="1">AI223*-Valores!$C$59</f>
        <v>-1166.33169</v>
      </c>
      <c r="AS223" s="78">
        <f ca="1">AI223*-Valores!$C$60</f>
        <v>-129.59240999999997</v>
      </c>
      <c r="AT223" s="15">
        <f t="shared" ca="1" si="35"/>
        <v>36274.175399999993</v>
      </c>
      <c r="AU223" s="15">
        <f t="shared" ca="1" si="36"/>
        <v>36922.137449999995</v>
      </c>
      <c r="AV223" s="78">
        <f ca="1">AI223*Valores!$C$61</f>
        <v>6911.5951999999988</v>
      </c>
      <c r="AW223" s="78">
        <f ca="1">AI223*Valores!$C$62</f>
        <v>1943.8861499999996</v>
      </c>
      <c r="AX223" s="78">
        <f ca="1">AI223*Valores!$C$64</f>
        <v>431.97469999999993</v>
      </c>
      <c r="AY223" s="78">
        <f ca="1">AI223*Valores!$C$65</f>
        <v>1511.9114499999998</v>
      </c>
      <c r="AZ223" s="78">
        <f ca="1">AI223*Valores!$C$66</f>
        <v>259.18481999999995</v>
      </c>
      <c r="BA223" s="78">
        <f t="shared" ca="1" si="39"/>
        <v>2332.66338</v>
      </c>
      <c r="BB223" s="20"/>
      <c r="BC223" s="110">
        <f t="shared" ca="1" si="33"/>
        <v>124</v>
      </c>
      <c r="BD223" s="9" t="s">
        <v>466</v>
      </c>
    </row>
    <row r="224" spans="1:56" s="9" customFormat="1" ht="11.25" customHeight="1" thickTop="1" x14ac:dyDescent="0.15">
      <c r="A224" s="20">
        <v>223</v>
      </c>
      <c r="B224" s="20"/>
      <c r="C224" s="9" t="s">
        <v>354</v>
      </c>
      <c r="D224" s="9">
        <v>32</v>
      </c>
      <c r="E224" s="10" t="str">
        <f t="shared" ca="1" si="31"/>
        <v>Hora Cátedra Enseñanza Superior 32 hs</v>
      </c>
      <c r="F224" s="123">
        <f t="shared" ca="1" si="32"/>
        <v>3168</v>
      </c>
      <c r="G224" s="7">
        <f ca="1">INT((F224*Valores!$C$2*100)+0.5)/100</f>
        <v>16266.73</v>
      </c>
      <c r="H224" s="134">
        <v>0</v>
      </c>
      <c r="I224" s="77">
        <f ca="1">INT((H224*Valores!$C$2*100)+0.5)/100</f>
        <v>0</v>
      </c>
      <c r="J224" s="147">
        <v>0</v>
      </c>
      <c r="K224" s="77">
        <f ca="1">INT((J224*Valores!$C$2*100)+0.5)/100</f>
        <v>0</v>
      </c>
      <c r="L224" s="120">
        <v>0</v>
      </c>
      <c r="M224" s="77">
        <f ca="1">INT((L224*Valores!$C$2*100)+0.5)/100</f>
        <v>0</v>
      </c>
      <c r="N224" s="77">
        <f t="shared" ca="1" si="40"/>
        <v>0</v>
      </c>
      <c r="O224" s="77">
        <f t="shared" ca="1" si="41"/>
        <v>17279.21</v>
      </c>
      <c r="P224" s="61">
        <f ca="1">Valores!$C$14*D224</f>
        <v>3674.24</v>
      </c>
      <c r="Q224" s="61">
        <f ca="1">IF(D224&lt;15,(Valores!$E$4*D224),Valores!$D$4)</f>
        <v>2296.75</v>
      </c>
      <c r="R224" s="77">
        <v>0</v>
      </c>
      <c r="S224" s="79">
        <f ca="1">Valores!$C$45*D224</f>
        <v>1012.48</v>
      </c>
      <c r="T224" s="61">
        <f ca="1">Valores!$C$22*D224</f>
        <v>1485.76</v>
      </c>
      <c r="U224" s="77">
        <f t="shared" ca="1" si="30"/>
        <v>2971.52</v>
      </c>
      <c r="V224" s="77">
        <v>0</v>
      </c>
      <c r="W224" s="77">
        <v>0</v>
      </c>
      <c r="X224" s="37">
        <v>0</v>
      </c>
      <c r="Y224" s="77">
        <f ca="1">X224*Valores!$C$2</f>
        <v>0</v>
      </c>
      <c r="Z224" s="77">
        <v>0</v>
      </c>
      <c r="AA224" s="89">
        <f ca="1">(Valores!$C$32)*D224</f>
        <v>168.96</v>
      </c>
      <c r="AB224" s="77">
        <f t="shared" ca="1" si="34"/>
        <v>0</v>
      </c>
      <c r="AC224" s="77">
        <v>131.68</v>
      </c>
      <c r="AD224" s="116">
        <v>0</v>
      </c>
      <c r="AE224" s="77">
        <f ca="1">INT(((AD224*Valores!$C$2)*100)+0.5)/100</f>
        <v>0</v>
      </c>
      <c r="AF224" s="77">
        <f t="shared" ca="1" si="42"/>
        <v>535.74</v>
      </c>
      <c r="AG224" s="77">
        <f t="shared" ca="1" si="42"/>
        <v>153.08000000000001</v>
      </c>
      <c r="AH224" s="77">
        <f ca="1">SUM(G224,I224,K224,M224,N224,O224,P224,Q224,R224,S224,U224,V224,W224,Y224,Z224,AA224,AB224,AC224,AE224,AF224,AG224)*Valores!$C$54</f>
        <v>0</v>
      </c>
      <c r="AI224" s="141">
        <f t="shared" ca="1" si="37"/>
        <v>44490.39</v>
      </c>
      <c r="AJ224" s="61">
        <f ca="1">(Valores!$C$36*$D$222)+0.04</f>
        <v>363.94000000000005</v>
      </c>
      <c r="AK224" s="79">
        <f ca="1">Valores!$C$11*D224</f>
        <v>272.32</v>
      </c>
      <c r="AL224" s="89">
        <v>224.5</v>
      </c>
      <c r="AM224" s="79">
        <f ca="1">IF($G$4="SI",SUM(AK224+AL224),AK224)*Valores!$C$54</f>
        <v>0</v>
      </c>
      <c r="AN224" s="12">
        <f t="shared" ca="1" si="38"/>
        <v>860.76</v>
      </c>
      <c r="AO224" s="13">
        <f ca="1">AI224*-Valores!$C$56</f>
        <v>-5783.7507000000005</v>
      </c>
      <c r="AP224" s="13">
        <f ca="1">AI224*-Valores!$C$57</f>
        <v>-222.45195000000001</v>
      </c>
      <c r="AQ224" s="78">
        <f ca="1">AI224*-Valores!$C$58</f>
        <v>-2002.06755</v>
      </c>
      <c r="AR224" s="78">
        <f ca="1">AI224*-Valores!$C$59</f>
        <v>-1201.24053</v>
      </c>
      <c r="AS224" s="78">
        <f ca="1">AI224*-Valores!$C$60</f>
        <v>-133.47117</v>
      </c>
      <c r="AT224" s="15">
        <f t="shared" ca="1" si="35"/>
        <v>37342.879799999995</v>
      </c>
      <c r="AU224" s="15">
        <f t="shared" ca="1" si="36"/>
        <v>38010.235649999995</v>
      </c>
      <c r="AV224" s="78">
        <f ca="1">AI224*Valores!$C$61</f>
        <v>7118.4624000000003</v>
      </c>
      <c r="AW224" s="78">
        <f ca="1">AI224*Valores!$C$62</f>
        <v>2002.06755</v>
      </c>
      <c r="AX224" s="78">
        <f ca="1">AI224*Valores!$C$64</f>
        <v>444.90390000000002</v>
      </c>
      <c r="AY224" s="78">
        <f ca="1">AI224*Valores!$C$65</f>
        <v>1557.1636500000002</v>
      </c>
      <c r="AZ224" s="78">
        <f ca="1">AI224*Valores!$C$66</f>
        <v>266.94234</v>
      </c>
      <c r="BA224" s="78">
        <f t="shared" ca="1" si="39"/>
        <v>2402.4810600000001</v>
      </c>
      <c r="BB224" s="20"/>
      <c r="BC224" s="55">
        <f t="shared" ca="1" si="33"/>
        <v>128</v>
      </c>
      <c r="BD224" s="9" t="s">
        <v>466</v>
      </c>
    </row>
    <row r="225" spans="1:56" s="9" customFormat="1" ht="11.25" customHeight="1" x14ac:dyDescent="0.15">
      <c r="A225" s="20">
        <v>224</v>
      </c>
      <c r="B225" s="20"/>
      <c r="C225" s="9" t="s">
        <v>354</v>
      </c>
      <c r="D225" s="9">
        <v>33</v>
      </c>
      <c r="E225" s="10" t="str">
        <f t="shared" ca="1" si="31"/>
        <v>Hora Cátedra Enseñanza Superior 33 hs</v>
      </c>
      <c r="F225" s="123">
        <f t="shared" ca="1" si="32"/>
        <v>3267</v>
      </c>
      <c r="G225" s="7">
        <f ca="1">INT((F225*Valores!$C$2*100)+0.5)/100</f>
        <v>16775.060000000001</v>
      </c>
      <c r="H225" s="134">
        <v>0</v>
      </c>
      <c r="I225" s="77">
        <f ca="1">INT((H225*Valores!$C$2*100)+0.5)/100</f>
        <v>0</v>
      </c>
      <c r="J225" s="147">
        <v>0</v>
      </c>
      <c r="K225" s="77">
        <f ca="1">INT((J225*Valores!$C$2*100)+0.5)/100</f>
        <v>0</v>
      </c>
      <c r="L225" s="120">
        <v>0</v>
      </c>
      <c r="M225" s="77">
        <f ca="1">INT((L225*Valores!$C$2*100)+0.5)/100</f>
        <v>0</v>
      </c>
      <c r="N225" s="77">
        <f t="shared" ca="1" si="40"/>
        <v>0</v>
      </c>
      <c r="O225" s="77">
        <f t="shared" ca="1" si="41"/>
        <v>17819.18</v>
      </c>
      <c r="P225" s="61">
        <f ca="1">Valores!$C$14*D225</f>
        <v>3789.06</v>
      </c>
      <c r="Q225" s="61">
        <f ca="1">IF(D225&lt;15,(Valores!$E$4*D225),Valores!$D$4)</f>
        <v>2296.75</v>
      </c>
      <c r="R225" s="77">
        <v>0</v>
      </c>
      <c r="S225" s="79">
        <f ca="1">Valores!$C$45*D225</f>
        <v>1044.1200000000001</v>
      </c>
      <c r="T225" s="61">
        <f ca="1">Valores!$C$22*D225</f>
        <v>1532.19</v>
      </c>
      <c r="U225" s="77">
        <f t="shared" ca="1" si="30"/>
        <v>3064.38</v>
      </c>
      <c r="V225" s="77">
        <v>0</v>
      </c>
      <c r="W225" s="77">
        <v>0</v>
      </c>
      <c r="X225" s="37">
        <v>0</v>
      </c>
      <c r="Y225" s="77">
        <f ca="1">X225*Valores!$C$2</f>
        <v>0</v>
      </c>
      <c r="Z225" s="77">
        <v>0</v>
      </c>
      <c r="AA225" s="89">
        <f ca="1">(Valores!$C$32)*D225</f>
        <v>174.24</v>
      </c>
      <c r="AB225" s="77">
        <f t="shared" ca="1" si="34"/>
        <v>0</v>
      </c>
      <c r="AC225" s="77">
        <v>131.68</v>
      </c>
      <c r="AD225" s="116">
        <v>0</v>
      </c>
      <c r="AE225" s="77">
        <f ca="1">INT(((AD225*Valores!$C$2)*100)+0.5)/100</f>
        <v>0</v>
      </c>
      <c r="AF225" s="77">
        <f t="shared" ca="1" si="42"/>
        <v>535.74</v>
      </c>
      <c r="AG225" s="77">
        <f t="shared" ca="1" si="42"/>
        <v>153.08000000000001</v>
      </c>
      <c r="AH225" s="77">
        <f ca="1">SUM(G225,I225,K225,M225,N225,O225,P225,Q225,R225,S225,U225,V225,W225,Y225,Z225,AA225,AB225,AC225,AE225,AF225,AG225)*Valores!$C$54</f>
        <v>0</v>
      </c>
      <c r="AI225" s="141">
        <f t="shared" ca="1" si="37"/>
        <v>45783.29</v>
      </c>
      <c r="AJ225" s="61">
        <f ca="1">(Valores!$C$36*$D$222)+0.04</f>
        <v>363.94000000000005</v>
      </c>
      <c r="AK225" s="79">
        <f ca="1">Valores!$C$11*D225</f>
        <v>280.83</v>
      </c>
      <c r="AL225" s="89">
        <v>224.5</v>
      </c>
      <c r="AM225" s="79">
        <f ca="1">IF($G$4="SI",SUM(AK225+AL225),AK225)*Valores!$C$54</f>
        <v>0</v>
      </c>
      <c r="AN225" s="12">
        <f t="shared" ca="1" si="38"/>
        <v>869.27</v>
      </c>
      <c r="AO225" s="13">
        <f ca="1">AI225*-Valores!$C$56</f>
        <v>-5951.8277000000007</v>
      </c>
      <c r="AP225" s="13">
        <f ca="1">AI225*-Valores!$C$57</f>
        <v>-228.91645</v>
      </c>
      <c r="AQ225" s="78">
        <f ca="1">AI225*-Valores!$C$58</f>
        <v>-2060.2480500000001</v>
      </c>
      <c r="AR225" s="78">
        <f ca="1">AI225*-Valores!$C$59</f>
        <v>-1236.1488300000001</v>
      </c>
      <c r="AS225" s="78">
        <f ca="1">AI225*-Valores!$C$60</f>
        <v>-137.34987000000001</v>
      </c>
      <c r="AT225" s="15">
        <f t="shared" ca="1" si="35"/>
        <v>38411.567799999997</v>
      </c>
      <c r="AU225" s="15">
        <f t="shared" ca="1" si="36"/>
        <v>39098.317150000003</v>
      </c>
      <c r="AV225" s="78">
        <f ca="1">AI225*Valores!$C$61</f>
        <v>7325.3263999999999</v>
      </c>
      <c r="AW225" s="78">
        <f ca="1">AI225*Valores!$C$62</f>
        <v>2060.2480500000001</v>
      </c>
      <c r="AX225" s="78">
        <f ca="1">AI225*Valores!$C$64</f>
        <v>457.8329</v>
      </c>
      <c r="AY225" s="78">
        <f ca="1">AI225*Valores!$C$65</f>
        <v>1602.4151500000003</v>
      </c>
      <c r="AZ225" s="78">
        <f ca="1">AI225*Valores!$C$66</f>
        <v>274.69974000000002</v>
      </c>
      <c r="BA225" s="78">
        <f t="shared" ca="1" si="39"/>
        <v>2472.2976600000002</v>
      </c>
      <c r="BB225" s="20"/>
      <c r="BC225" s="20">
        <f t="shared" ref="BC225:BC256" ca="1" si="43">4*D225</f>
        <v>132</v>
      </c>
      <c r="BD225" s="9" t="s">
        <v>466</v>
      </c>
    </row>
    <row r="226" spans="1:56" s="9" customFormat="1" ht="11.25" customHeight="1" x14ac:dyDescent="0.15">
      <c r="A226" s="55">
        <v>225</v>
      </c>
      <c r="B226" s="55" t="s">
        <v>462</v>
      </c>
      <c r="C226" s="52" t="s">
        <v>354</v>
      </c>
      <c r="D226" s="52">
        <v>34</v>
      </c>
      <c r="E226" s="53" t="str">
        <f t="shared" ca="1" si="31"/>
        <v>Hora Cátedra Enseñanza Superior 34 hs</v>
      </c>
      <c r="F226" s="124">
        <f t="shared" ca="1" si="32"/>
        <v>3366</v>
      </c>
      <c r="G226" s="129">
        <f ca="1">INT((F226*Valores!$C$2*100)+0.5)/100</f>
        <v>17283.400000000001</v>
      </c>
      <c r="H226" s="133">
        <v>0</v>
      </c>
      <c r="I226" s="80">
        <f ca="1">INT((H226*Valores!$C$2*100)+0.5)/100</f>
        <v>0</v>
      </c>
      <c r="J226" s="148">
        <v>0</v>
      </c>
      <c r="K226" s="80">
        <f ca="1">INT((J226*Valores!$C$2*100)+0.5)/100</f>
        <v>0</v>
      </c>
      <c r="L226" s="121">
        <v>0</v>
      </c>
      <c r="M226" s="80">
        <f ca="1">INT((L226*Valores!$C$2*100)+0.5)/100</f>
        <v>0</v>
      </c>
      <c r="N226" s="80">
        <f t="shared" ca="1" si="40"/>
        <v>0</v>
      </c>
      <c r="O226" s="80">
        <f t="shared" ca="1" si="41"/>
        <v>18359.16</v>
      </c>
      <c r="P226" s="85">
        <f ca="1">Valores!$C$14*D226</f>
        <v>3903.8799999999997</v>
      </c>
      <c r="Q226" s="85">
        <f ca="1">IF(D226&lt;15,(Valores!$E$4*D226),Valores!$D$4)</f>
        <v>2296.75</v>
      </c>
      <c r="R226" s="80">
        <v>0</v>
      </c>
      <c r="S226" s="82">
        <f ca="1">Valores!$C$45*D226</f>
        <v>1075.76</v>
      </c>
      <c r="T226" s="85">
        <f ca="1">Valores!$C$22*D226</f>
        <v>1578.62</v>
      </c>
      <c r="U226" s="80">
        <f t="shared" ca="1" si="30"/>
        <v>3157.24</v>
      </c>
      <c r="V226" s="80">
        <v>0</v>
      </c>
      <c r="W226" s="80">
        <v>0</v>
      </c>
      <c r="X226" s="60">
        <v>0</v>
      </c>
      <c r="Y226" s="80">
        <f ca="1">X226*Valores!$C$2</f>
        <v>0</v>
      </c>
      <c r="Z226" s="80">
        <v>0</v>
      </c>
      <c r="AA226" s="90">
        <f ca="1">(Valores!$C$32)*D226</f>
        <v>179.52</v>
      </c>
      <c r="AB226" s="80">
        <f t="shared" ca="1" si="34"/>
        <v>0</v>
      </c>
      <c r="AC226" s="80">
        <v>131.68</v>
      </c>
      <c r="AD226" s="115">
        <v>0</v>
      </c>
      <c r="AE226" s="80">
        <f ca="1">INT(((AD226*Valores!$C$2)*100)+0.5)/100</f>
        <v>0</v>
      </c>
      <c r="AF226" s="80">
        <f t="shared" ca="1" si="42"/>
        <v>535.74</v>
      </c>
      <c r="AG226" s="80">
        <f t="shared" ca="1" si="42"/>
        <v>153.08000000000001</v>
      </c>
      <c r="AH226" s="80">
        <f ca="1">SUM(G226,I226,K226,M226,N226,O226,P226,Q226,R226,S226,U226,V226,W226,Y226,Z226,AA226,AB226,AC226,AE226,AF226,AG226)*Valores!$C$54</f>
        <v>0</v>
      </c>
      <c r="AI226" s="142">
        <f t="shared" ca="1" si="37"/>
        <v>47076.209999999992</v>
      </c>
      <c r="AJ226" s="85">
        <f ca="1">(Valores!$C$36*$D$222)+0.04</f>
        <v>363.94000000000005</v>
      </c>
      <c r="AK226" s="82">
        <f ca="1">Valores!$C$11*D226</f>
        <v>289.33999999999997</v>
      </c>
      <c r="AL226" s="90">
        <v>224.5</v>
      </c>
      <c r="AM226" s="82">
        <f ca="1">IF($G$4="SI",SUM(AK226+AL226),AK226)*Valores!$C$54</f>
        <v>0</v>
      </c>
      <c r="AN226" s="186">
        <f t="shared" ca="1" si="38"/>
        <v>877.78</v>
      </c>
      <c r="AO226" s="155">
        <f ca="1">AI226*-Valores!$C$56</f>
        <v>-6119.9072999999989</v>
      </c>
      <c r="AP226" s="155">
        <f ca="1">AI226*-Valores!$C$57</f>
        <v>-235.38104999999996</v>
      </c>
      <c r="AQ226" s="81">
        <f ca="1">AI226*-Valores!$C$58</f>
        <v>-2118.4294499999996</v>
      </c>
      <c r="AR226" s="81">
        <f ca="1">AI226*-Valores!$C$59</f>
        <v>-1271.0576699999999</v>
      </c>
      <c r="AS226" s="81">
        <f ca="1">AI226*-Valores!$C$60</f>
        <v>-141.22862999999998</v>
      </c>
      <c r="AT226" s="54">
        <f t="shared" ca="1" si="35"/>
        <v>39480.272199999999</v>
      </c>
      <c r="AU226" s="54">
        <f t="shared" ca="1" si="36"/>
        <v>40186.415349999996</v>
      </c>
      <c r="AV226" s="81">
        <f ca="1">AI226*Valores!$C$61</f>
        <v>7532.1935999999987</v>
      </c>
      <c r="AW226" s="81">
        <f ca="1">AI226*Valores!$C$62</f>
        <v>2118.4294499999996</v>
      </c>
      <c r="AX226" s="81">
        <f ca="1">AI226*Valores!$C$64</f>
        <v>470.76209999999992</v>
      </c>
      <c r="AY226" s="81">
        <f ca="1">AI226*Valores!$C$65</f>
        <v>1647.6673499999999</v>
      </c>
      <c r="AZ226" s="81">
        <f ca="1">AI226*Valores!$C$66</f>
        <v>282.45725999999996</v>
      </c>
      <c r="BA226" s="81">
        <f t="shared" ca="1" si="39"/>
        <v>2542.1153399999998</v>
      </c>
      <c r="BB226" s="55"/>
      <c r="BC226" s="55">
        <f t="shared" ca="1" si="43"/>
        <v>136</v>
      </c>
      <c r="BD226" s="52" t="s">
        <v>466</v>
      </c>
    </row>
    <row r="227" spans="1:56" s="9" customFormat="1" ht="11.25" customHeight="1" x14ac:dyDescent="0.15">
      <c r="A227" s="20">
        <v>226</v>
      </c>
      <c r="B227" s="20"/>
      <c r="C227" s="9" t="s">
        <v>354</v>
      </c>
      <c r="D227" s="9">
        <v>35</v>
      </c>
      <c r="E227" s="10" t="str">
        <f t="shared" ca="1" si="31"/>
        <v>Hora Cátedra Enseñanza Superior 35 hs</v>
      </c>
      <c r="F227" s="123">
        <f t="shared" ca="1" si="32"/>
        <v>3465</v>
      </c>
      <c r="G227" s="7">
        <f ca="1">INT((F227*Valores!$C$2*100)+0.5)/100</f>
        <v>17791.740000000002</v>
      </c>
      <c r="H227" s="134">
        <v>0</v>
      </c>
      <c r="I227" s="77">
        <f ca="1">INT((H227*Valores!$C$2*100)+0.5)/100</f>
        <v>0</v>
      </c>
      <c r="J227" s="147">
        <v>0</v>
      </c>
      <c r="K227" s="77">
        <f ca="1">INT((J227*Valores!$C$2*100)+0.5)/100</f>
        <v>0</v>
      </c>
      <c r="L227" s="120">
        <v>0</v>
      </c>
      <c r="M227" s="77">
        <f ca="1">INT((L227*Valores!$C$2*100)+0.5)/100</f>
        <v>0</v>
      </c>
      <c r="N227" s="77">
        <f t="shared" ca="1" si="40"/>
        <v>0</v>
      </c>
      <c r="O227" s="77">
        <f t="shared" ca="1" si="41"/>
        <v>18899.140000000003</v>
      </c>
      <c r="P227" s="61">
        <f ca="1">Valores!$C$14*D227</f>
        <v>4018.7</v>
      </c>
      <c r="Q227" s="61">
        <f ca="1">IF(D227&lt;15,(Valores!$E$4*D227),Valores!$D$4)</f>
        <v>2296.75</v>
      </c>
      <c r="R227" s="77">
        <v>0</v>
      </c>
      <c r="S227" s="79">
        <f ca="1">Valores!$C$45*D227</f>
        <v>1107.4000000000001</v>
      </c>
      <c r="T227" s="61">
        <f ca="1">Valores!$C$22*D227</f>
        <v>1625.05</v>
      </c>
      <c r="U227" s="77">
        <f t="shared" ca="1" si="30"/>
        <v>3250.1</v>
      </c>
      <c r="V227" s="77">
        <v>0</v>
      </c>
      <c r="W227" s="77">
        <v>0</v>
      </c>
      <c r="X227" s="37">
        <v>0</v>
      </c>
      <c r="Y227" s="77">
        <f ca="1">X227*Valores!$C$2</f>
        <v>0</v>
      </c>
      <c r="Z227" s="77">
        <v>0</v>
      </c>
      <c r="AA227" s="89">
        <f ca="1">(Valores!$C$32)*D227</f>
        <v>184.8</v>
      </c>
      <c r="AB227" s="77">
        <f t="shared" ca="1" si="34"/>
        <v>0</v>
      </c>
      <c r="AC227" s="77">
        <v>131.68</v>
      </c>
      <c r="AD227" s="116">
        <v>0</v>
      </c>
      <c r="AE227" s="77">
        <f ca="1">INT(((AD227*Valores!$C$2)*100)+0.5)/100</f>
        <v>0</v>
      </c>
      <c r="AF227" s="77">
        <f t="shared" ca="1" si="42"/>
        <v>535.74</v>
      </c>
      <c r="AG227" s="77">
        <f t="shared" ca="1" si="42"/>
        <v>153.08000000000001</v>
      </c>
      <c r="AH227" s="77">
        <f ca="1">SUM(G227,I227,K227,M227,N227,O227,P227,Q227,R227,S227,U227,V227,W227,Y227,Z227,AA227,AB227,AC227,AE227,AF227,AG227)*Valores!$C$54</f>
        <v>0</v>
      </c>
      <c r="AI227" s="141">
        <f t="shared" ca="1" si="37"/>
        <v>48369.130000000005</v>
      </c>
      <c r="AJ227" s="61">
        <f ca="1">(Valores!$C$36*$D$222)+0.04</f>
        <v>363.94000000000005</v>
      </c>
      <c r="AK227" s="79">
        <f ca="1">Valores!$C$11*D227</f>
        <v>297.84999999999997</v>
      </c>
      <c r="AL227" s="89">
        <v>224.5</v>
      </c>
      <c r="AM227" s="79">
        <f ca="1">IF($G$4="SI",SUM(AK227+AL227),AK227)*Valores!$C$54</f>
        <v>0</v>
      </c>
      <c r="AN227" s="12">
        <f t="shared" ca="1" si="38"/>
        <v>886.29</v>
      </c>
      <c r="AO227" s="13">
        <f ca="1">AI227*-Valores!$C$56</f>
        <v>-6287.9869000000008</v>
      </c>
      <c r="AP227" s="13">
        <f ca="1">AI227*-Valores!$C$57</f>
        <v>-241.84565000000003</v>
      </c>
      <c r="AQ227" s="78">
        <f ca="1">AI227*-Valores!$C$58</f>
        <v>-2176.61085</v>
      </c>
      <c r="AR227" s="78">
        <f ca="1">AI227*-Valores!$C$59</f>
        <v>-1305.9665100000002</v>
      </c>
      <c r="AS227" s="78">
        <f ca="1">AI227*-Valores!$C$60</f>
        <v>-145.10739000000001</v>
      </c>
      <c r="AT227" s="15">
        <f t="shared" ca="1" si="35"/>
        <v>40548.976600000002</v>
      </c>
      <c r="AU227" s="15">
        <f t="shared" ca="1" si="36"/>
        <v>41274.513550000003</v>
      </c>
      <c r="AV227" s="78">
        <f ca="1">AI227*Valores!$C$61</f>
        <v>7739.0608000000011</v>
      </c>
      <c r="AW227" s="78">
        <f ca="1">AI227*Valores!$C$62</f>
        <v>2176.61085</v>
      </c>
      <c r="AX227" s="78">
        <f ca="1">AI227*Valores!$C$64</f>
        <v>483.69130000000007</v>
      </c>
      <c r="AY227" s="78">
        <f ca="1">AI227*Valores!$C$65</f>
        <v>1692.9195500000003</v>
      </c>
      <c r="AZ227" s="78">
        <f ca="1">AI227*Valores!$C$66</f>
        <v>290.21478000000002</v>
      </c>
      <c r="BA227" s="78">
        <f t="shared" ca="1" si="39"/>
        <v>2611.9330200000004</v>
      </c>
      <c r="BB227" s="20"/>
      <c r="BC227" s="20">
        <f t="shared" ca="1" si="43"/>
        <v>140</v>
      </c>
      <c r="BD227" s="9" t="s">
        <v>466</v>
      </c>
    </row>
    <row r="228" spans="1:56" s="9" customFormat="1" ht="11.25" customHeight="1" x14ac:dyDescent="0.15">
      <c r="A228" s="20">
        <v>227</v>
      </c>
      <c r="B228" s="20"/>
      <c r="C228" s="9" t="s">
        <v>354</v>
      </c>
      <c r="D228" s="9">
        <v>36</v>
      </c>
      <c r="E228" s="10" t="str">
        <f t="shared" ca="1" si="31"/>
        <v>Hora Cátedra Enseñanza Superior 36 hs</v>
      </c>
      <c r="F228" s="123">
        <f t="shared" ca="1" si="32"/>
        <v>3564</v>
      </c>
      <c r="G228" s="7">
        <f ca="1">INT((F228*Valores!$C$2*100)+0.5)/100</f>
        <v>18300.07</v>
      </c>
      <c r="H228" s="134">
        <v>0</v>
      </c>
      <c r="I228" s="77">
        <f ca="1">INT((H228*Valores!$C$2*100)+0.5)/100</f>
        <v>0</v>
      </c>
      <c r="J228" s="147">
        <v>0</v>
      </c>
      <c r="K228" s="77">
        <f ca="1">INT((J228*Valores!$C$2*100)+0.5)/100</f>
        <v>0</v>
      </c>
      <c r="L228" s="120">
        <v>0</v>
      </c>
      <c r="M228" s="77">
        <f ca="1">INT((L228*Valores!$C$2*100)+0.5)/100</f>
        <v>0</v>
      </c>
      <c r="N228" s="77">
        <f t="shared" ca="1" si="40"/>
        <v>0</v>
      </c>
      <c r="O228" s="77">
        <f t="shared" ca="1" si="41"/>
        <v>19439.11</v>
      </c>
      <c r="P228" s="61">
        <f ca="1">Valores!$C$14*D228</f>
        <v>4133.5199999999995</v>
      </c>
      <c r="Q228" s="61">
        <f ca="1">IF(D228&lt;15,(Valores!$E$4*D228),Valores!$D$4)</f>
        <v>2296.75</v>
      </c>
      <c r="R228" s="77">
        <v>0</v>
      </c>
      <c r="S228" s="79">
        <f ca="1">Valores!$C$45*D228</f>
        <v>1139.04</v>
      </c>
      <c r="T228" s="61">
        <f ca="1">Valores!$C$22*D228</f>
        <v>1671.48</v>
      </c>
      <c r="U228" s="77">
        <f t="shared" ca="1" si="30"/>
        <v>3342.96</v>
      </c>
      <c r="V228" s="77">
        <v>0</v>
      </c>
      <c r="W228" s="77">
        <v>0</v>
      </c>
      <c r="X228" s="37">
        <v>0</v>
      </c>
      <c r="Y228" s="77">
        <f ca="1">X228*Valores!$C$2</f>
        <v>0</v>
      </c>
      <c r="Z228" s="77">
        <v>0</v>
      </c>
      <c r="AA228" s="89">
        <f ca="1">(Valores!$C$32)*D228</f>
        <v>190.08</v>
      </c>
      <c r="AB228" s="77">
        <f t="shared" ca="1" si="34"/>
        <v>0</v>
      </c>
      <c r="AC228" s="77">
        <v>131.68</v>
      </c>
      <c r="AD228" s="116">
        <v>0</v>
      </c>
      <c r="AE228" s="77">
        <f ca="1">INT(((AD228*Valores!$C$2)*100)+0.5)/100</f>
        <v>0</v>
      </c>
      <c r="AF228" s="77">
        <f t="shared" ca="1" si="42"/>
        <v>535.74</v>
      </c>
      <c r="AG228" s="77">
        <f t="shared" ca="1" si="42"/>
        <v>153.08000000000001</v>
      </c>
      <c r="AH228" s="77">
        <f ca="1">SUM(G228,I228,K228,M228,N228,O228,P228,Q228,R228,S228,U228,V228,W228,Y228,Z228,AA228,AB228,AC228,AE228,AF228,AG228)*Valores!$C$54</f>
        <v>0</v>
      </c>
      <c r="AI228" s="141">
        <f t="shared" ca="1" si="37"/>
        <v>49662.03</v>
      </c>
      <c r="AJ228" s="61">
        <f ca="1">(Valores!$C$36*$D$222)+0.04</f>
        <v>363.94000000000005</v>
      </c>
      <c r="AK228" s="79">
        <f ca="1">(Valores!$C$11*D228)-0.22</f>
        <v>306.14</v>
      </c>
      <c r="AL228" s="89">
        <v>224.5</v>
      </c>
      <c r="AM228" s="79">
        <f ca="1">IF($G$4="SI",SUM(AK228+AL228),AK228)*Valores!$C$54</f>
        <v>0</v>
      </c>
      <c r="AN228" s="12">
        <f t="shared" ca="1" si="38"/>
        <v>894.58</v>
      </c>
      <c r="AO228" s="13">
        <f ca="1">AI228*-Valores!$C$56</f>
        <v>-6456.0639000000001</v>
      </c>
      <c r="AP228" s="13">
        <f ca="1">AI228*-Valores!$C$57</f>
        <v>-248.31014999999999</v>
      </c>
      <c r="AQ228" s="78">
        <f ca="1">AI228*-Valores!$C$58</f>
        <v>-2234.79135</v>
      </c>
      <c r="AR228" s="78">
        <f ca="1">AI228*-Valores!$C$59</f>
        <v>-1340.87481</v>
      </c>
      <c r="AS228" s="78">
        <f ca="1">AI228*-Valores!$C$60</f>
        <v>-148.98608999999999</v>
      </c>
      <c r="AT228" s="15">
        <f t="shared" ca="1" si="35"/>
        <v>41617.444600000003</v>
      </c>
      <c r="AU228" s="15">
        <f t="shared" ca="1" si="36"/>
        <v>42362.375050000002</v>
      </c>
      <c r="AV228" s="78">
        <f ca="1">AI228*Valores!$C$61</f>
        <v>7945.9247999999998</v>
      </c>
      <c r="AW228" s="78">
        <f ca="1">AI228*Valores!$C$62</f>
        <v>2234.79135</v>
      </c>
      <c r="AX228" s="78">
        <f ca="1">AI228*Valores!$C$64</f>
        <v>496.62029999999999</v>
      </c>
      <c r="AY228" s="78">
        <f ca="1">AI228*Valores!$C$65</f>
        <v>1738.1710500000002</v>
      </c>
      <c r="AZ228" s="78">
        <f ca="1">AI228*Valores!$C$66</f>
        <v>297.97217999999998</v>
      </c>
      <c r="BA228" s="78">
        <f t="shared" ca="1" si="39"/>
        <v>2681.74962</v>
      </c>
      <c r="BB228" s="20"/>
      <c r="BC228" s="20">
        <f t="shared" ca="1" si="43"/>
        <v>144</v>
      </c>
      <c r="BD228" s="9" t="s">
        <v>466</v>
      </c>
    </row>
    <row r="229" spans="1:56" s="9" customFormat="1" ht="11.25" customHeight="1" x14ac:dyDescent="0.15">
      <c r="A229" s="20">
        <v>228</v>
      </c>
      <c r="B229" s="20"/>
      <c r="C229" s="9" t="s">
        <v>355</v>
      </c>
      <c r="D229" s="9">
        <v>1</v>
      </c>
      <c r="E229" s="10" t="str">
        <f ca="1">CONCATENATE("Hora Cátedra Enseñanza Media ",D229," hs")</f>
        <v>Hora Cátedra Enseñanza Media 1 hs</v>
      </c>
      <c r="F229" s="123">
        <f t="shared" ref="F229:F260" ca="1" si="44">79*D229</f>
        <v>79</v>
      </c>
      <c r="G229" s="7">
        <f ca="1">INT((F229*Valores!$C$2*100)+0.5)/100</f>
        <v>405.64</v>
      </c>
      <c r="H229" s="134">
        <v>0</v>
      </c>
      <c r="I229" s="77">
        <f ca="1">INT((H229*Valores!$C$2*100)+0.5)/100</f>
        <v>0</v>
      </c>
      <c r="J229" s="147">
        <v>0</v>
      </c>
      <c r="K229" s="77">
        <f ca="1">INT((J229*Valores!$C$2*100)+0.5)/100</f>
        <v>0</v>
      </c>
      <c r="L229" s="120">
        <v>0</v>
      </c>
      <c r="M229" s="77">
        <f ca="1">INT((L229*Valores!$C$2*100)+0.5)/100</f>
        <v>0</v>
      </c>
      <c r="N229" s="77">
        <f t="shared" ca="1" si="40"/>
        <v>0</v>
      </c>
      <c r="O229" s="77">
        <f t="shared" ca="1" si="41"/>
        <v>437.28</v>
      </c>
      <c r="P229" s="61">
        <f ca="1">Valores!$C$14*D229</f>
        <v>114.82</v>
      </c>
      <c r="Q229" s="61">
        <f ca="1">IF(D229&lt;15,(Valores!$E$4*D229),Valores!$D$4)</f>
        <v>153.12</v>
      </c>
      <c r="R229" s="77">
        <v>0</v>
      </c>
      <c r="S229" s="79">
        <f ca="1">Valores!$C$45*D229</f>
        <v>31.64</v>
      </c>
      <c r="T229" s="61">
        <f ca="1">Valores!$C$22*D229</f>
        <v>46.43</v>
      </c>
      <c r="U229" s="77">
        <f t="shared" ca="1" si="30"/>
        <v>92.86</v>
      </c>
      <c r="V229" s="77">
        <v>0</v>
      </c>
      <c r="W229" s="77">
        <v>0</v>
      </c>
      <c r="X229" s="37">
        <v>0</v>
      </c>
      <c r="Y229" s="77">
        <f ca="1">X229*Valores!$C$2</f>
        <v>0</v>
      </c>
      <c r="Z229" s="77">
        <v>0</v>
      </c>
      <c r="AA229" s="89">
        <f ca="1">(Valores!$C$32)*D229</f>
        <v>5.28</v>
      </c>
      <c r="AB229" s="77">
        <f t="shared" ca="1" si="34"/>
        <v>0</v>
      </c>
      <c r="AC229" s="77">
        <f ca="1">Valores!$C$33*D229</f>
        <v>4.3899999999999997</v>
      </c>
      <c r="AD229" s="116">
        <v>0</v>
      </c>
      <c r="AE229" s="77">
        <f ca="1">INT(((AD229*Valores!$C$2)*100)+0.5)/100</f>
        <v>0</v>
      </c>
      <c r="AF229" s="77">
        <f ca="1">Valores!$D$51*D229</f>
        <v>17.858000000000001</v>
      </c>
      <c r="AG229" s="77">
        <f ca="1">Valores!$D$52*D229</f>
        <v>5.1026666666666669</v>
      </c>
      <c r="AH229" s="77">
        <f ca="1">SUM(G229,I229,K229,M229,N229,O229,P229,Q229,R229,S229,U229,V229,W229,Y229,Z229,AA229,AB229,AC229,AE229,AF229,AG229)*Valores!$C$54</f>
        <v>0</v>
      </c>
      <c r="AI229" s="141">
        <f t="shared" ca="1" si="37"/>
        <v>1267.9906666666668</v>
      </c>
      <c r="AJ229" s="61">
        <f ca="1">Valores!$C$36*D229</f>
        <v>12.13</v>
      </c>
      <c r="AK229" s="79">
        <f ca="1">Valores!$C$11*D229</f>
        <v>8.51</v>
      </c>
      <c r="AL229" s="89">
        <f ca="1">7.48*D229</f>
        <v>7.48</v>
      </c>
      <c r="AM229" s="79">
        <f ca="1">IF($G$4="SI",SUM(AK229+AL229),AK229)*Valores!$C$54</f>
        <v>0</v>
      </c>
      <c r="AN229" s="12">
        <f t="shared" ca="1" si="38"/>
        <v>28.12</v>
      </c>
      <c r="AO229" s="13">
        <f ca="1">AI229*-Valores!$C$56</f>
        <v>-164.83878666666669</v>
      </c>
      <c r="AP229" s="13">
        <f ca="1">AI229*-Valores!$C$57</f>
        <v>-6.3399533333333338</v>
      </c>
      <c r="AQ229" s="78">
        <f ca="1">AI229*-Valores!$C$58</f>
        <v>-57.059580000000004</v>
      </c>
      <c r="AR229" s="78">
        <f ca="1">AI229*-Valores!$C$59</f>
        <v>-34.235748000000008</v>
      </c>
      <c r="AS229" s="78">
        <f ca="1">AI229*-Valores!$C$60</f>
        <v>-3.8039720000000004</v>
      </c>
      <c r="AT229" s="15">
        <f t="shared" ca="1" si="35"/>
        <v>1067.8723466666665</v>
      </c>
      <c r="AU229" s="15">
        <f t="shared" ca="1" si="36"/>
        <v>1086.8922066666667</v>
      </c>
      <c r="AV229" s="78">
        <f ca="1">AI229*Valores!$C$61</f>
        <v>202.87850666666668</v>
      </c>
      <c r="AW229" s="78">
        <f ca="1">AI229*Valores!$C$62</f>
        <v>57.059580000000004</v>
      </c>
      <c r="AX229" s="78">
        <f ca="1">AI229*Valores!$C$64</f>
        <v>12.679906666666668</v>
      </c>
      <c r="AY229" s="78">
        <f ca="1">AI229*Valores!$C$65</f>
        <v>44.379673333333344</v>
      </c>
      <c r="AZ229" s="78">
        <f ca="1">AI229*Valores!$C$66</f>
        <v>7.6079440000000007</v>
      </c>
      <c r="BA229" s="78">
        <f t="shared" ca="1" si="39"/>
        <v>68.471496000000016</v>
      </c>
      <c r="BB229" s="20"/>
      <c r="BC229" s="55">
        <f t="shared" ca="1" si="43"/>
        <v>4</v>
      </c>
      <c r="BD229" s="9" t="s">
        <v>467</v>
      </c>
    </row>
    <row r="230" spans="1:56" s="9" customFormat="1" ht="11.25" customHeight="1" x14ac:dyDescent="0.15">
      <c r="A230" s="20">
        <v>229</v>
      </c>
      <c r="B230" s="20"/>
      <c r="C230" s="9" t="s">
        <v>355</v>
      </c>
      <c r="D230" s="9">
        <v>1</v>
      </c>
      <c r="E230" s="10" t="str">
        <f ca="1">CONCATENATE("Hora Cátedra Enseñanza Media ",D230," hs Esc Esp")</f>
        <v>Hora Cátedra Enseñanza Media 1 hs Esc Esp</v>
      </c>
      <c r="F230" s="123">
        <f t="shared" ca="1" si="44"/>
        <v>79</v>
      </c>
      <c r="G230" s="7">
        <f ca="1">INT((F230*Valores!$C$2*100)+0.5)/100</f>
        <v>405.64</v>
      </c>
      <c r="H230" s="134">
        <v>0</v>
      </c>
      <c r="I230" s="77">
        <f ca="1">INT((H230*Valores!$C$2*100)+0.5)/100</f>
        <v>0</v>
      </c>
      <c r="J230" s="147">
        <v>0</v>
      </c>
      <c r="K230" s="77">
        <f ca="1">INT((J230*Valores!$C$2*100)+0.5)/100</f>
        <v>0</v>
      </c>
      <c r="L230" s="120">
        <v>0</v>
      </c>
      <c r="M230" s="77">
        <f ca="1">INT((L230*Valores!$C$2*100)+0.5)/100</f>
        <v>0</v>
      </c>
      <c r="N230" s="77">
        <f t="shared" ca="1" si="40"/>
        <v>0</v>
      </c>
      <c r="O230" s="77">
        <f t="shared" ca="1" si="41"/>
        <v>437.28</v>
      </c>
      <c r="P230" s="61">
        <f ca="1">Valores!$C$14*D230</f>
        <v>114.82</v>
      </c>
      <c r="Q230" s="61">
        <f ca="1">IF(D230&lt;15,(Valores!$E$4*D230),Valores!$D$4)</f>
        <v>153.12</v>
      </c>
      <c r="R230" s="77">
        <v>0</v>
      </c>
      <c r="S230" s="79">
        <f ca="1">Valores!$C$45*D230</f>
        <v>31.64</v>
      </c>
      <c r="T230" s="61">
        <f ca="1">Valores!$C$22*D230</f>
        <v>46.43</v>
      </c>
      <c r="U230" s="77">
        <f t="shared" ca="1" si="30"/>
        <v>92.86</v>
      </c>
      <c r="V230" s="77">
        <v>0</v>
      </c>
      <c r="W230" s="77">
        <v>0</v>
      </c>
      <c r="X230" s="37">
        <v>0</v>
      </c>
      <c r="Y230" s="77">
        <f ca="1">X230*Valores!$C$2</f>
        <v>0</v>
      </c>
      <c r="Z230" s="77">
        <v>0</v>
      </c>
      <c r="AA230" s="89">
        <f ca="1">(Valores!$C$32)*D230</f>
        <v>5.28</v>
      </c>
      <c r="AB230" s="77">
        <f t="shared" ca="1" si="34"/>
        <v>0</v>
      </c>
      <c r="AC230" s="77">
        <f ca="1">Valores!$C$33*D230</f>
        <v>4.3899999999999997</v>
      </c>
      <c r="AD230" s="116">
        <v>94</v>
      </c>
      <c r="AE230" s="77">
        <f ca="1">INT(((AD230*Valores!$C$2)*100)+0.5)/100</f>
        <v>482.66</v>
      </c>
      <c r="AF230" s="77">
        <f ca="1">Valores!$D$51*D230</f>
        <v>17.858000000000001</v>
      </c>
      <c r="AG230" s="77">
        <f ca="1">Valores!$D$52*D230</f>
        <v>5.1026666666666669</v>
      </c>
      <c r="AH230" s="77">
        <f ca="1">SUM(G230,I230,K230,M230,N230,O230,P230,Q230,R230,S230,U230,V230,W230,Y230,Z230,AA230,AB230,AC230,AE230,AF230,AG230)*Valores!$C$54</f>
        <v>0</v>
      </c>
      <c r="AI230" s="141">
        <f t="shared" ca="1" si="37"/>
        <v>1750.6506666666669</v>
      </c>
      <c r="AJ230" s="61">
        <f ca="1">Valores!$C$36*D230</f>
        <v>12.13</v>
      </c>
      <c r="AK230" s="79">
        <f ca="1">Valores!$C$11*D230</f>
        <v>8.51</v>
      </c>
      <c r="AL230" s="89">
        <f ca="1">7.48*D230</f>
        <v>7.48</v>
      </c>
      <c r="AM230" s="79">
        <f ca="1">IF($G$4="SI",SUM(AK230+AL230),AK230)*Valores!$C$54</f>
        <v>0</v>
      </c>
      <c r="AN230" s="12">
        <f t="shared" ca="1" si="38"/>
        <v>28.12</v>
      </c>
      <c r="AO230" s="13">
        <f ca="1">AI230*-Valores!$C$56</f>
        <v>-227.5845866666667</v>
      </c>
      <c r="AP230" s="13">
        <f ca="1">AI230*-Valores!$C$57</f>
        <v>-8.7532533333333351</v>
      </c>
      <c r="AQ230" s="78">
        <f ca="1">AI230*-Valores!$C$58</f>
        <v>-78.779280000000014</v>
      </c>
      <c r="AR230" s="78">
        <f ca="1">AI230*-Valores!$C$59</f>
        <v>-47.267568000000011</v>
      </c>
      <c r="AS230" s="78">
        <f ca="1">AI230*-Valores!$C$60</f>
        <v>-5.2519520000000011</v>
      </c>
      <c r="AT230" s="15">
        <f t="shared" ca="1" si="35"/>
        <v>1463.6535466666669</v>
      </c>
      <c r="AU230" s="15">
        <f t="shared" ca="1" si="36"/>
        <v>1489.9133066666668</v>
      </c>
      <c r="AV230" s="78">
        <f ca="1">AI230*Valores!$C$61</f>
        <v>280.10410666666672</v>
      </c>
      <c r="AW230" s="78">
        <f ca="1">AI230*Valores!$C$62</f>
        <v>78.779280000000014</v>
      </c>
      <c r="AX230" s="78">
        <f ca="1">AI230*Valores!$C$64</f>
        <v>17.50650666666667</v>
      </c>
      <c r="AY230" s="78">
        <f ca="1">AI230*Valores!$C$65</f>
        <v>61.272773333333348</v>
      </c>
      <c r="AZ230" s="78">
        <f ca="1">AI230*Valores!$C$66</f>
        <v>10.503904000000002</v>
      </c>
      <c r="BA230" s="78">
        <f t="shared" ca="1" si="39"/>
        <v>94.535136000000023</v>
      </c>
      <c r="BB230" s="20"/>
      <c r="BC230" s="20">
        <f t="shared" ca="1" si="43"/>
        <v>4</v>
      </c>
      <c r="BD230" s="9" t="s">
        <v>467</v>
      </c>
    </row>
    <row r="231" spans="1:56" s="9" customFormat="1" ht="11.25" customHeight="1" x14ac:dyDescent="0.15">
      <c r="A231" s="55">
        <v>230</v>
      </c>
      <c r="B231" s="55" t="s">
        <v>462</v>
      </c>
      <c r="C231" s="52" t="s">
        <v>355</v>
      </c>
      <c r="D231" s="52">
        <v>2</v>
      </c>
      <c r="E231" s="53" t="str">
        <f ca="1">CONCATENATE("Hora Cátedra Enseñanza Media ",D231," hs")</f>
        <v>Hora Cátedra Enseñanza Media 2 hs</v>
      </c>
      <c r="F231" s="124">
        <f t="shared" ca="1" si="44"/>
        <v>158</v>
      </c>
      <c r="G231" s="129">
        <f ca="1">INT((F231*Valores!$C$2*100)+0.5)/100</f>
        <v>811.28</v>
      </c>
      <c r="H231" s="133">
        <v>0</v>
      </c>
      <c r="I231" s="80">
        <f ca="1">INT((H231*Valores!$C$2*100)+0.5)/100</f>
        <v>0</v>
      </c>
      <c r="J231" s="148">
        <v>0</v>
      </c>
      <c r="K231" s="80">
        <f ca="1">INT((J231*Valores!$C$2*100)+0.5)/100</f>
        <v>0</v>
      </c>
      <c r="L231" s="121">
        <v>0</v>
      </c>
      <c r="M231" s="80">
        <f ca="1">INT((L231*Valores!$C$2*100)+0.5)/100</f>
        <v>0</v>
      </c>
      <c r="N231" s="80">
        <f t="shared" ca="1" si="40"/>
        <v>0</v>
      </c>
      <c r="O231" s="80">
        <f t="shared" ca="1" si="41"/>
        <v>874.56</v>
      </c>
      <c r="P231" s="85">
        <f ca="1">Valores!$C$14*D231</f>
        <v>229.64</v>
      </c>
      <c r="Q231" s="85">
        <f ca="1">IF(D231&lt;15,(Valores!$E$4*D231),Valores!$D$4)</f>
        <v>306.24</v>
      </c>
      <c r="R231" s="80">
        <v>0</v>
      </c>
      <c r="S231" s="82">
        <f ca="1">Valores!$C$45*D231</f>
        <v>63.28</v>
      </c>
      <c r="T231" s="85">
        <f ca="1">Valores!$C$22*D231</f>
        <v>92.86</v>
      </c>
      <c r="U231" s="80">
        <f t="shared" ca="1" si="30"/>
        <v>185.72</v>
      </c>
      <c r="V231" s="80">
        <v>0</v>
      </c>
      <c r="W231" s="80">
        <v>0</v>
      </c>
      <c r="X231" s="60">
        <v>0</v>
      </c>
      <c r="Y231" s="80">
        <f ca="1">X231*Valores!$C$2</f>
        <v>0</v>
      </c>
      <c r="Z231" s="80">
        <v>0</v>
      </c>
      <c r="AA231" s="90">
        <f ca="1">(Valores!$C$32)*D231</f>
        <v>10.56</v>
      </c>
      <c r="AB231" s="80">
        <f t="shared" ca="1" si="34"/>
        <v>0</v>
      </c>
      <c r="AC231" s="80">
        <f ca="1">Valores!$C$33*D231</f>
        <v>8.7799999999999994</v>
      </c>
      <c r="AD231" s="115">
        <v>0</v>
      </c>
      <c r="AE231" s="80">
        <f ca="1">INT(((AD231*Valores!$C$2)*100)+0.5)/100</f>
        <v>0</v>
      </c>
      <c r="AF231" s="80">
        <f ca="1">Valores!$D$51*D231</f>
        <v>35.716000000000001</v>
      </c>
      <c r="AG231" s="80">
        <f ca="1">Valores!$D$52*D231</f>
        <v>10.205333333333334</v>
      </c>
      <c r="AH231" s="80">
        <f ca="1">SUM(G231,I231,K231,M231,N231,O231,P231,Q231,R231,S231,U231,V231,W231,Y231,Z231,AA231,AB231,AC231,AE231,AF231,AG231)*Valores!$C$54</f>
        <v>0</v>
      </c>
      <c r="AI231" s="142">
        <f t="shared" ca="1" si="37"/>
        <v>2535.9813333333336</v>
      </c>
      <c r="AJ231" s="85">
        <f ca="1">Valores!$C$36*D231</f>
        <v>24.26</v>
      </c>
      <c r="AK231" s="82">
        <f ca="1">Valores!$C$11*D231</f>
        <v>17.02</v>
      </c>
      <c r="AL231" s="90">
        <f ca="1">7.4845*D231</f>
        <v>14.968999999999999</v>
      </c>
      <c r="AM231" s="82">
        <f ca="1">IF($G$4="SI",SUM(AK231+AL231),AK231)*Valores!$C$54</f>
        <v>0</v>
      </c>
      <c r="AN231" s="186">
        <f t="shared" ca="1" si="38"/>
        <v>56.249000000000002</v>
      </c>
      <c r="AO231" s="155">
        <f ca="1">AI231*-Valores!$C$56</f>
        <v>-329.67757333333338</v>
      </c>
      <c r="AP231" s="155">
        <f ca="1">AI231*-Valores!$C$57</f>
        <v>-12.679906666666668</v>
      </c>
      <c r="AQ231" s="81">
        <f ca="1">AI231*-Valores!$C$58</f>
        <v>-114.11916000000001</v>
      </c>
      <c r="AR231" s="81">
        <f ca="1">AI231*-Valores!$C$59</f>
        <v>-68.471496000000016</v>
      </c>
      <c r="AS231" s="81">
        <f ca="1">AI231*-Valores!$C$60</f>
        <v>-7.6079440000000007</v>
      </c>
      <c r="AT231" s="54">
        <f t="shared" ca="1" si="35"/>
        <v>2135.7536933333331</v>
      </c>
      <c r="AU231" s="54">
        <f t="shared" ca="1" si="36"/>
        <v>2173.7934133333333</v>
      </c>
      <c r="AV231" s="81">
        <f ca="1">AI231*Valores!$C$61</f>
        <v>405.75701333333336</v>
      </c>
      <c r="AW231" s="81">
        <f ca="1">AI231*Valores!$C$62</f>
        <v>114.11916000000001</v>
      </c>
      <c r="AX231" s="81">
        <f ca="1">AI231*Valores!$C$64</f>
        <v>25.359813333333335</v>
      </c>
      <c r="AY231" s="81">
        <f ca="1">AI231*Valores!$C$65</f>
        <v>88.759346666666687</v>
      </c>
      <c r="AZ231" s="81">
        <f ca="1">AI231*Valores!$C$66</f>
        <v>15.215888000000001</v>
      </c>
      <c r="BA231" s="81">
        <f t="shared" ca="1" si="39"/>
        <v>136.94299200000003</v>
      </c>
      <c r="BB231" s="55"/>
      <c r="BC231" s="55">
        <f t="shared" ca="1" si="43"/>
        <v>8</v>
      </c>
      <c r="BD231" s="52" t="s">
        <v>467</v>
      </c>
    </row>
    <row r="232" spans="1:56" s="9" customFormat="1" ht="11.25" customHeight="1" x14ac:dyDescent="0.15">
      <c r="A232" s="20">
        <v>231</v>
      </c>
      <c r="B232" s="20"/>
      <c r="C232" s="9" t="s">
        <v>355</v>
      </c>
      <c r="D232" s="9">
        <v>2</v>
      </c>
      <c r="E232" s="10" t="str">
        <f ca="1">CONCATENATE("Hora Cátedra Enseñanza Media ",D232," hs Esc Esp")</f>
        <v>Hora Cátedra Enseñanza Media 2 hs Esc Esp</v>
      </c>
      <c r="F232" s="123">
        <f t="shared" ca="1" si="44"/>
        <v>158</v>
      </c>
      <c r="G232" s="7">
        <f ca="1">INT((F232*Valores!$C$2*100)+0.5)/100</f>
        <v>811.28</v>
      </c>
      <c r="H232" s="134">
        <v>0</v>
      </c>
      <c r="I232" s="77">
        <f ca="1">INT((H232*Valores!$C$2*100)+0.5)/100</f>
        <v>0</v>
      </c>
      <c r="J232" s="147">
        <v>0</v>
      </c>
      <c r="K232" s="77">
        <f ca="1">INT((J232*Valores!$C$2*100)+0.5)/100</f>
        <v>0</v>
      </c>
      <c r="L232" s="120">
        <v>0</v>
      </c>
      <c r="M232" s="77">
        <f ca="1">INT((L232*Valores!$C$2*100)+0.5)/100</f>
        <v>0</v>
      </c>
      <c r="N232" s="77">
        <f t="shared" ca="1" si="40"/>
        <v>0</v>
      </c>
      <c r="O232" s="77">
        <f t="shared" ca="1" si="41"/>
        <v>874.56</v>
      </c>
      <c r="P232" s="61">
        <f ca="1">Valores!$C$14*D232</f>
        <v>229.64</v>
      </c>
      <c r="Q232" s="61">
        <f ca="1">IF(D232&lt;15,(Valores!$E$4*D232),Valores!$D$4)</f>
        <v>306.24</v>
      </c>
      <c r="R232" s="77">
        <v>0</v>
      </c>
      <c r="S232" s="79">
        <f ca="1">Valores!$C$45*D232</f>
        <v>63.28</v>
      </c>
      <c r="T232" s="61">
        <f ca="1">Valores!$C$22*D232</f>
        <v>92.86</v>
      </c>
      <c r="U232" s="77">
        <f t="shared" ca="1" si="30"/>
        <v>185.72</v>
      </c>
      <c r="V232" s="77">
        <v>0</v>
      </c>
      <c r="W232" s="77">
        <v>0</v>
      </c>
      <c r="X232" s="37">
        <v>0</v>
      </c>
      <c r="Y232" s="77">
        <f ca="1">X232*Valores!$C$2</f>
        <v>0</v>
      </c>
      <c r="Z232" s="77">
        <v>0</v>
      </c>
      <c r="AA232" s="89">
        <f ca="1">(Valores!$C$32)*D232</f>
        <v>10.56</v>
      </c>
      <c r="AB232" s="77">
        <f t="shared" ca="1" si="34"/>
        <v>0</v>
      </c>
      <c r="AC232" s="77">
        <f ca="1">Valores!$C$33*D232</f>
        <v>8.7799999999999994</v>
      </c>
      <c r="AD232" s="116">
        <v>94</v>
      </c>
      <c r="AE232" s="77">
        <f ca="1">INT(((AD232*Valores!$C$2)*100)+0.5)/100</f>
        <v>482.66</v>
      </c>
      <c r="AF232" s="77">
        <f ca="1">Valores!$D$51*D232</f>
        <v>35.716000000000001</v>
      </c>
      <c r="AG232" s="77">
        <f ca="1">Valores!$D$52*D232</f>
        <v>10.205333333333334</v>
      </c>
      <c r="AH232" s="77">
        <f ca="1">SUM(G232,I232,K232,M232,N232,O232,P232,Q232,R232,S232,U232,V232,W232,Y232,Z232,AA232,AB232,AC232,AE232,AF232,AG232)*Valores!$C$54</f>
        <v>0</v>
      </c>
      <c r="AI232" s="141">
        <f t="shared" ca="1" si="37"/>
        <v>3018.6413333333335</v>
      </c>
      <c r="AJ232" s="61">
        <f ca="1">Valores!$C$36*D232</f>
        <v>24.26</v>
      </c>
      <c r="AK232" s="79">
        <f ca="1">Valores!$C$11*D232</f>
        <v>17.02</v>
      </c>
      <c r="AL232" s="89">
        <f ca="1">7.4845*D232</f>
        <v>14.968999999999999</v>
      </c>
      <c r="AM232" s="79">
        <f ca="1">IF($G$4="SI",SUM(AK232+AL232),AK232)*Valores!$C$54</f>
        <v>0</v>
      </c>
      <c r="AN232" s="12">
        <f t="shared" ca="1" si="38"/>
        <v>56.249000000000002</v>
      </c>
      <c r="AO232" s="13">
        <f ca="1">AI232*-Valores!$C$56</f>
        <v>-392.42337333333336</v>
      </c>
      <c r="AP232" s="13">
        <f ca="1">AI232*-Valores!$C$57</f>
        <v>-15.093206666666667</v>
      </c>
      <c r="AQ232" s="78">
        <f ca="1">AI232*-Valores!$C$58</f>
        <v>-135.83886000000001</v>
      </c>
      <c r="AR232" s="78">
        <f ca="1">AI232*-Valores!$C$59</f>
        <v>-81.503316000000012</v>
      </c>
      <c r="AS232" s="78">
        <f ca="1">AI232*-Valores!$C$60</f>
        <v>-9.055924000000001</v>
      </c>
      <c r="AT232" s="15">
        <f t="shared" ca="1" si="35"/>
        <v>2531.5348933333335</v>
      </c>
      <c r="AU232" s="15">
        <f t="shared" ca="1" si="36"/>
        <v>2576.8145133333337</v>
      </c>
      <c r="AV232" s="78">
        <f ca="1">AI232*Valores!$C$61</f>
        <v>482.98261333333335</v>
      </c>
      <c r="AW232" s="78">
        <f ca="1">AI232*Valores!$C$62</f>
        <v>135.83886000000001</v>
      </c>
      <c r="AX232" s="78">
        <f ca="1">AI232*Valores!$C$64</f>
        <v>30.186413333333334</v>
      </c>
      <c r="AY232" s="78">
        <f ca="1">AI232*Valores!$C$65</f>
        <v>105.65244666666668</v>
      </c>
      <c r="AZ232" s="78">
        <f ca="1">AI232*Valores!$C$66</f>
        <v>18.111848000000002</v>
      </c>
      <c r="BA232" s="78">
        <f t="shared" ca="1" si="39"/>
        <v>163.00663200000002</v>
      </c>
      <c r="BB232" s="20"/>
      <c r="BC232" s="20">
        <f t="shared" ca="1" si="43"/>
        <v>8</v>
      </c>
      <c r="BD232" s="9" t="s">
        <v>467</v>
      </c>
    </row>
    <row r="233" spans="1:56" s="9" customFormat="1" ht="11.25" customHeight="1" x14ac:dyDescent="0.15">
      <c r="A233" s="20">
        <v>232</v>
      </c>
      <c r="B233" s="20"/>
      <c r="C233" s="9" t="s">
        <v>355</v>
      </c>
      <c r="D233" s="9">
        <v>3</v>
      </c>
      <c r="E233" s="10" t="str">
        <f ca="1">CONCATENATE("Hora Cátedra Enseñanza Media ",D233," hs")</f>
        <v>Hora Cátedra Enseñanza Media 3 hs</v>
      </c>
      <c r="F233" s="123">
        <f t="shared" ca="1" si="44"/>
        <v>237</v>
      </c>
      <c r="G233" s="7">
        <f ca="1">INT((F233*Valores!$C$2*100)+0.5)/100</f>
        <v>1216.92</v>
      </c>
      <c r="H233" s="134">
        <v>0</v>
      </c>
      <c r="I233" s="77">
        <f ca="1">INT((H233*Valores!$C$2*100)+0.5)/100</f>
        <v>0</v>
      </c>
      <c r="J233" s="147">
        <v>0</v>
      </c>
      <c r="K233" s="77">
        <f ca="1">INT((J233*Valores!$C$2*100)+0.5)/100</f>
        <v>0</v>
      </c>
      <c r="L233" s="120">
        <v>0</v>
      </c>
      <c r="M233" s="77">
        <f ca="1">INT((L233*Valores!$C$2*100)+0.5)/100</f>
        <v>0</v>
      </c>
      <c r="N233" s="77">
        <f t="shared" ca="1" si="40"/>
        <v>0</v>
      </c>
      <c r="O233" s="77">
        <f t="shared" ca="1" si="41"/>
        <v>1311.8400000000001</v>
      </c>
      <c r="P233" s="61">
        <f ca="1">Valores!$C$14*D233</f>
        <v>344.46</v>
      </c>
      <c r="Q233" s="61">
        <f ca="1">IF(D233&lt;15,(Valores!$E$4*D233),Valores!$D$4)</f>
        <v>459.36</v>
      </c>
      <c r="R233" s="77">
        <v>0</v>
      </c>
      <c r="S233" s="79">
        <f ca="1">Valores!$C$45*D233</f>
        <v>94.92</v>
      </c>
      <c r="T233" s="61">
        <f ca="1">Valores!$C$22*D233</f>
        <v>139.29</v>
      </c>
      <c r="U233" s="77">
        <f t="shared" ca="1" si="30"/>
        <v>278.58</v>
      </c>
      <c r="V233" s="77">
        <v>0</v>
      </c>
      <c r="W233" s="77">
        <v>0</v>
      </c>
      <c r="X233" s="37">
        <v>0</v>
      </c>
      <c r="Y233" s="77">
        <f ca="1">X233*Valores!$C$2</f>
        <v>0</v>
      </c>
      <c r="Z233" s="77">
        <v>0</v>
      </c>
      <c r="AA233" s="89">
        <f ca="1">(Valores!$C$32)*D233</f>
        <v>15.84</v>
      </c>
      <c r="AB233" s="77">
        <f t="shared" ca="1" si="34"/>
        <v>0</v>
      </c>
      <c r="AC233" s="77">
        <f ca="1">Valores!$C$33*D233</f>
        <v>13.169999999999998</v>
      </c>
      <c r="AD233" s="116">
        <v>0</v>
      </c>
      <c r="AE233" s="77">
        <f ca="1">INT(((AD233*Valores!$C$2)*100)+0.5)/100</f>
        <v>0</v>
      </c>
      <c r="AF233" s="77">
        <f ca="1">Valores!$D$51*D233</f>
        <v>53.573999999999998</v>
      </c>
      <c r="AG233" s="77">
        <f ca="1">Valores!$D$52*D233</f>
        <v>15.308</v>
      </c>
      <c r="AH233" s="77">
        <f ca="1">SUM(G233,I233,K233,M233,N233,O233,P233,Q233,R233,S233,U233,V233,W233,Y233,Z233,AA233,AB233,AC233,AE233,AF233,AG233)*Valores!$C$54</f>
        <v>0</v>
      </c>
      <c r="AI233" s="141">
        <f t="shared" ca="1" si="37"/>
        <v>3803.9720000000007</v>
      </c>
      <c r="AJ233" s="61">
        <f ca="1">Valores!$C$36*D233</f>
        <v>36.39</v>
      </c>
      <c r="AK233" s="79">
        <f ca="1">Valores!$C$11*D233</f>
        <v>25.53</v>
      </c>
      <c r="AL233" s="89">
        <f ca="1">7.4845*D233</f>
        <v>22.453499999999998</v>
      </c>
      <c r="AM233" s="79">
        <f ca="1">IF($G$4="SI",SUM(AK233+AL233),AK233)*Valores!$C$54</f>
        <v>0</v>
      </c>
      <c r="AN233" s="12">
        <f t="shared" ca="1" si="38"/>
        <v>84.373500000000007</v>
      </c>
      <c r="AO233" s="13">
        <f ca="1">AI233*-Valores!$C$56</f>
        <v>-494.51636000000008</v>
      </c>
      <c r="AP233" s="13">
        <f ca="1">AI233*-Valores!$C$57</f>
        <v>-19.019860000000005</v>
      </c>
      <c r="AQ233" s="78">
        <f ca="1">AI233*-Valores!$C$58</f>
        <v>-171.17874000000003</v>
      </c>
      <c r="AR233" s="78">
        <f ca="1">AI233*-Valores!$C$59</f>
        <v>-102.70724400000003</v>
      </c>
      <c r="AS233" s="78">
        <f ca="1">AI233*-Valores!$C$60</f>
        <v>-11.411916000000002</v>
      </c>
      <c r="AT233" s="15">
        <f t="shared" ca="1" si="35"/>
        <v>3203.630540000001</v>
      </c>
      <c r="AU233" s="15">
        <f t="shared" ca="1" si="36"/>
        <v>3260.6901200000007</v>
      </c>
      <c r="AV233" s="78">
        <f ca="1">AI233*Valores!$C$61</f>
        <v>608.63552000000016</v>
      </c>
      <c r="AW233" s="78">
        <f ca="1">AI233*Valores!$C$62</f>
        <v>171.17874000000003</v>
      </c>
      <c r="AX233" s="78">
        <f ca="1">AI233*Valores!$C$64</f>
        <v>38.03972000000001</v>
      </c>
      <c r="AY233" s="78">
        <f ca="1">AI233*Valores!$C$65</f>
        <v>133.13902000000004</v>
      </c>
      <c r="AZ233" s="78">
        <f ca="1">AI233*Valores!$C$66</f>
        <v>22.823832000000003</v>
      </c>
      <c r="BA233" s="78">
        <f t="shared" ca="1" si="39"/>
        <v>205.41448800000006</v>
      </c>
      <c r="BB233" s="20"/>
      <c r="BC233" s="20">
        <f t="shared" ca="1" si="43"/>
        <v>12</v>
      </c>
      <c r="BD233" s="9" t="s">
        <v>467</v>
      </c>
    </row>
    <row r="234" spans="1:56" s="9" customFormat="1" ht="11.25" customHeight="1" x14ac:dyDescent="0.15">
      <c r="A234" s="20">
        <v>233</v>
      </c>
      <c r="B234" s="20"/>
      <c r="C234" s="9" t="s">
        <v>355</v>
      </c>
      <c r="D234" s="9">
        <v>3</v>
      </c>
      <c r="E234" s="10" t="str">
        <f ca="1">CONCATENATE("Hora Cátedra Enseñanza Media ",D234," hs Esc Esp")</f>
        <v>Hora Cátedra Enseñanza Media 3 hs Esc Esp</v>
      </c>
      <c r="F234" s="123">
        <f t="shared" ca="1" si="44"/>
        <v>237</v>
      </c>
      <c r="G234" s="7">
        <f ca="1">INT((F234*Valores!$C$2*100)+0.5)/100</f>
        <v>1216.92</v>
      </c>
      <c r="H234" s="134">
        <v>0</v>
      </c>
      <c r="I234" s="77">
        <f ca="1">INT((H234*Valores!$C$2*100)+0.5)/100</f>
        <v>0</v>
      </c>
      <c r="J234" s="147">
        <v>0</v>
      </c>
      <c r="K234" s="77">
        <f ca="1">INT((J234*Valores!$C$2*100)+0.5)/100</f>
        <v>0</v>
      </c>
      <c r="L234" s="120">
        <v>0</v>
      </c>
      <c r="M234" s="77">
        <f ca="1">INT((L234*Valores!$C$2*100)+0.5)/100</f>
        <v>0</v>
      </c>
      <c r="N234" s="77">
        <f t="shared" ca="1" si="40"/>
        <v>0</v>
      </c>
      <c r="O234" s="77">
        <f t="shared" ca="1" si="41"/>
        <v>1311.8400000000001</v>
      </c>
      <c r="P234" s="61">
        <f ca="1">Valores!$C$14*D234</f>
        <v>344.46</v>
      </c>
      <c r="Q234" s="61">
        <f ca="1">IF(D234&lt;15,(Valores!$E$4*D234),Valores!$D$4)</f>
        <v>459.36</v>
      </c>
      <c r="R234" s="77">
        <v>0</v>
      </c>
      <c r="S234" s="79">
        <f ca="1">Valores!$C$45*D234</f>
        <v>94.92</v>
      </c>
      <c r="T234" s="61">
        <f ca="1">Valores!$C$22*D234</f>
        <v>139.29</v>
      </c>
      <c r="U234" s="77">
        <f t="shared" ca="1" si="30"/>
        <v>278.58</v>
      </c>
      <c r="V234" s="77">
        <v>0</v>
      </c>
      <c r="W234" s="77">
        <v>0</v>
      </c>
      <c r="X234" s="37">
        <v>0</v>
      </c>
      <c r="Y234" s="77">
        <f ca="1">X234*Valores!$C$2</f>
        <v>0</v>
      </c>
      <c r="Z234" s="77">
        <v>0</v>
      </c>
      <c r="AA234" s="89">
        <f ca="1">(Valores!$C$32)*D234</f>
        <v>15.84</v>
      </c>
      <c r="AB234" s="77">
        <f t="shared" ca="1" si="34"/>
        <v>0</v>
      </c>
      <c r="AC234" s="77">
        <f ca="1">Valores!$C$33*D234</f>
        <v>13.169999999999998</v>
      </c>
      <c r="AD234" s="116">
        <v>94</v>
      </c>
      <c r="AE234" s="77">
        <f ca="1">INT(((AD234*Valores!$C$2)*100)+0.5)/100</f>
        <v>482.66</v>
      </c>
      <c r="AF234" s="77">
        <f ca="1">Valores!$D$51*D234</f>
        <v>53.573999999999998</v>
      </c>
      <c r="AG234" s="77">
        <f ca="1">Valores!$D$52*D234</f>
        <v>15.308</v>
      </c>
      <c r="AH234" s="77">
        <f ca="1">SUM(G234,I234,K234,M234,N234,O234,P234,Q234,R234,S234,U234,V234,W234,Y234,Z234,AA234,AB234,AC234,AE234,AF234,AG234)*Valores!$C$54</f>
        <v>0</v>
      </c>
      <c r="AI234" s="141">
        <f t="shared" ca="1" si="37"/>
        <v>4286.6320000000005</v>
      </c>
      <c r="AJ234" s="61">
        <f ca="1">Valores!$C$36*D234</f>
        <v>36.39</v>
      </c>
      <c r="AK234" s="79">
        <f ca="1">Valores!$C$11*D234</f>
        <v>25.53</v>
      </c>
      <c r="AL234" s="89">
        <f ca="1">7.4845*D234</f>
        <v>22.453499999999998</v>
      </c>
      <c r="AM234" s="79">
        <f ca="1">IF($G$4="SI",SUM(AK234+AL234),AK234)*Valores!$C$54</f>
        <v>0</v>
      </c>
      <c r="AN234" s="12">
        <f t="shared" ca="1" si="38"/>
        <v>84.373500000000007</v>
      </c>
      <c r="AO234" s="13">
        <f ca="1">AI234*-Valores!$C$56</f>
        <v>-557.26216000000011</v>
      </c>
      <c r="AP234" s="13">
        <f ca="1">AI234*-Valores!$C$57</f>
        <v>-21.433160000000004</v>
      </c>
      <c r="AQ234" s="78">
        <f ca="1">AI234*-Valores!$C$58</f>
        <v>-192.89844000000002</v>
      </c>
      <c r="AR234" s="78">
        <f ca="1">AI234*-Valores!$C$59</f>
        <v>-115.73906400000003</v>
      </c>
      <c r="AS234" s="78">
        <f ca="1">AI234*-Valores!$C$60</f>
        <v>-12.859896000000003</v>
      </c>
      <c r="AT234" s="15">
        <f t="shared" ca="1" si="35"/>
        <v>3599.4117400000005</v>
      </c>
      <c r="AU234" s="15">
        <f t="shared" ca="1" si="36"/>
        <v>3663.7112200000001</v>
      </c>
      <c r="AV234" s="78">
        <f ca="1">AI234*Valores!$C$61</f>
        <v>685.86112000000014</v>
      </c>
      <c r="AW234" s="78">
        <f ca="1">AI234*Valores!$C$62</f>
        <v>192.89844000000002</v>
      </c>
      <c r="AX234" s="78">
        <f ca="1">AI234*Valores!$C$64</f>
        <v>42.866320000000009</v>
      </c>
      <c r="AY234" s="78">
        <f ca="1">AI234*Valores!$C$65</f>
        <v>150.03212000000002</v>
      </c>
      <c r="AZ234" s="78">
        <f ca="1">AI234*Valores!$C$66</f>
        <v>25.719792000000005</v>
      </c>
      <c r="BA234" s="78">
        <f t="shared" ca="1" si="39"/>
        <v>231.47812800000003</v>
      </c>
      <c r="BB234" s="20"/>
      <c r="BC234" s="55">
        <f t="shared" ca="1" si="43"/>
        <v>12</v>
      </c>
      <c r="BD234" s="9" t="s">
        <v>467</v>
      </c>
    </row>
    <row r="235" spans="1:56" s="9" customFormat="1" ht="11.25" customHeight="1" x14ac:dyDescent="0.15">
      <c r="A235" s="20">
        <v>234</v>
      </c>
      <c r="B235" s="20"/>
      <c r="C235" s="9" t="s">
        <v>355</v>
      </c>
      <c r="D235" s="9">
        <v>4</v>
      </c>
      <c r="E235" s="10" t="str">
        <f ca="1">CONCATENATE("Hora Cátedra Enseñanza Media ",D235," hs")</f>
        <v>Hora Cátedra Enseñanza Media 4 hs</v>
      </c>
      <c r="F235" s="123">
        <f t="shared" ca="1" si="44"/>
        <v>316</v>
      </c>
      <c r="G235" s="7">
        <f ca="1">INT((F235*Valores!$C$2*100)+0.5)/100</f>
        <v>1622.57</v>
      </c>
      <c r="H235" s="134">
        <v>0</v>
      </c>
      <c r="I235" s="77">
        <f ca="1">INT((H235*Valores!$C$2*100)+0.5)/100</f>
        <v>0</v>
      </c>
      <c r="J235" s="147">
        <v>0</v>
      </c>
      <c r="K235" s="77">
        <f ca="1">INT((J235*Valores!$C$2*100)+0.5)/100</f>
        <v>0</v>
      </c>
      <c r="L235" s="120">
        <v>0</v>
      </c>
      <c r="M235" s="77">
        <f ca="1">INT((L235*Valores!$C$2*100)+0.5)/100</f>
        <v>0</v>
      </c>
      <c r="N235" s="77">
        <f t="shared" ca="1" si="40"/>
        <v>0</v>
      </c>
      <c r="O235" s="77">
        <f t="shared" ca="1" si="41"/>
        <v>1749.1299999999999</v>
      </c>
      <c r="P235" s="61">
        <f ca="1">Valores!$C$14*D235</f>
        <v>459.28</v>
      </c>
      <c r="Q235" s="61">
        <f ca="1">IF(D235&lt;15,(Valores!$E$4*D235),Valores!$D$4)</f>
        <v>612.48</v>
      </c>
      <c r="R235" s="77">
        <v>0</v>
      </c>
      <c r="S235" s="79">
        <f ca="1">Valores!$C$45*D235</f>
        <v>126.56</v>
      </c>
      <c r="T235" s="61">
        <f ca="1">Valores!$C$22*D235</f>
        <v>185.72</v>
      </c>
      <c r="U235" s="77">
        <f t="shared" ca="1" si="30"/>
        <v>371.44</v>
      </c>
      <c r="V235" s="77">
        <v>0</v>
      </c>
      <c r="W235" s="77">
        <v>0</v>
      </c>
      <c r="X235" s="37">
        <v>0</v>
      </c>
      <c r="Y235" s="77">
        <f ca="1">X235*Valores!$C$2</f>
        <v>0</v>
      </c>
      <c r="Z235" s="77">
        <v>0</v>
      </c>
      <c r="AA235" s="89">
        <f ca="1">(Valores!$C$32)*D235</f>
        <v>21.12</v>
      </c>
      <c r="AB235" s="77">
        <f t="shared" ca="1" si="34"/>
        <v>0</v>
      </c>
      <c r="AC235" s="77">
        <f ca="1">Valores!$C$33*D235</f>
        <v>17.559999999999999</v>
      </c>
      <c r="AD235" s="116">
        <v>0</v>
      </c>
      <c r="AE235" s="77">
        <f ca="1">INT(((AD235*Valores!$C$2)*100)+0.5)/100</f>
        <v>0</v>
      </c>
      <c r="AF235" s="77">
        <f ca="1">Valores!$D$51*D235</f>
        <v>71.432000000000002</v>
      </c>
      <c r="AG235" s="77">
        <f ca="1">Valores!$D$52*D235</f>
        <v>20.410666666666668</v>
      </c>
      <c r="AH235" s="77">
        <f ca="1">SUM(G235,I235,K235,M235,N235,O235,P235,Q235,R235,S235,U235,V235,W235,Y235,Z235,AA235,AB235,AC235,AE235,AF235,AG235)*Valores!$C$54</f>
        <v>0</v>
      </c>
      <c r="AI235" s="141">
        <f t="shared" ca="1" si="37"/>
        <v>5071.9826666666659</v>
      </c>
      <c r="AJ235" s="61">
        <f ca="1">Valores!$C$36*D235</f>
        <v>48.52</v>
      </c>
      <c r="AK235" s="79">
        <f ca="1">Valores!$C$11*D235</f>
        <v>34.04</v>
      </c>
      <c r="AL235" s="89">
        <f ca="1">7.483*D235</f>
        <v>29.931999999999999</v>
      </c>
      <c r="AM235" s="79">
        <f ca="1">IF($G$4="SI",SUM(AK235+AL235),AK235)*Valores!$C$54</f>
        <v>0</v>
      </c>
      <c r="AN235" s="12">
        <f t="shared" ca="1" si="38"/>
        <v>112.492</v>
      </c>
      <c r="AO235" s="13">
        <f ca="1">AI235*-Valores!$C$56</f>
        <v>-659.35774666666657</v>
      </c>
      <c r="AP235" s="13">
        <f ca="1">AI235*-Valores!$C$57</f>
        <v>-25.359913333333331</v>
      </c>
      <c r="AQ235" s="78">
        <f ca="1">AI235*-Valores!$C$58</f>
        <v>-228.23921999999996</v>
      </c>
      <c r="AR235" s="78">
        <f ca="1">AI235*-Valores!$C$59</f>
        <v>-136.943532</v>
      </c>
      <c r="AS235" s="78">
        <f ca="1">AI235*-Valores!$C$60</f>
        <v>-15.215947999999997</v>
      </c>
      <c r="AT235" s="15">
        <f t="shared" ca="1" si="35"/>
        <v>4271.5177866666654</v>
      </c>
      <c r="AU235" s="15">
        <f t="shared" ca="1" si="36"/>
        <v>4347.5975266666655</v>
      </c>
      <c r="AV235" s="78">
        <f ca="1">AI235*Valores!$C$61</f>
        <v>811.5172266666666</v>
      </c>
      <c r="AW235" s="78">
        <f ca="1">AI235*Valores!$C$62</f>
        <v>228.23921999999996</v>
      </c>
      <c r="AX235" s="78">
        <f ca="1">AI235*Valores!$C$64</f>
        <v>50.719826666666663</v>
      </c>
      <c r="AY235" s="78">
        <f ca="1">AI235*Valores!$C$65</f>
        <v>177.51939333333331</v>
      </c>
      <c r="AZ235" s="78">
        <f ca="1">AI235*Valores!$C$66</f>
        <v>30.431895999999995</v>
      </c>
      <c r="BA235" s="78">
        <f t="shared" ca="1" si="39"/>
        <v>273.88706400000001</v>
      </c>
      <c r="BB235" s="20"/>
      <c r="BC235" s="20">
        <f t="shared" ca="1" si="43"/>
        <v>16</v>
      </c>
      <c r="BD235" s="9" t="s">
        <v>467</v>
      </c>
    </row>
    <row r="236" spans="1:56" s="9" customFormat="1" ht="11.25" customHeight="1" x14ac:dyDescent="0.15">
      <c r="A236" s="55">
        <v>235</v>
      </c>
      <c r="B236" s="55" t="s">
        <v>462</v>
      </c>
      <c r="C236" s="52" t="s">
        <v>355</v>
      </c>
      <c r="D236" s="52">
        <v>4</v>
      </c>
      <c r="E236" s="53" t="str">
        <f ca="1">CONCATENATE("Hora Cátedra Enseñanza Media ",D236," hs Esc Esp")</f>
        <v>Hora Cátedra Enseñanza Media 4 hs Esc Esp</v>
      </c>
      <c r="F236" s="124">
        <f t="shared" ca="1" si="44"/>
        <v>316</v>
      </c>
      <c r="G236" s="129">
        <f ca="1">INT((F236*Valores!$C$2*100)+0.5)/100</f>
        <v>1622.57</v>
      </c>
      <c r="H236" s="133">
        <v>0</v>
      </c>
      <c r="I236" s="80">
        <f ca="1">INT((H236*Valores!$C$2*100)+0.5)/100</f>
        <v>0</v>
      </c>
      <c r="J236" s="148">
        <v>0</v>
      </c>
      <c r="K236" s="80">
        <f ca="1">INT((J236*Valores!$C$2*100)+0.5)/100</f>
        <v>0</v>
      </c>
      <c r="L236" s="121">
        <v>0</v>
      </c>
      <c r="M236" s="80">
        <f ca="1">INT((L236*Valores!$C$2*100)+0.5)/100</f>
        <v>0</v>
      </c>
      <c r="N236" s="80">
        <f t="shared" ca="1" si="40"/>
        <v>0</v>
      </c>
      <c r="O236" s="80">
        <f t="shared" ca="1" si="41"/>
        <v>1749.1299999999999</v>
      </c>
      <c r="P236" s="85">
        <f ca="1">Valores!$C$14*D236</f>
        <v>459.28</v>
      </c>
      <c r="Q236" s="85">
        <f ca="1">IF(D236&lt;15,(Valores!$E$4*D236),Valores!$D$4)</f>
        <v>612.48</v>
      </c>
      <c r="R236" s="80">
        <v>0</v>
      </c>
      <c r="S236" s="82">
        <f ca="1">Valores!$C$45*D236</f>
        <v>126.56</v>
      </c>
      <c r="T236" s="85">
        <f ca="1">Valores!$C$22*D236</f>
        <v>185.72</v>
      </c>
      <c r="U236" s="80">
        <f t="shared" ca="1" si="30"/>
        <v>371.44</v>
      </c>
      <c r="V236" s="80">
        <v>0</v>
      </c>
      <c r="W236" s="80">
        <v>0</v>
      </c>
      <c r="X236" s="60">
        <v>0</v>
      </c>
      <c r="Y236" s="80">
        <f ca="1">X236*Valores!$C$2</f>
        <v>0</v>
      </c>
      <c r="Z236" s="80">
        <v>0</v>
      </c>
      <c r="AA236" s="90">
        <f ca="1">(Valores!$C$32)*D236</f>
        <v>21.12</v>
      </c>
      <c r="AB236" s="80">
        <f t="shared" ca="1" si="34"/>
        <v>0</v>
      </c>
      <c r="AC236" s="80">
        <f ca="1">Valores!$C$33*D236</f>
        <v>17.559999999999999</v>
      </c>
      <c r="AD236" s="115">
        <v>94</v>
      </c>
      <c r="AE236" s="80">
        <f ca="1">INT(((AD236*Valores!$C$2)*100)+0.5)/100</f>
        <v>482.66</v>
      </c>
      <c r="AF236" s="80">
        <f ca="1">Valores!$D$51*D236</f>
        <v>71.432000000000002</v>
      </c>
      <c r="AG236" s="80">
        <f ca="1">Valores!$D$52*D236</f>
        <v>20.410666666666668</v>
      </c>
      <c r="AH236" s="80">
        <f ca="1">SUM(G236,I236,K236,M236,N236,O236,P236,Q236,R236,S236,U236,V236,W236,Y236,Z236,AA236,AB236,AC236,AE236,AF236,AG236)*Valores!$C$54</f>
        <v>0</v>
      </c>
      <c r="AI236" s="142">
        <f t="shared" ca="1" si="37"/>
        <v>5554.6426666666657</v>
      </c>
      <c r="AJ236" s="85">
        <f ca="1">Valores!$C$36*D236</f>
        <v>48.52</v>
      </c>
      <c r="AK236" s="82">
        <f ca="1">Valores!$C$11*D236</f>
        <v>34.04</v>
      </c>
      <c r="AL236" s="90">
        <f ca="1">7.483*D236</f>
        <v>29.931999999999999</v>
      </c>
      <c r="AM236" s="82">
        <f ca="1">IF($G$4="SI",SUM(AK236+AL236),AK236)*Valores!$C$54</f>
        <v>0</v>
      </c>
      <c r="AN236" s="186">
        <f t="shared" ca="1" si="38"/>
        <v>112.492</v>
      </c>
      <c r="AO236" s="155">
        <f ca="1">AI236*-Valores!$C$56</f>
        <v>-722.1035466666666</v>
      </c>
      <c r="AP236" s="155">
        <f ca="1">AI236*-Valores!$C$57</f>
        <v>-27.773213333333331</v>
      </c>
      <c r="AQ236" s="81">
        <f ca="1">AI236*-Valores!$C$58</f>
        <v>-249.95891999999995</v>
      </c>
      <c r="AR236" s="81">
        <f ca="1">AI236*-Valores!$C$59</f>
        <v>-149.97535199999999</v>
      </c>
      <c r="AS236" s="81">
        <f ca="1">AI236*-Valores!$C$60</f>
        <v>-16.663927999999999</v>
      </c>
      <c r="AT236" s="54">
        <f t="shared" ca="1" si="35"/>
        <v>4667.2989866666667</v>
      </c>
      <c r="AU236" s="54">
        <f t="shared" ca="1" si="36"/>
        <v>4750.6186266666664</v>
      </c>
      <c r="AV236" s="81">
        <f ca="1">AI236*Valores!$C$61</f>
        <v>888.74282666666659</v>
      </c>
      <c r="AW236" s="81">
        <f ca="1">AI236*Valores!$C$62</f>
        <v>249.95891999999995</v>
      </c>
      <c r="AX236" s="81">
        <f ca="1">AI236*Valores!$C$64</f>
        <v>55.546426666666662</v>
      </c>
      <c r="AY236" s="81">
        <f ca="1">AI236*Valores!$C$65</f>
        <v>194.41249333333332</v>
      </c>
      <c r="AZ236" s="81">
        <f ca="1">AI236*Valores!$C$66</f>
        <v>33.327855999999997</v>
      </c>
      <c r="BA236" s="81">
        <f t="shared" ca="1" si="39"/>
        <v>299.95070399999997</v>
      </c>
      <c r="BB236" s="55"/>
      <c r="BC236" s="55">
        <f t="shared" ca="1" si="43"/>
        <v>16</v>
      </c>
      <c r="BD236" s="52" t="s">
        <v>467</v>
      </c>
    </row>
    <row r="237" spans="1:56" s="9" customFormat="1" ht="11.25" customHeight="1" x14ac:dyDescent="0.15">
      <c r="A237" s="20">
        <v>236</v>
      </c>
      <c r="B237" s="20"/>
      <c r="C237" s="9" t="s">
        <v>355</v>
      </c>
      <c r="D237" s="9">
        <v>5</v>
      </c>
      <c r="E237" s="10" t="str">
        <f ca="1">CONCATENATE("Hora Cátedra Enseñanza Media ",D237," hs")</f>
        <v>Hora Cátedra Enseñanza Media 5 hs</v>
      </c>
      <c r="F237" s="123">
        <f t="shared" ca="1" si="44"/>
        <v>395</v>
      </c>
      <c r="G237" s="7">
        <f ca="1">INT((F237*Valores!$C$2*100)+0.5)/100</f>
        <v>2028.21</v>
      </c>
      <c r="H237" s="134">
        <v>0</v>
      </c>
      <c r="I237" s="77">
        <f ca="1">INT((H237*Valores!$C$2*100)+0.5)/100</f>
        <v>0</v>
      </c>
      <c r="J237" s="147">
        <v>0</v>
      </c>
      <c r="K237" s="77">
        <f ca="1">INT((J237*Valores!$C$2*100)+0.5)/100</f>
        <v>0</v>
      </c>
      <c r="L237" s="120">
        <v>0</v>
      </c>
      <c r="M237" s="77">
        <f ca="1">INT((L237*Valores!$C$2*100)+0.5)/100</f>
        <v>0</v>
      </c>
      <c r="N237" s="77">
        <f t="shared" ca="1" si="40"/>
        <v>0</v>
      </c>
      <c r="O237" s="77">
        <f t="shared" ca="1" si="41"/>
        <v>2186.41</v>
      </c>
      <c r="P237" s="61">
        <f ca="1">Valores!$C$14*D237</f>
        <v>574.09999999999991</v>
      </c>
      <c r="Q237" s="61">
        <f ca="1">IF(D237&lt;15,(Valores!$E$4*D237),Valores!$D$4)</f>
        <v>765.6</v>
      </c>
      <c r="R237" s="77">
        <v>0</v>
      </c>
      <c r="S237" s="79">
        <f ca="1">Valores!$C$45*D237</f>
        <v>158.19999999999999</v>
      </c>
      <c r="T237" s="61">
        <f ca="1">Valores!$C$22*D237</f>
        <v>232.15</v>
      </c>
      <c r="U237" s="77">
        <f t="shared" ca="1" si="30"/>
        <v>464.3</v>
      </c>
      <c r="V237" s="77">
        <v>0</v>
      </c>
      <c r="W237" s="77">
        <v>0</v>
      </c>
      <c r="X237" s="37">
        <v>0</v>
      </c>
      <c r="Y237" s="77">
        <f ca="1">X237*Valores!$C$2</f>
        <v>0</v>
      </c>
      <c r="Z237" s="77">
        <v>0</v>
      </c>
      <c r="AA237" s="89">
        <f ca="1">(Valores!$C$32)*D237</f>
        <v>26.400000000000002</v>
      </c>
      <c r="AB237" s="77">
        <f t="shared" ca="1" si="34"/>
        <v>0</v>
      </c>
      <c r="AC237" s="77">
        <f ca="1">Valores!$C$33*D237</f>
        <v>21.95</v>
      </c>
      <c r="AD237" s="116">
        <v>0</v>
      </c>
      <c r="AE237" s="77">
        <f ca="1">INT(((AD237*Valores!$C$2)*100)+0.5)/100</f>
        <v>0</v>
      </c>
      <c r="AF237" s="77">
        <f ca="1">Valores!$D$51*D237</f>
        <v>89.29</v>
      </c>
      <c r="AG237" s="77">
        <f ca="1">Valores!$D$52*D237</f>
        <v>25.513333333333335</v>
      </c>
      <c r="AH237" s="77">
        <f ca="1">SUM(G237,I237,K237,M237,N237,O237,P237,Q237,R237,S237,U237,V237,W237,Y237,Z237,AA237,AB237,AC237,AE237,AF237,AG237)*Valores!$C$54</f>
        <v>0</v>
      </c>
      <c r="AI237" s="141">
        <f t="shared" ca="1" si="37"/>
        <v>6339.9733333333324</v>
      </c>
      <c r="AJ237" s="61">
        <f ca="1">Valores!$C$36*D237</f>
        <v>60.650000000000006</v>
      </c>
      <c r="AK237" s="79">
        <f ca="1">Valores!$C$11*D237</f>
        <v>42.55</v>
      </c>
      <c r="AL237" s="89">
        <f ca="1">7.4845*D237</f>
        <v>37.422499999999999</v>
      </c>
      <c r="AM237" s="79">
        <f ca="1">IF($G$4="SI",SUM(AK237+AL237),AK237)*Valores!$C$54</f>
        <v>0</v>
      </c>
      <c r="AN237" s="12">
        <f t="shared" ca="1" si="38"/>
        <v>140.6225</v>
      </c>
      <c r="AO237" s="13">
        <f ca="1">AI237*-Valores!$C$56</f>
        <v>-824.19653333333326</v>
      </c>
      <c r="AP237" s="13">
        <f ca="1">AI237*-Valores!$C$57</f>
        <v>-31.699866666666662</v>
      </c>
      <c r="AQ237" s="78">
        <f ca="1">AI237*-Valores!$C$58</f>
        <v>-285.29879999999997</v>
      </c>
      <c r="AR237" s="78">
        <f ca="1">AI237*-Valores!$C$59</f>
        <v>-171.17928000000001</v>
      </c>
      <c r="AS237" s="78">
        <f ca="1">AI237*-Valores!$C$60</f>
        <v>-19.019919999999999</v>
      </c>
      <c r="AT237" s="15">
        <f t="shared" ca="1" si="35"/>
        <v>5339.4006333333327</v>
      </c>
      <c r="AU237" s="15">
        <f t="shared" ca="1" si="36"/>
        <v>5434.5002333333332</v>
      </c>
      <c r="AV237" s="78">
        <f ca="1">AI237*Valores!$C$61</f>
        <v>1014.3957333333332</v>
      </c>
      <c r="AW237" s="78">
        <f ca="1">AI237*Valores!$C$62</f>
        <v>285.29879999999997</v>
      </c>
      <c r="AX237" s="78">
        <f ca="1">AI237*Valores!$C$64</f>
        <v>63.399733333333323</v>
      </c>
      <c r="AY237" s="78">
        <f ca="1">AI237*Valores!$C$65</f>
        <v>221.89906666666667</v>
      </c>
      <c r="AZ237" s="78">
        <f ca="1">AI237*Valores!$C$66</f>
        <v>38.039839999999998</v>
      </c>
      <c r="BA237" s="78">
        <f t="shared" ca="1" si="39"/>
        <v>342.35856000000001</v>
      </c>
      <c r="BB237" s="20"/>
      <c r="BC237" s="20">
        <f t="shared" ca="1" si="43"/>
        <v>20</v>
      </c>
      <c r="BD237" s="9" t="s">
        <v>467</v>
      </c>
    </row>
    <row r="238" spans="1:56" s="9" customFormat="1" ht="11.25" customHeight="1" x14ac:dyDescent="0.15">
      <c r="A238" s="20">
        <v>237</v>
      </c>
      <c r="B238" s="20"/>
      <c r="C238" s="9" t="s">
        <v>355</v>
      </c>
      <c r="D238" s="9">
        <v>5</v>
      </c>
      <c r="E238" s="10" t="str">
        <f ca="1">CONCATENATE("Hora Cátedra Enseñanza Media ",D238," hs Esc Esp")</f>
        <v>Hora Cátedra Enseñanza Media 5 hs Esc Esp</v>
      </c>
      <c r="F238" s="123">
        <f t="shared" ca="1" si="44"/>
        <v>395</v>
      </c>
      <c r="G238" s="7">
        <f ca="1">INT((F238*Valores!$C$2*100)+0.5)/100</f>
        <v>2028.21</v>
      </c>
      <c r="H238" s="134">
        <v>0</v>
      </c>
      <c r="I238" s="77">
        <f ca="1">INT((H238*Valores!$C$2*100)+0.5)/100</f>
        <v>0</v>
      </c>
      <c r="J238" s="147">
        <v>0</v>
      </c>
      <c r="K238" s="77">
        <f ca="1">INT((J238*Valores!$C$2*100)+0.5)/100</f>
        <v>0</v>
      </c>
      <c r="L238" s="120">
        <v>0</v>
      </c>
      <c r="M238" s="77">
        <f ca="1">INT((L238*Valores!$C$2*100)+0.5)/100</f>
        <v>0</v>
      </c>
      <c r="N238" s="77">
        <f t="shared" ca="1" si="40"/>
        <v>0</v>
      </c>
      <c r="O238" s="77">
        <f t="shared" ca="1" si="41"/>
        <v>2186.41</v>
      </c>
      <c r="P238" s="61">
        <f ca="1">Valores!$C$14*D238</f>
        <v>574.09999999999991</v>
      </c>
      <c r="Q238" s="61">
        <f ca="1">IF(D238&lt;15,(Valores!$E$4*D238),Valores!$D$4)</f>
        <v>765.6</v>
      </c>
      <c r="R238" s="77">
        <v>0</v>
      </c>
      <c r="S238" s="79">
        <f ca="1">Valores!$C$45*D238</f>
        <v>158.19999999999999</v>
      </c>
      <c r="T238" s="61">
        <f ca="1">Valores!$C$22*D238</f>
        <v>232.15</v>
      </c>
      <c r="U238" s="77">
        <f t="shared" ca="1" si="30"/>
        <v>464.3</v>
      </c>
      <c r="V238" s="77">
        <v>0</v>
      </c>
      <c r="W238" s="77">
        <v>0</v>
      </c>
      <c r="X238" s="37">
        <v>0</v>
      </c>
      <c r="Y238" s="77">
        <f ca="1">X238*Valores!$C$2</f>
        <v>0</v>
      </c>
      <c r="Z238" s="77">
        <v>0</v>
      </c>
      <c r="AA238" s="89">
        <f ca="1">(Valores!$C$32)*D238</f>
        <v>26.400000000000002</v>
      </c>
      <c r="AB238" s="77">
        <f t="shared" ca="1" si="34"/>
        <v>0</v>
      </c>
      <c r="AC238" s="77">
        <f ca="1">Valores!$C$33*D238</f>
        <v>21.95</v>
      </c>
      <c r="AD238" s="116">
        <v>94</v>
      </c>
      <c r="AE238" s="77">
        <f ca="1">INT(((AD238*Valores!$C$2)*100)+0.5)/100</f>
        <v>482.66</v>
      </c>
      <c r="AF238" s="77">
        <f ca="1">Valores!$D$51*D238</f>
        <v>89.29</v>
      </c>
      <c r="AG238" s="77">
        <f ca="1">Valores!$D$52*D238</f>
        <v>25.513333333333335</v>
      </c>
      <c r="AH238" s="77">
        <f ca="1">SUM(G238,I238,K238,M238,N238,O238,P238,Q238,R238,S238,U238,V238,W238,Y238,Z238,AA238,AB238,AC238,AE238,AF238,AG238)*Valores!$C$54</f>
        <v>0</v>
      </c>
      <c r="AI238" s="141">
        <f t="shared" ca="1" si="37"/>
        <v>6822.6333333333323</v>
      </c>
      <c r="AJ238" s="61">
        <f ca="1">Valores!$C$36*D238</f>
        <v>60.650000000000006</v>
      </c>
      <c r="AK238" s="79">
        <f ca="1">Valores!$C$11*D238</f>
        <v>42.55</v>
      </c>
      <c r="AL238" s="89">
        <f ca="1">7.4845*D238</f>
        <v>37.422499999999999</v>
      </c>
      <c r="AM238" s="79">
        <f ca="1">IF($G$4="SI",SUM(AK238+AL238),AK238)*Valores!$C$54</f>
        <v>0</v>
      </c>
      <c r="AN238" s="12">
        <f t="shared" ca="1" si="38"/>
        <v>140.6225</v>
      </c>
      <c r="AO238" s="13">
        <f ca="1">AI238*-Valores!$C$56</f>
        <v>-886.94233333333318</v>
      </c>
      <c r="AP238" s="13">
        <f ca="1">AI238*-Valores!$C$57</f>
        <v>-34.113166666666665</v>
      </c>
      <c r="AQ238" s="78">
        <f ca="1">AI238*-Valores!$C$58</f>
        <v>-307.01849999999996</v>
      </c>
      <c r="AR238" s="78">
        <f ca="1">AI238*-Valores!$C$59</f>
        <v>-184.21109999999999</v>
      </c>
      <c r="AS238" s="78">
        <f ca="1">AI238*-Valores!$C$60</f>
        <v>-20.467899999999997</v>
      </c>
      <c r="AT238" s="15">
        <f t="shared" ca="1" si="35"/>
        <v>5735.1818333333322</v>
      </c>
      <c r="AU238" s="15">
        <f t="shared" ca="1" si="36"/>
        <v>5837.5213333333331</v>
      </c>
      <c r="AV238" s="78">
        <f ca="1">AI238*Valores!$C$61</f>
        <v>1091.6213333333333</v>
      </c>
      <c r="AW238" s="78">
        <f ca="1">AI238*Valores!$C$62</f>
        <v>307.01849999999996</v>
      </c>
      <c r="AX238" s="78">
        <f ca="1">AI238*Valores!$C$64</f>
        <v>68.226333333333329</v>
      </c>
      <c r="AY238" s="78">
        <f ca="1">AI238*Valores!$C$65</f>
        <v>238.79216666666665</v>
      </c>
      <c r="AZ238" s="78">
        <f ca="1">AI238*Valores!$C$66</f>
        <v>40.935799999999993</v>
      </c>
      <c r="BA238" s="78">
        <f t="shared" ca="1" si="39"/>
        <v>368.42219999999992</v>
      </c>
      <c r="BB238" s="20"/>
      <c r="BC238" s="20">
        <f t="shared" ca="1" si="43"/>
        <v>20</v>
      </c>
      <c r="BD238" s="9" t="s">
        <v>467</v>
      </c>
    </row>
    <row r="239" spans="1:56" s="9" customFormat="1" ht="11.25" customHeight="1" x14ac:dyDescent="0.15">
      <c r="A239" s="20">
        <v>238</v>
      </c>
      <c r="B239" s="20"/>
      <c r="C239" s="9" t="s">
        <v>355</v>
      </c>
      <c r="D239" s="9">
        <v>6</v>
      </c>
      <c r="E239" s="10" t="str">
        <f ca="1">CONCATENATE("Hora Cátedra Enseñanza Media ",D239," hs")</f>
        <v>Hora Cátedra Enseñanza Media 6 hs</v>
      </c>
      <c r="F239" s="123">
        <f t="shared" ca="1" si="44"/>
        <v>474</v>
      </c>
      <c r="G239" s="7">
        <f ca="1">INT((F239*Valores!$C$2*100)+0.5)/100</f>
        <v>2433.85</v>
      </c>
      <c r="H239" s="134">
        <v>0</v>
      </c>
      <c r="I239" s="77">
        <f ca="1">INT((H239*Valores!$C$2*100)+0.5)/100</f>
        <v>0</v>
      </c>
      <c r="J239" s="147">
        <v>0</v>
      </c>
      <c r="K239" s="77">
        <f ca="1">INT((J239*Valores!$C$2*100)+0.5)/100</f>
        <v>0</v>
      </c>
      <c r="L239" s="120">
        <v>0</v>
      </c>
      <c r="M239" s="77">
        <f ca="1">INT((L239*Valores!$C$2*100)+0.5)/100</f>
        <v>0</v>
      </c>
      <c r="N239" s="77">
        <f t="shared" ca="1" si="40"/>
        <v>0</v>
      </c>
      <c r="O239" s="77">
        <f t="shared" ca="1" si="41"/>
        <v>2623.69</v>
      </c>
      <c r="P239" s="61">
        <f ca="1">Valores!$C$14*D239</f>
        <v>688.92</v>
      </c>
      <c r="Q239" s="61">
        <f ca="1">IF(D239&lt;15,(Valores!$E$4*D239),Valores!$D$4)</f>
        <v>918.72</v>
      </c>
      <c r="R239" s="77">
        <v>0</v>
      </c>
      <c r="S239" s="79">
        <f ca="1">Valores!$C$45*D239</f>
        <v>189.84</v>
      </c>
      <c r="T239" s="61">
        <f ca="1">Valores!$C$22*D239</f>
        <v>278.58</v>
      </c>
      <c r="U239" s="77">
        <f t="shared" ca="1" si="30"/>
        <v>557.16</v>
      </c>
      <c r="V239" s="77">
        <v>0</v>
      </c>
      <c r="W239" s="77">
        <v>0</v>
      </c>
      <c r="X239" s="37">
        <v>0</v>
      </c>
      <c r="Y239" s="77">
        <f ca="1">X239*Valores!$C$2</f>
        <v>0</v>
      </c>
      <c r="Z239" s="77">
        <v>0</v>
      </c>
      <c r="AA239" s="89">
        <f ca="1">(Valores!$C$32)*D239</f>
        <v>31.68</v>
      </c>
      <c r="AB239" s="77">
        <f t="shared" ca="1" si="34"/>
        <v>0</v>
      </c>
      <c r="AC239" s="77">
        <f ca="1">Valores!$C$33*D239</f>
        <v>26.339999999999996</v>
      </c>
      <c r="AD239" s="116">
        <v>0</v>
      </c>
      <c r="AE239" s="77">
        <f ca="1">INT(((AD239*Valores!$C$2)*100)+0.5)/100</f>
        <v>0</v>
      </c>
      <c r="AF239" s="77">
        <f ca="1">Valores!$D$51*D239</f>
        <v>107.148</v>
      </c>
      <c r="AG239" s="77">
        <f ca="1">Valores!$D$52*D239</f>
        <v>30.616</v>
      </c>
      <c r="AH239" s="77">
        <f ca="1">SUM(G239,I239,K239,M239,N239,O239,P239,Q239,R239,S239,U239,V239,W239,Y239,Z239,AA239,AB239,AC239,AE239,AF239,AG239)*Valores!$C$54</f>
        <v>0</v>
      </c>
      <c r="AI239" s="141">
        <f t="shared" ca="1" si="37"/>
        <v>7607.9640000000009</v>
      </c>
      <c r="AJ239" s="61">
        <f ca="1">Valores!$C$36*D239</f>
        <v>72.78</v>
      </c>
      <c r="AK239" s="79">
        <f ca="1">Valores!$C$11*D239</f>
        <v>51.06</v>
      </c>
      <c r="AL239" s="89">
        <f ca="1">7.484*D239</f>
        <v>44.903999999999996</v>
      </c>
      <c r="AM239" s="79">
        <f ca="1">IF($G$4="SI",SUM(AK239+AL239),AK239)*Valores!$C$54</f>
        <v>0</v>
      </c>
      <c r="AN239" s="12">
        <f t="shared" ca="1" si="38"/>
        <v>168.744</v>
      </c>
      <c r="AO239" s="13">
        <f ca="1">AI239*-Valores!$C$56</f>
        <v>-989.03532000000018</v>
      </c>
      <c r="AP239" s="13">
        <f ca="1">AI239*-Valores!$C$57</f>
        <v>-38.039820000000006</v>
      </c>
      <c r="AQ239" s="78">
        <f ca="1">AI239*-Valores!$C$58</f>
        <v>-342.35838000000001</v>
      </c>
      <c r="AR239" s="78">
        <f ca="1">AI239*-Valores!$C$59</f>
        <v>-205.41502800000004</v>
      </c>
      <c r="AS239" s="78">
        <f ca="1">AI239*-Valores!$C$60</f>
        <v>-22.823892000000004</v>
      </c>
      <c r="AT239" s="15">
        <f t="shared" ca="1" si="35"/>
        <v>6407.2744800000009</v>
      </c>
      <c r="AU239" s="15">
        <f t="shared" ca="1" si="36"/>
        <v>6521.3939399999999</v>
      </c>
      <c r="AV239" s="78">
        <f ca="1">AI239*Valores!$C$61</f>
        <v>1217.2742400000002</v>
      </c>
      <c r="AW239" s="78">
        <f ca="1">AI239*Valores!$C$62</f>
        <v>342.35838000000001</v>
      </c>
      <c r="AX239" s="78">
        <f ca="1">AI239*Valores!$C$64</f>
        <v>76.079640000000012</v>
      </c>
      <c r="AY239" s="78">
        <f ca="1">AI239*Valores!$C$65</f>
        <v>266.27874000000003</v>
      </c>
      <c r="AZ239" s="78">
        <f ca="1">AI239*Valores!$C$66</f>
        <v>45.647784000000009</v>
      </c>
      <c r="BA239" s="78">
        <f t="shared" ca="1" si="39"/>
        <v>410.83005600000001</v>
      </c>
      <c r="BB239" s="20"/>
      <c r="BC239" s="55">
        <f t="shared" ca="1" si="43"/>
        <v>24</v>
      </c>
      <c r="BD239" s="9" t="s">
        <v>467</v>
      </c>
    </row>
    <row r="240" spans="1:56" s="9" customFormat="1" ht="11.25" customHeight="1" x14ac:dyDescent="0.15">
      <c r="A240" s="20">
        <v>239</v>
      </c>
      <c r="B240" s="20"/>
      <c r="C240" s="9" t="s">
        <v>355</v>
      </c>
      <c r="D240" s="9">
        <v>6</v>
      </c>
      <c r="E240" s="10" t="str">
        <f ca="1">CONCATENATE("Hora Cátedra Enseñanza Media ",D240," hs Esc Esp")</f>
        <v>Hora Cátedra Enseñanza Media 6 hs Esc Esp</v>
      </c>
      <c r="F240" s="123">
        <f t="shared" ca="1" si="44"/>
        <v>474</v>
      </c>
      <c r="G240" s="7">
        <f ca="1">INT((F240*Valores!$C$2*100)+0.5)/100</f>
        <v>2433.85</v>
      </c>
      <c r="H240" s="134">
        <v>0</v>
      </c>
      <c r="I240" s="77">
        <f ca="1">INT((H240*Valores!$C$2*100)+0.5)/100</f>
        <v>0</v>
      </c>
      <c r="J240" s="147">
        <v>0</v>
      </c>
      <c r="K240" s="77">
        <f ca="1">INT((J240*Valores!$C$2*100)+0.5)/100</f>
        <v>0</v>
      </c>
      <c r="L240" s="120">
        <v>0</v>
      </c>
      <c r="M240" s="77">
        <f ca="1">INT((L240*Valores!$C$2*100)+0.5)/100</f>
        <v>0</v>
      </c>
      <c r="N240" s="77">
        <f t="shared" ca="1" si="40"/>
        <v>0</v>
      </c>
      <c r="O240" s="77">
        <f t="shared" ca="1" si="41"/>
        <v>2623.69</v>
      </c>
      <c r="P240" s="61">
        <f ca="1">Valores!$C$14*D240</f>
        <v>688.92</v>
      </c>
      <c r="Q240" s="61">
        <f ca="1">IF(D240&lt;15,(Valores!$E$4*D240),Valores!$D$4)</f>
        <v>918.72</v>
      </c>
      <c r="R240" s="77">
        <v>0</v>
      </c>
      <c r="S240" s="79">
        <f ca="1">Valores!$C$45*D240</f>
        <v>189.84</v>
      </c>
      <c r="T240" s="61">
        <f ca="1">Valores!$C$22*D240</f>
        <v>278.58</v>
      </c>
      <c r="U240" s="77">
        <f t="shared" ca="1" si="30"/>
        <v>557.16</v>
      </c>
      <c r="V240" s="77">
        <v>0</v>
      </c>
      <c r="W240" s="77">
        <v>0</v>
      </c>
      <c r="X240" s="37">
        <v>0</v>
      </c>
      <c r="Y240" s="77">
        <f ca="1">X240*Valores!$C$2</f>
        <v>0</v>
      </c>
      <c r="Z240" s="77">
        <v>0</v>
      </c>
      <c r="AA240" s="89">
        <f ca="1">(Valores!$C$32)*D240</f>
        <v>31.68</v>
      </c>
      <c r="AB240" s="77">
        <f t="shared" ca="1" si="34"/>
        <v>0</v>
      </c>
      <c r="AC240" s="77">
        <f ca="1">Valores!$C$33*D240</f>
        <v>26.339999999999996</v>
      </c>
      <c r="AD240" s="116">
        <v>94</v>
      </c>
      <c r="AE240" s="77">
        <f ca="1">INT(((AD240*Valores!$C$2)*100)+0.5)/100</f>
        <v>482.66</v>
      </c>
      <c r="AF240" s="77">
        <f ca="1">Valores!$D$51*D240</f>
        <v>107.148</v>
      </c>
      <c r="AG240" s="77">
        <f ca="1">Valores!$D$52*D240</f>
        <v>30.616</v>
      </c>
      <c r="AH240" s="77">
        <f ca="1">SUM(G240,I240,K240,M240,N240,O240,P240,Q240,R240,S240,U240,V240,W240,Y240,Z240,AA240,AB240,AC240,AE240,AF240,AG240)*Valores!$C$54</f>
        <v>0</v>
      </c>
      <c r="AI240" s="141">
        <f t="shared" ca="1" si="37"/>
        <v>8090.6240000000007</v>
      </c>
      <c r="AJ240" s="61">
        <f ca="1">Valores!$C$36*D240</f>
        <v>72.78</v>
      </c>
      <c r="AK240" s="79">
        <f ca="1">Valores!$C$11*D240</f>
        <v>51.06</v>
      </c>
      <c r="AL240" s="89">
        <f ca="1">7.484*D240</f>
        <v>44.903999999999996</v>
      </c>
      <c r="AM240" s="79">
        <f ca="1">IF($G$4="SI",SUM(AK240+AL240),AK240)*Valores!$C$54</f>
        <v>0</v>
      </c>
      <c r="AN240" s="12">
        <f t="shared" ca="1" si="38"/>
        <v>168.744</v>
      </c>
      <c r="AO240" s="13">
        <f ca="1">AI240*-Valores!$C$56</f>
        <v>-1051.7811200000001</v>
      </c>
      <c r="AP240" s="13">
        <f ca="1">AI240*-Valores!$C$57</f>
        <v>-40.453120000000006</v>
      </c>
      <c r="AQ240" s="78">
        <f ca="1">AI240*-Valores!$C$58</f>
        <v>-364.07808</v>
      </c>
      <c r="AR240" s="78">
        <f ca="1">AI240*-Valores!$C$59</f>
        <v>-218.44684800000005</v>
      </c>
      <c r="AS240" s="78">
        <f ca="1">AI240*-Valores!$C$60</f>
        <v>-24.271872000000002</v>
      </c>
      <c r="AT240" s="15">
        <f t="shared" ca="1" si="35"/>
        <v>6803.0556799999995</v>
      </c>
      <c r="AU240" s="15">
        <f t="shared" ca="1" si="36"/>
        <v>6924.4150400000008</v>
      </c>
      <c r="AV240" s="78">
        <f ca="1">AI240*Valores!$C$61</f>
        <v>1294.4998400000002</v>
      </c>
      <c r="AW240" s="78">
        <f ca="1">AI240*Valores!$C$62</f>
        <v>364.07808</v>
      </c>
      <c r="AX240" s="78">
        <f ca="1">AI240*Valores!$C$64</f>
        <v>80.906240000000011</v>
      </c>
      <c r="AY240" s="78">
        <f ca="1">AI240*Valores!$C$65</f>
        <v>283.17184000000003</v>
      </c>
      <c r="AZ240" s="78">
        <f ca="1">AI240*Valores!$C$66</f>
        <v>48.543744000000004</v>
      </c>
      <c r="BA240" s="78">
        <f t="shared" ca="1" si="39"/>
        <v>436.89369600000003</v>
      </c>
      <c r="BB240" s="20"/>
      <c r="BC240" s="20">
        <f t="shared" ca="1" si="43"/>
        <v>24</v>
      </c>
      <c r="BD240" s="9" t="s">
        <v>467</v>
      </c>
    </row>
    <row r="241" spans="1:56" s="9" customFormat="1" ht="11.25" customHeight="1" x14ac:dyDescent="0.15">
      <c r="A241" s="55">
        <v>240</v>
      </c>
      <c r="B241" s="55" t="s">
        <v>462</v>
      </c>
      <c r="C241" s="52" t="s">
        <v>355</v>
      </c>
      <c r="D241" s="52">
        <v>7</v>
      </c>
      <c r="E241" s="53" t="str">
        <f ca="1">CONCATENATE("Hora Cátedra Enseñanza Media ",D241," hs")</f>
        <v>Hora Cátedra Enseñanza Media 7 hs</v>
      </c>
      <c r="F241" s="124">
        <f t="shared" ca="1" si="44"/>
        <v>553</v>
      </c>
      <c r="G241" s="129">
        <f ca="1">INT((F241*Valores!$C$2*100)+0.5)/100</f>
        <v>2839.49</v>
      </c>
      <c r="H241" s="133">
        <v>0</v>
      </c>
      <c r="I241" s="80">
        <f ca="1">INT((H241*Valores!$C$2*100)+0.5)/100</f>
        <v>0</v>
      </c>
      <c r="J241" s="148">
        <v>0</v>
      </c>
      <c r="K241" s="80">
        <f ca="1">INT((J241*Valores!$C$2*100)+0.5)/100</f>
        <v>0</v>
      </c>
      <c r="L241" s="121">
        <v>0</v>
      </c>
      <c r="M241" s="80">
        <f ca="1">INT((L241*Valores!$C$2*100)+0.5)/100</f>
        <v>0</v>
      </c>
      <c r="N241" s="80">
        <f t="shared" ca="1" si="40"/>
        <v>0</v>
      </c>
      <c r="O241" s="80">
        <f t="shared" ca="1" si="41"/>
        <v>3060.97</v>
      </c>
      <c r="P241" s="85">
        <f ca="1">Valores!$C$14*D241</f>
        <v>803.74</v>
      </c>
      <c r="Q241" s="85">
        <f ca="1">IF(D241&lt;15,(Valores!$E$4*D241),Valores!$D$4)</f>
        <v>1071.8400000000001</v>
      </c>
      <c r="R241" s="80">
        <v>0</v>
      </c>
      <c r="S241" s="82">
        <f ca="1">Valores!$C$45*D241</f>
        <v>221.48000000000002</v>
      </c>
      <c r="T241" s="85">
        <f ca="1">Valores!$C$22*D241</f>
        <v>325.01</v>
      </c>
      <c r="U241" s="80">
        <f t="shared" ref="U241:U302" ca="1" si="45">T241*(1+$I$2)</f>
        <v>650.02</v>
      </c>
      <c r="V241" s="80">
        <v>0</v>
      </c>
      <c r="W241" s="80">
        <v>0</v>
      </c>
      <c r="X241" s="60">
        <v>0</v>
      </c>
      <c r="Y241" s="80">
        <f ca="1">X241*Valores!$C$2</f>
        <v>0</v>
      </c>
      <c r="Z241" s="80">
        <v>0</v>
      </c>
      <c r="AA241" s="90">
        <f ca="1">(Valores!$C$32)*D241</f>
        <v>36.96</v>
      </c>
      <c r="AB241" s="80">
        <f t="shared" ca="1" si="34"/>
        <v>0</v>
      </c>
      <c r="AC241" s="80">
        <f ca="1">Valores!$C$33*D241</f>
        <v>30.729999999999997</v>
      </c>
      <c r="AD241" s="115">
        <v>0</v>
      </c>
      <c r="AE241" s="80">
        <f ca="1">INT(((AD241*Valores!$C$2)*100)+0.5)/100</f>
        <v>0</v>
      </c>
      <c r="AF241" s="80">
        <f ca="1">Valores!$D$51*D241</f>
        <v>125.006</v>
      </c>
      <c r="AG241" s="80">
        <f ca="1">Valores!$D$52*D241</f>
        <v>35.718666666666671</v>
      </c>
      <c r="AH241" s="80">
        <f ca="1">SUM(G241,I241,K241,M241,N241,O241,P241,Q241,R241,S241,U241,V241,W241,Y241,Z241,AA241,AB241,AC241,AE241,AF241,AG241)*Valores!$C$54</f>
        <v>0</v>
      </c>
      <c r="AI241" s="142">
        <f t="shared" ca="1" si="37"/>
        <v>8875.9546666666647</v>
      </c>
      <c r="AJ241" s="85">
        <f ca="1">Valores!$C$36*D241</f>
        <v>84.910000000000011</v>
      </c>
      <c r="AK241" s="82">
        <f ca="1">Valores!$C$11*D241</f>
        <v>59.57</v>
      </c>
      <c r="AL241" s="90">
        <f ca="1">7.483*D241</f>
        <v>52.381</v>
      </c>
      <c r="AM241" s="82">
        <f ca="1">IF($G$4="SI",SUM(AK241+AL241),AK241)*Valores!$C$54</f>
        <v>0</v>
      </c>
      <c r="AN241" s="186">
        <f t="shared" ca="1" si="38"/>
        <v>196.86100000000002</v>
      </c>
      <c r="AO241" s="155">
        <f ca="1">AI241*-Valores!$C$56</f>
        <v>-1153.8741066666664</v>
      </c>
      <c r="AP241" s="155">
        <f ca="1">AI241*-Valores!$C$57</f>
        <v>-44.379773333333326</v>
      </c>
      <c r="AQ241" s="81">
        <f ca="1">AI241*-Valores!$C$58</f>
        <v>-399.41795999999988</v>
      </c>
      <c r="AR241" s="81">
        <f ca="1">AI241*-Valores!$C$59</f>
        <v>-239.65077599999998</v>
      </c>
      <c r="AS241" s="81">
        <f ca="1">AI241*-Valores!$C$60</f>
        <v>-26.627863999999995</v>
      </c>
      <c r="AT241" s="54">
        <f t="shared" ca="1" si="35"/>
        <v>7475.1438266666646</v>
      </c>
      <c r="AU241" s="54">
        <f t="shared" ca="1" si="36"/>
        <v>7608.2831466666648</v>
      </c>
      <c r="AV241" s="81">
        <f ca="1">AI241*Valores!$C$61</f>
        <v>1420.1527466666664</v>
      </c>
      <c r="AW241" s="81">
        <f ca="1">AI241*Valores!$C$62</f>
        <v>399.41795999999988</v>
      </c>
      <c r="AX241" s="81">
        <f ca="1">AI241*Valores!$C$64</f>
        <v>88.759546666666651</v>
      </c>
      <c r="AY241" s="81">
        <f ca="1">AI241*Valores!$C$65</f>
        <v>310.65841333333327</v>
      </c>
      <c r="AZ241" s="81">
        <f ca="1">AI241*Valores!$C$66</f>
        <v>53.255727999999991</v>
      </c>
      <c r="BA241" s="81">
        <f t="shared" ca="1" si="39"/>
        <v>479.30155199999996</v>
      </c>
      <c r="BB241" s="55"/>
      <c r="BC241" s="55">
        <f t="shared" ca="1" si="43"/>
        <v>28</v>
      </c>
      <c r="BD241" s="52" t="s">
        <v>467</v>
      </c>
    </row>
    <row r="242" spans="1:56" s="9" customFormat="1" ht="11.25" customHeight="1" x14ac:dyDescent="0.15">
      <c r="A242" s="20">
        <v>241</v>
      </c>
      <c r="B242" s="20"/>
      <c r="C242" s="9" t="s">
        <v>355</v>
      </c>
      <c r="D242" s="9">
        <v>7</v>
      </c>
      <c r="E242" s="10" t="str">
        <f ca="1">CONCATENATE("Hora Cátedra Enseñanza Media ",D242," hs Esc Esp")</f>
        <v>Hora Cátedra Enseñanza Media 7 hs Esc Esp</v>
      </c>
      <c r="F242" s="123">
        <f t="shared" ca="1" si="44"/>
        <v>553</v>
      </c>
      <c r="G242" s="7">
        <f ca="1">INT((F242*Valores!$C$2*100)+0.5)/100</f>
        <v>2839.49</v>
      </c>
      <c r="H242" s="134">
        <v>0</v>
      </c>
      <c r="I242" s="77">
        <f ca="1">INT((H242*Valores!$C$2*100)+0.5)/100</f>
        <v>0</v>
      </c>
      <c r="J242" s="147">
        <v>0</v>
      </c>
      <c r="K242" s="77">
        <f ca="1">INT((J242*Valores!$C$2*100)+0.5)/100</f>
        <v>0</v>
      </c>
      <c r="L242" s="120">
        <v>0</v>
      </c>
      <c r="M242" s="77">
        <f ca="1">INT((L242*Valores!$C$2*100)+0.5)/100</f>
        <v>0</v>
      </c>
      <c r="N242" s="77">
        <f t="shared" ca="1" si="40"/>
        <v>0</v>
      </c>
      <c r="O242" s="77">
        <f t="shared" ca="1" si="41"/>
        <v>3060.97</v>
      </c>
      <c r="P242" s="61">
        <f ca="1">Valores!$C$14*D242</f>
        <v>803.74</v>
      </c>
      <c r="Q242" s="61">
        <f ca="1">IF(D242&lt;15,(Valores!$E$4*D242),Valores!$D$4)</f>
        <v>1071.8400000000001</v>
      </c>
      <c r="R242" s="77">
        <v>0</v>
      </c>
      <c r="S242" s="79">
        <f ca="1">Valores!$C$45*D242</f>
        <v>221.48000000000002</v>
      </c>
      <c r="T242" s="61">
        <f ca="1">Valores!$C$22*D242</f>
        <v>325.01</v>
      </c>
      <c r="U242" s="77">
        <f t="shared" ca="1" si="45"/>
        <v>650.02</v>
      </c>
      <c r="V242" s="77">
        <v>0</v>
      </c>
      <c r="W242" s="77">
        <v>0</v>
      </c>
      <c r="X242" s="37">
        <v>0</v>
      </c>
      <c r="Y242" s="77">
        <f ca="1">X242*Valores!$C$2</f>
        <v>0</v>
      </c>
      <c r="Z242" s="77">
        <v>0</v>
      </c>
      <c r="AA242" s="89">
        <f ca="1">(Valores!$C$32)*D242</f>
        <v>36.96</v>
      </c>
      <c r="AB242" s="77">
        <f t="shared" ca="1" si="34"/>
        <v>0</v>
      </c>
      <c r="AC242" s="77">
        <f ca="1">Valores!$C$33*D242</f>
        <v>30.729999999999997</v>
      </c>
      <c r="AD242" s="116">
        <v>94</v>
      </c>
      <c r="AE242" s="77">
        <f ca="1">INT(((AD242*Valores!$C$2)*100)+0.5)/100</f>
        <v>482.66</v>
      </c>
      <c r="AF242" s="77">
        <f ca="1">Valores!$D$51*D242</f>
        <v>125.006</v>
      </c>
      <c r="AG242" s="77">
        <f ca="1">Valores!$D$52*D242</f>
        <v>35.718666666666671</v>
      </c>
      <c r="AH242" s="77">
        <f ca="1">SUM(G242,I242,K242,M242,N242,O242,P242,Q242,R242,S242,U242,V242,W242,Y242,Z242,AA242,AB242,AC242,AE242,AF242,AG242)*Valores!$C$54</f>
        <v>0</v>
      </c>
      <c r="AI242" s="141">
        <f t="shared" ca="1" si="37"/>
        <v>9358.6146666666646</v>
      </c>
      <c r="AJ242" s="61">
        <f ca="1">Valores!$C$36*D242</f>
        <v>84.910000000000011</v>
      </c>
      <c r="AK242" s="79">
        <f ca="1">Valores!$C$11*D242</f>
        <v>59.57</v>
      </c>
      <c r="AL242" s="89">
        <f ca="1">7.483*D242</f>
        <v>52.381</v>
      </c>
      <c r="AM242" s="79">
        <f ca="1">IF($G$4="SI",SUM(AK242+AL242),AK242)*Valores!$C$54</f>
        <v>0</v>
      </c>
      <c r="AN242" s="12">
        <f t="shared" ca="1" si="38"/>
        <v>196.86100000000002</v>
      </c>
      <c r="AO242" s="13">
        <f ca="1">AI242*-Valores!$C$56</f>
        <v>-1216.6199066666663</v>
      </c>
      <c r="AP242" s="13">
        <f ca="1">AI242*-Valores!$C$57</f>
        <v>-46.793073333333325</v>
      </c>
      <c r="AQ242" s="78">
        <f ca="1">AI242*-Valores!$C$58</f>
        <v>-421.13765999999987</v>
      </c>
      <c r="AR242" s="78">
        <f ca="1">AI242*-Valores!$C$59</f>
        <v>-252.68259599999996</v>
      </c>
      <c r="AS242" s="78">
        <f ca="1">AI242*-Valores!$C$60</f>
        <v>-28.075843999999993</v>
      </c>
      <c r="AT242" s="15">
        <f t="shared" ca="1" si="35"/>
        <v>7870.9250266666641</v>
      </c>
      <c r="AU242" s="15">
        <f t="shared" ca="1" si="36"/>
        <v>8011.3042466666639</v>
      </c>
      <c r="AV242" s="78">
        <f ca="1">AI242*Valores!$C$61</f>
        <v>1497.3783466666664</v>
      </c>
      <c r="AW242" s="78">
        <f ca="1">AI242*Valores!$C$62</f>
        <v>421.13765999999987</v>
      </c>
      <c r="AX242" s="78">
        <f ca="1">AI242*Valores!$C$64</f>
        <v>93.58614666666665</v>
      </c>
      <c r="AY242" s="78">
        <f ca="1">AI242*Valores!$C$65</f>
        <v>327.55151333333328</v>
      </c>
      <c r="AZ242" s="78">
        <f ca="1">AI242*Valores!$C$66</f>
        <v>56.151687999999986</v>
      </c>
      <c r="BA242" s="78">
        <f t="shared" ca="1" si="39"/>
        <v>505.36519199999998</v>
      </c>
      <c r="BB242" s="20"/>
      <c r="BC242" s="20">
        <f t="shared" ca="1" si="43"/>
        <v>28</v>
      </c>
      <c r="BD242" s="9" t="s">
        <v>467</v>
      </c>
    </row>
    <row r="243" spans="1:56" s="9" customFormat="1" ht="11.25" customHeight="1" x14ac:dyDescent="0.15">
      <c r="A243" s="20">
        <v>242</v>
      </c>
      <c r="B243" s="20"/>
      <c r="C243" s="9" t="s">
        <v>355</v>
      </c>
      <c r="D243" s="9">
        <v>8</v>
      </c>
      <c r="E243" s="10" t="str">
        <f ca="1">CONCATENATE("Hora Cátedra Enseñanza Media ",D243," hs")</f>
        <v>Hora Cátedra Enseñanza Media 8 hs</v>
      </c>
      <c r="F243" s="123">
        <f t="shared" ca="1" si="44"/>
        <v>632</v>
      </c>
      <c r="G243" s="7">
        <f ca="1">INT((F243*Valores!$C$2*100)+0.5)/100</f>
        <v>3245.13</v>
      </c>
      <c r="H243" s="134">
        <v>0</v>
      </c>
      <c r="I243" s="77">
        <f ca="1">INT((H243*Valores!$C$2*100)+0.5)/100</f>
        <v>0</v>
      </c>
      <c r="J243" s="147">
        <v>0</v>
      </c>
      <c r="K243" s="77">
        <f ca="1">INT((J243*Valores!$C$2*100)+0.5)/100</f>
        <v>0</v>
      </c>
      <c r="L243" s="120">
        <v>0</v>
      </c>
      <c r="M243" s="77">
        <f ca="1">INT((L243*Valores!$C$2*100)+0.5)/100</f>
        <v>0</v>
      </c>
      <c r="N243" s="77">
        <f t="shared" ca="1" si="40"/>
        <v>0</v>
      </c>
      <c r="O243" s="77">
        <f t="shared" ca="1" si="41"/>
        <v>3498.25</v>
      </c>
      <c r="P243" s="61">
        <f ca="1">Valores!$C$14*D243</f>
        <v>918.56</v>
      </c>
      <c r="Q243" s="61">
        <f ca="1">IF(D243&lt;15,(Valores!$E$4*D243),Valores!$D$4)</f>
        <v>1224.96</v>
      </c>
      <c r="R243" s="77">
        <v>0</v>
      </c>
      <c r="S243" s="79">
        <f ca="1">Valores!$C$45*D243</f>
        <v>253.12</v>
      </c>
      <c r="T243" s="61">
        <f ca="1">Valores!$C$22*D243</f>
        <v>371.44</v>
      </c>
      <c r="U243" s="77">
        <f t="shared" ca="1" si="45"/>
        <v>742.88</v>
      </c>
      <c r="V243" s="77">
        <v>0</v>
      </c>
      <c r="W243" s="77">
        <v>0</v>
      </c>
      <c r="X243" s="37">
        <v>0</v>
      </c>
      <c r="Y243" s="77">
        <f ca="1">X243*Valores!$C$2</f>
        <v>0</v>
      </c>
      <c r="Z243" s="77">
        <v>0</v>
      </c>
      <c r="AA243" s="89">
        <f ca="1">(Valores!$C$32)*D243</f>
        <v>42.24</v>
      </c>
      <c r="AB243" s="77">
        <f t="shared" ca="1" si="34"/>
        <v>0</v>
      </c>
      <c r="AC243" s="77">
        <f ca="1">Valores!$C$33*D243</f>
        <v>35.119999999999997</v>
      </c>
      <c r="AD243" s="116">
        <v>0</v>
      </c>
      <c r="AE243" s="77">
        <f ca="1">INT(((AD243*Valores!$C$2)*100)+0.5)/100</f>
        <v>0</v>
      </c>
      <c r="AF243" s="77">
        <f ca="1">Valores!$D$51*D243</f>
        <v>142.864</v>
      </c>
      <c r="AG243" s="77">
        <f ca="1">Valores!$D$52*D243</f>
        <v>40.821333333333335</v>
      </c>
      <c r="AH243" s="77">
        <f ca="1">SUM(G243,I243,K243,M243,N243,O243,P243,Q243,R243,S243,U243,V243,W243,Y243,Z243,AA243,AB243,AC243,AE243,AF243,AG243)*Valores!$C$54</f>
        <v>0</v>
      </c>
      <c r="AI243" s="141">
        <f t="shared" ca="1" si="37"/>
        <v>10143.945333333335</v>
      </c>
      <c r="AJ243" s="61">
        <f ca="1">Valores!$C$36*D243</f>
        <v>97.04</v>
      </c>
      <c r="AK243" s="79">
        <f ca="1">Valores!$C$11*D243</f>
        <v>68.08</v>
      </c>
      <c r="AL243" s="89">
        <f ca="1">7.484*D243</f>
        <v>59.872</v>
      </c>
      <c r="AM243" s="79">
        <f ca="1">IF($G$4="SI",SUM(AK243+AL243),AK243)*Valores!$C$54</f>
        <v>0</v>
      </c>
      <c r="AN243" s="12">
        <f t="shared" ca="1" si="38"/>
        <v>224.99200000000002</v>
      </c>
      <c r="AO243" s="13">
        <f ca="1">AI243*-Valores!$C$56</f>
        <v>-1318.7128933333336</v>
      </c>
      <c r="AP243" s="13">
        <f ca="1">AI243*-Valores!$C$57</f>
        <v>-50.719726666666674</v>
      </c>
      <c r="AQ243" s="78">
        <f ca="1">AI243*-Valores!$C$58</f>
        <v>-456.47754000000003</v>
      </c>
      <c r="AR243" s="78">
        <f ca="1">AI243*-Valores!$C$59</f>
        <v>-273.88652400000007</v>
      </c>
      <c r="AS243" s="78">
        <f ca="1">AI243*-Valores!$C$60</f>
        <v>-30.431836000000004</v>
      </c>
      <c r="AT243" s="15">
        <f t="shared" ca="1" si="35"/>
        <v>8543.0271733333357</v>
      </c>
      <c r="AU243" s="15">
        <f t="shared" ca="1" si="36"/>
        <v>8695.1863533333362</v>
      </c>
      <c r="AV243" s="78">
        <f ca="1">AI243*Valores!$C$61</f>
        <v>1623.0312533333336</v>
      </c>
      <c r="AW243" s="78">
        <f ca="1">AI243*Valores!$C$62</f>
        <v>456.47754000000003</v>
      </c>
      <c r="AX243" s="78">
        <f ca="1">AI243*Valores!$C$64</f>
        <v>101.43945333333335</v>
      </c>
      <c r="AY243" s="78">
        <f ca="1">AI243*Valores!$C$65</f>
        <v>355.03808666666674</v>
      </c>
      <c r="AZ243" s="78">
        <f ca="1">AI243*Valores!$C$66</f>
        <v>60.863672000000008</v>
      </c>
      <c r="BA243" s="78">
        <f t="shared" ca="1" si="39"/>
        <v>547.77304800000013</v>
      </c>
      <c r="BB243" s="20"/>
      <c r="BC243" s="20">
        <f t="shared" ca="1" si="43"/>
        <v>32</v>
      </c>
      <c r="BD243" s="9" t="s">
        <v>467</v>
      </c>
    </row>
    <row r="244" spans="1:56" s="9" customFormat="1" ht="11.25" customHeight="1" x14ac:dyDescent="0.15">
      <c r="A244" s="20">
        <v>243</v>
      </c>
      <c r="B244" s="20"/>
      <c r="C244" s="9" t="s">
        <v>355</v>
      </c>
      <c r="D244" s="9">
        <v>8</v>
      </c>
      <c r="E244" s="10" t="str">
        <f ca="1">CONCATENATE("Hora Cátedra Enseñanza Media ",D244," hs Esc Esp")</f>
        <v>Hora Cátedra Enseñanza Media 8 hs Esc Esp</v>
      </c>
      <c r="F244" s="123">
        <f t="shared" ca="1" si="44"/>
        <v>632</v>
      </c>
      <c r="G244" s="7">
        <f ca="1">INT((F244*Valores!$C$2*100)+0.5)/100</f>
        <v>3245.13</v>
      </c>
      <c r="H244" s="134">
        <v>0</v>
      </c>
      <c r="I244" s="77">
        <f ca="1">INT((H244*Valores!$C$2*100)+0.5)/100</f>
        <v>0</v>
      </c>
      <c r="J244" s="147">
        <v>0</v>
      </c>
      <c r="K244" s="77">
        <f ca="1">INT((J244*Valores!$C$2*100)+0.5)/100</f>
        <v>0</v>
      </c>
      <c r="L244" s="120">
        <v>0</v>
      </c>
      <c r="M244" s="77">
        <f ca="1">INT((L244*Valores!$C$2*100)+0.5)/100</f>
        <v>0</v>
      </c>
      <c r="N244" s="77">
        <f t="shared" ca="1" si="40"/>
        <v>0</v>
      </c>
      <c r="O244" s="77">
        <f t="shared" ca="1" si="41"/>
        <v>3498.25</v>
      </c>
      <c r="P244" s="61">
        <f ca="1">Valores!$C$14*D244</f>
        <v>918.56</v>
      </c>
      <c r="Q244" s="61">
        <f ca="1">IF(D244&lt;15,(Valores!$E$4*D244),Valores!$D$4)</f>
        <v>1224.96</v>
      </c>
      <c r="R244" s="77">
        <v>0</v>
      </c>
      <c r="S244" s="79">
        <f ca="1">Valores!$C$45*D244</f>
        <v>253.12</v>
      </c>
      <c r="T244" s="61">
        <f ca="1">Valores!$C$22*D244</f>
        <v>371.44</v>
      </c>
      <c r="U244" s="77">
        <f t="shared" ca="1" si="45"/>
        <v>742.88</v>
      </c>
      <c r="V244" s="77">
        <v>0</v>
      </c>
      <c r="W244" s="77">
        <v>0</v>
      </c>
      <c r="X244" s="37">
        <v>0</v>
      </c>
      <c r="Y244" s="77">
        <f ca="1">X244*Valores!$C$2</f>
        <v>0</v>
      </c>
      <c r="Z244" s="77">
        <v>0</v>
      </c>
      <c r="AA244" s="89">
        <f ca="1">(Valores!$C$32)*D244</f>
        <v>42.24</v>
      </c>
      <c r="AB244" s="77">
        <f t="shared" ca="1" si="34"/>
        <v>0</v>
      </c>
      <c r="AC244" s="77">
        <f ca="1">Valores!$C$33*D244</f>
        <v>35.119999999999997</v>
      </c>
      <c r="AD244" s="116">
        <v>94</v>
      </c>
      <c r="AE244" s="77">
        <f ca="1">INT(((AD244*Valores!$C$2)*100)+0.5)/100</f>
        <v>482.66</v>
      </c>
      <c r="AF244" s="77">
        <f ca="1">Valores!$D$51*D244</f>
        <v>142.864</v>
      </c>
      <c r="AG244" s="77">
        <f ca="1">Valores!$D$52*D244</f>
        <v>40.821333333333335</v>
      </c>
      <c r="AH244" s="77">
        <f ca="1">SUM(G244,I244,K244,M244,N244,O244,P244,Q244,R244,S244,U244,V244,W244,Y244,Z244,AA244,AB244,AC244,AE244,AF244,AG244)*Valores!$C$54</f>
        <v>0</v>
      </c>
      <c r="AI244" s="141">
        <f t="shared" ca="1" si="37"/>
        <v>10626.605333333335</v>
      </c>
      <c r="AJ244" s="61">
        <f ca="1">Valores!$C$36*D244</f>
        <v>97.04</v>
      </c>
      <c r="AK244" s="79">
        <f ca="1">Valores!$C$11*D244</f>
        <v>68.08</v>
      </c>
      <c r="AL244" s="89">
        <f ca="1">7.484*D244</f>
        <v>59.872</v>
      </c>
      <c r="AM244" s="79">
        <f ca="1">IF($G$4="SI",SUM(AK244+AL244),AK244)*Valores!$C$54</f>
        <v>0</v>
      </c>
      <c r="AN244" s="12">
        <f t="shared" ca="1" si="38"/>
        <v>224.99200000000002</v>
      </c>
      <c r="AO244" s="13">
        <f ca="1">AI244*-Valores!$C$56</f>
        <v>-1381.4586933333335</v>
      </c>
      <c r="AP244" s="13">
        <f ca="1">AI244*-Valores!$C$57</f>
        <v>-53.133026666666673</v>
      </c>
      <c r="AQ244" s="78">
        <f ca="1">AI244*-Valores!$C$58</f>
        <v>-478.19724000000002</v>
      </c>
      <c r="AR244" s="78">
        <f ca="1">AI244*-Valores!$C$59</f>
        <v>-286.91834400000005</v>
      </c>
      <c r="AS244" s="78">
        <f ca="1">AI244*-Valores!$C$60</f>
        <v>-31.879816000000005</v>
      </c>
      <c r="AT244" s="15">
        <f t="shared" ca="1" si="35"/>
        <v>8938.8083733333351</v>
      </c>
      <c r="AU244" s="15">
        <f t="shared" ca="1" si="36"/>
        <v>9098.2074533333343</v>
      </c>
      <c r="AV244" s="78">
        <f ca="1">AI244*Valores!$C$61</f>
        <v>1700.2568533333335</v>
      </c>
      <c r="AW244" s="78">
        <f ca="1">AI244*Valores!$C$62</f>
        <v>478.19724000000002</v>
      </c>
      <c r="AX244" s="78">
        <f ca="1">AI244*Valores!$C$64</f>
        <v>106.26605333333335</v>
      </c>
      <c r="AY244" s="78">
        <f ca="1">AI244*Valores!$C$65</f>
        <v>371.93118666666675</v>
      </c>
      <c r="AZ244" s="78">
        <f ca="1">AI244*Valores!$C$66</f>
        <v>63.759632000000011</v>
      </c>
      <c r="BA244" s="78">
        <f t="shared" ca="1" si="39"/>
        <v>573.83668800000009</v>
      </c>
      <c r="BB244" s="20"/>
      <c r="BC244" s="55">
        <f t="shared" ca="1" si="43"/>
        <v>32</v>
      </c>
      <c r="BD244" s="9" t="s">
        <v>467</v>
      </c>
    </row>
    <row r="245" spans="1:56" s="9" customFormat="1" ht="11.25" customHeight="1" x14ac:dyDescent="0.15">
      <c r="A245" s="20">
        <v>244</v>
      </c>
      <c r="B245" s="20"/>
      <c r="C245" s="9" t="s">
        <v>355</v>
      </c>
      <c r="D245" s="9">
        <v>9</v>
      </c>
      <c r="E245" s="10" t="str">
        <f ca="1">CONCATENATE("Hora Cátedra Enseñanza Media ",D245," hs")</f>
        <v>Hora Cátedra Enseñanza Media 9 hs</v>
      </c>
      <c r="F245" s="123">
        <f t="shared" ca="1" si="44"/>
        <v>711</v>
      </c>
      <c r="G245" s="7">
        <f ca="1">INT((F245*Valores!$C$2*100)+0.5)/100</f>
        <v>3650.77</v>
      </c>
      <c r="H245" s="134">
        <v>0</v>
      </c>
      <c r="I245" s="77">
        <f ca="1">INT((H245*Valores!$C$2*100)+0.5)/100</f>
        <v>0</v>
      </c>
      <c r="J245" s="147">
        <v>0</v>
      </c>
      <c r="K245" s="77">
        <f ca="1">INT((J245*Valores!$C$2*100)+0.5)/100</f>
        <v>0</v>
      </c>
      <c r="L245" s="120">
        <v>0</v>
      </c>
      <c r="M245" s="77">
        <f ca="1">INT((L245*Valores!$C$2*100)+0.5)/100</f>
        <v>0</v>
      </c>
      <c r="N245" s="77">
        <f t="shared" ca="1" si="40"/>
        <v>0</v>
      </c>
      <c r="O245" s="77">
        <f t="shared" ca="1" si="41"/>
        <v>3935.5299999999997</v>
      </c>
      <c r="P245" s="61">
        <f ca="1">Valores!$C$14*D245</f>
        <v>1033.3799999999999</v>
      </c>
      <c r="Q245" s="61">
        <f ca="1">IF(D245&lt;15,(Valores!$E$4*D245),Valores!$D$4)</f>
        <v>1378.08</v>
      </c>
      <c r="R245" s="77">
        <v>0</v>
      </c>
      <c r="S245" s="79">
        <f ca="1">Valores!$C$45*D245</f>
        <v>284.76</v>
      </c>
      <c r="T245" s="61">
        <f ca="1">Valores!$C$22*D245</f>
        <v>417.87</v>
      </c>
      <c r="U245" s="77">
        <f t="shared" ca="1" si="45"/>
        <v>835.74</v>
      </c>
      <c r="V245" s="77">
        <v>0</v>
      </c>
      <c r="W245" s="77">
        <v>0</v>
      </c>
      <c r="X245" s="37">
        <v>0</v>
      </c>
      <c r="Y245" s="77">
        <f ca="1">X245*Valores!$C$2</f>
        <v>0</v>
      </c>
      <c r="Z245" s="77">
        <v>0</v>
      </c>
      <c r="AA245" s="89">
        <f ca="1">(Valores!$C$32)*D245</f>
        <v>47.52</v>
      </c>
      <c r="AB245" s="77">
        <f t="shared" ca="1" si="34"/>
        <v>0</v>
      </c>
      <c r="AC245" s="77">
        <f ca="1">Valores!$C$33*D245</f>
        <v>39.51</v>
      </c>
      <c r="AD245" s="116">
        <v>0</v>
      </c>
      <c r="AE245" s="77">
        <f ca="1">INT(((AD245*Valores!$C$2)*100)+0.5)/100</f>
        <v>0</v>
      </c>
      <c r="AF245" s="77">
        <f ca="1">Valores!$D$51*D245</f>
        <v>160.72200000000001</v>
      </c>
      <c r="AG245" s="77">
        <f ca="1">Valores!$D$52*D245</f>
        <v>45.923999999999999</v>
      </c>
      <c r="AH245" s="77">
        <f ca="1">SUM(G245,I245,K245,M245,N245,O245,P245,Q245,R245,S245,U245,V245,W245,Y245,Z245,AA245,AB245,AC245,AE245,AF245,AG245)*Valores!$C$54</f>
        <v>0</v>
      </c>
      <c r="AI245" s="141">
        <f t="shared" ca="1" si="37"/>
        <v>11411.936</v>
      </c>
      <c r="AJ245" s="61">
        <f ca="1">Valores!$C$36*D245</f>
        <v>109.17</v>
      </c>
      <c r="AK245" s="79">
        <f ca="1">Valores!$C$11*D245</f>
        <v>76.59</v>
      </c>
      <c r="AL245" s="89">
        <f ca="1">7.483*D245</f>
        <v>67.346999999999994</v>
      </c>
      <c r="AM245" s="79">
        <f ca="1">IF($G$4="SI",SUM(AK245+AL245),AK245)*Valores!$C$54</f>
        <v>0</v>
      </c>
      <c r="AN245" s="12">
        <f t="shared" ca="1" si="38"/>
        <v>253.10699999999997</v>
      </c>
      <c r="AO245" s="13">
        <f ca="1">AI245*-Valores!$C$56</f>
        <v>-1483.55168</v>
      </c>
      <c r="AP245" s="13">
        <f ca="1">AI245*-Valores!$C$57</f>
        <v>-57.05968</v>
      </c>
      <c r="AQ245" s="78">
        <f ca="1">AI245*-Valores!$C$58</f>
        <v>-513.53711999999996</v>
      </c>
      <c r="AR245" s="78">
        <f ca="1">AI245*-Valores!$C$59</f>
        <v>-308.12227200000001</v>
      </c>
      <c r="AS245" s="78">
        <f ca="1">AI245*-Valores!$C$60</f>
        <v>-34.235807999999999</v>
      </c>
      <c r="AT245" s="15">
        <f t="shared" ca="1" si="35"/>
        <v>9610.894519999998</v>
      </c>
      <c r="AU245" s="15">
        <f t="shared" ca="1" si="36"/>
        <v>9782.0735599999989</v>
      </c>
      <c r="AV245" s="78">
        <f ca="1">AI245*Valores!$C$61</f>
        <v>1825.90976</v>
      </c>
      <c r="AW245" s="78">
        <f ca="1">AI245*Valores!$C$62</f>
        <v>513.53711999999996</v>
      </c>
      <c r="AX245" s="78">
        <f ca="1">AI245*Valores!$C$64</f>
        <v>114.11936</v>
      </c>
      <c r="AY245" s="78">
        <f ca="1">AI245*Valores!$C$65</f>
        <v>399.41776000000004</v>
      </c>
      <c r="AZ245" s="78">
        <f ca="1">AI245*Valores!$C$66</f>
        <v>68.471615999999997</v>
      </c>
      <c r="BA245" s="78">
        <f t="shared" ca="1" si="39"/>
        <v>616.24454400000002</v>
      </c>
      <c r="BB245" s="20"/>
      <c r="BC245" s="20">
        <f t="shared" ca="1" si="43"/>
        <v>36</v>
      </c>
      <c r="BD245" s="9" t="s">
        <v>467</v>
      </c>
    </row>
    <row r="246" spans="1:56" s="9" customFormat="1" ht="11.25" customHeight="1" x14ac:dyDescent="0.15">
      <c r="A246" s="55">
        <v>245</v>
      </c>
      <c r="B246" s="55" t="s">
        <v>462</v>
      </c>
      <c r="C246" s="52" t="s">
        <v>355</v>
      </c>
      <c r="D246" s="52">
        <v>9</v>
      </c>
      <c r="E246" s="53" t="str">
        <f ca="1">CONCATENATE("Hora Cátedra Enseñanza Media ",D246," hs Esc Esp")</f>
        <v>Hora Cátedra Enseñanza Media 9 hs Esc Esp</v>
      </c>
      <c r="F246" s="124">
        <f t="shared" ca="1" si="44"/>
        <v>711</v>
      </c>
      <c r="G246" s="129">
        <f ca="1">INT((F246*Valores!$C$2*100)+0.5)/100</f>
        <v>3650.77</v>
      </c>
      <c r="H246" s="133">
        <v>0</v>
      </c>
      <c r="I246" s="80">
        <f ca="1">INT((H246*Valores!$C$2*100)+0.5)/100</f>
        <v>0</v>
      </c>
      <c r="J246" s="148">
        <v>0</v>
      </c>
      <c r="K246" s="80">
        <f ca="1">INT((J246*Valores!$C$2*100)+0.5)/100</f>
        <v>0</v>
      </c>
      <c r="L246" s="121">
        <v>0</v>
      </c>
      <c r="M246" s="80">
        <f ca="1">INT((L246*Valores!$C$2*100)+0.5)/100</f>
        <v>0</v>
      </c>
      <c r="N246" s="80">
        <f t="shared" ca="1" si="40"/>
        <v>0</v>
      </c>
      <c r="O246" s="80">
        <f t="shared" ca="1" si="41"/>
        <v>3935.5299999999997</v>
      </c>
      <c r="P246" s="85">
        <f ca="1">Valores!$C$14*D246</f>
        <v>1033.3799999999999</v>
      </c>
      <c r="Q246" s="85">
        <f ca="1">IF(D246&lt;15,(Valores!$E$4*D246),Valores!$D$4)</f>
        <v>1378.08</v>
      </c>
      <c r="R246" s="80">
        <v>0</v>
      </c>
      <c r="S246" s="82">
        <f ca="1">Valores!$C$45*D246</f>
        <v>284.76</v>
      </c>
      <c r="T246" s="85">
        <f ca="1">Valores!$C$22*D246</f>
        <v>417.87</v>
      </c>
      <c r="U246" s="80">
        <f t="shared" ca="1" si="45"/>
        <v>835.74</v>
      </c>
      <c r="V246" s="80">
        <v>0</v>
      </c>
      <c r="W246" s="80">
        <v>0</v>
      </c>
      <c r="X246" s="60">
        <v>0</v>
      </c>
      <c r="Y246" s="80">
        <f ca="1">X246*Valores!$C$2</f>
        <v>0</v>
      </c>
      <c r="Z246" s="80">
        <v>0</v>
      </c>
      <c r="AA246" s="90">
        <f ca="1">(Valores!$C$32)*D246</f>
        <v>47.52</v>
      </c>
      <c r="AB246" s="80">
        <f t="shared" ca="1" si="34"/>
        <v>0</v>
      </c>
      <c r="AC246" s="80">
        <f ca="1">Valores!$C$33*D246</f>
        <v>39.51</v>
      </c>
      <c r="AD246" s="115">
        <v>94</v>
      </c>
      <c r="AE246" s="80">
        <f ca="1">INT(((AD246*Valores!$C$2)*100)+0.5)/100</f>
        <v>482.66</v>
      </c>
      <c r="AF246" s="80">
        <f ca="1">Valores!$D$51*D246</f>
        <v>160.72200000000001</v>
      </c>
      <c r="AG246" s="80">
        <f ca="1">Valores!$D$52*D246</f>
        <v>45.923999999999999</v>
      </c>
      <c r="AH246" s="80">
        <f ca="1">SUM(G246,I246,K246,M246,N246,O246,P246,Q246,R246,S246,U246,V246,W246,Y246,Z246,AA246,AB246,AC246,AE246,AF246,AG246)*Valores!$C$54</f>
        <v>0</v>
      </c>
      <c r="AI246" s="142">
        <f t="shared" ca="1" si="37"/>
        <v>11894.596</v>
      </c>
      <c r="AJ246" s="85">
        <f ca="1">Valores!$C$36*D246</f>
        <v>109.17</v>
      </c>
      <c r="AK246" s="82">
        <f ca="1">Valores!$C$11*D246</f>
        <v>76.59</v>
      </c>
      <c r="AL246" s="90">
        <f ca="1">7.483*D246</f>
        <v>67.346999999999994</v>
      </c>
      <c r="AM246" s="82">
        <f ca="1">IF($G$4="SI",SUM(AK246+AL246),AK246)*Valores!$C$54</f>
        <v>0</v>
      </c>
      <c r="AN246" s="186">
        <f t="shared" ca="1" si="38"/>
        <v>253.10699999999997</v>
      </c>
      <c r="AO246" s="155">
        <f ca="1">AI246*-Valores!$C$56</f>
        <v>-1546.29748</v>
      </c>
      <c r="AP246" s="155">
        <f ca="1">AI246*-Valores!$C$57</f>
        <v>-59.47298</v>
      </c>
      <c r="AQ246" s="81">
        <f ca="1">AI246*-Valores!$C$58</f>
        <v>-535.25681999999995</v>
      </c>
      <c r="AR246" s="81">
        <f ca="1">AI246*-Valores!$C$59</f>
        <v>-321.15409200000005</v>
      </c>
      <c r="AS246" s="81">
        <f ca="1">AI246*-Valores!$C$60</f>
        <v>-35.683788</v>
      </c>
      <c r="AT246" s="54">
        <f t="shared" ca="1" si="35"/>
        <v>10006.675719999999</v>
      </c>
      <c r="AU246" s="54">
        <f t="shared" ca="1" si="36"/>
        <v>10185.094659999999</v>
      </c>
      <c r="AV246" s="81">
        <f ca="1">AI246*Valores!$C$61</f>
        <v>1903.13536</v>
      </c>
      <c r="AW246" s="81">
        <f ca="1">AI246*Valores!$C$62</f>
        <v>535.25681999999995</v>
      </c>
      <c r="AX246" s="81">
        <f ca="1">AI246*Valores!$C$64</f>
        <v>118.94596</v>
      </c>
      <c r="AY246" s="81">
        <f ca="1">AI246*Valores!$C$65</f>
        <v>416.31086000000005</v>
      </c>
      <c r="AZ246" s="81">
        <f ca="1">AI246*Valores!$C$66</f>
        <v>71.367576</v>
      </c>
      <c r="BA246" s="81">
        <f t="shared" ca="1" si="39"/>
        <v>642.30818399999998</v>
      </c>
      <c r="BB246" s="55"/>
      <c r="BC246" s="55">
        <f t="shared" ca="1" si="43"/>
        <v>36</v>
      </c>
      <c r="BD246" s="52" t="s">
        <v>467</v>
      </c>
    </row>
    <row r="247" spans="1:56" s="9" customFormat="1" ht="11.25" customHeight="1" x14ac:dyDescent="0.15">
      <c r="A247" s="20">
        <v>246</v>
      </c>
      <c r="B247" s="20"/>
      <c r="C247" s="9" t="s">
        <v>355</v>
      </c>
      <c r="D247" s="9">
        <v>10</v>
      </c>
      <c r="E247" s="10" t="str">
        <f ca="1">CONCATENATE("Hora Cátedra Enseñanza Media ",D247," hs")</f>
        <v>Hora Cátedra Enseñanza Media 10 hs</v>
      </c>
      <c r="F247" s="123">
        <f t="shared" ca="1" si="44"/>
        <v>790</v>
      </c>
      <c r="G247" s="7">
        <f ca="1">INT((F247*Valores!$C$2*100)+0.5)/100</f>
        <v>4056.41</v>
      </c>
      <c r="H247" s="134">
        <v>0</v>
      </c>
      <c r="I247" s="77">
        <f ca="1">INT((H247*Valores!$C$2*100)+0.5)/100</f>
        <v>0</v>
      </c>
      <c r="J247" s="147">
        <v>0</v>
      </c>
      <c r="K247" s="77">
        <f ca="1">INT((J247*Valores!$C$2*100)+0.5)/100</f>
        <v>0</v>
      </c>
      <c r="L247" s="120">
        <v>0</v>
      </c>
      <c r="M247" s="77">
        <f ca="1">INT((L247*Valores!$C$2*100)+0.5)/100</f>
        <v>0</v>
      </c>
      <c r="N247" s="77">
        <f t="shared" ca="1" si="40"/>
        <v>0</v>
      </c>
      <c r="O247" s="77">
        <f t="shared" ca="1" si="41"/>
        <v>4372.8099999999995</v>
      </c>
      <c r="P247" s="61">
        <f ca="1">Valores!$C$14*D247</f>
        <v>1148.1999999999998</v>
      </c>
      <c r="Q247" s="61">
        <f ca="1">IF(D247&lt;15,(Valores!$E$4*D247),Valores!$D$4)</f>
        <v>1531.2</v>
      </c>
      <c r="R247" s="77">
        <v>0</v>
      </c>
      <c r="S247" s="79">
        <f ca="1">Valores!$C$45*D247</f>
        <v>316.39999999999998</v>
      </c>
      <c r="T247" s="61">
        <f ca="1">Valores!$C$22*D247</f>
        <v>464.3</v>
      </c>
      <c r="U247" s="77">
        <f t="shared" ca="1" si="45"/>
        <v>928.6</v>
      </c>
      <c r="V247" s="77">
        <v>0</v>
      </c>
      <c r="W247" s="77">
        <v>0</v>
      </c>
      <c r="X247" s="37">
        <v>0</v>
      </c>
      <c r="Y247" s="77">
        <f ca="1">X247*Valores!$C$2</f>
        <v>0</v>
      </c>
      <c r="Z247" s="77">
        <v>0</v>
      </c>
      <c r="AA247" s="89">
        <f ca="1">(Valores!$C$32)*D247</f>
        <v>52.800000000000004</v>
      </c>
      <c r="AB247" s="77">
        <f t="shared" ca="1" si="34"/>
        <v>0</v>
      </c>
      <c r="AC247" s="77">
        <f ca="1">Valores!$C$33*D247</f>
        <v>43.9</v>
      </c>
      <c r="AD247" s="116">
        <v>0</v>
      </c>
      <c r="AE247" s="77">
        <f ca="1">INT(((AD247*Valores!$C$2)*100)+0.5)/100</f>
        <v>0</v>
      </c>
      <c r="AF247" s="77">
        <f ca="1">Valores!$D$51*D247</f>
        <v>178.58</v>
      </c>
      <c r="AG247" s="77">
        <f ca="1">Valores!$D$52*D247</f>
        <v>51.026666666666671</v>
      </c>
      <c r="AH247" s="77">
        <f ca="1">SUM(G247,I247,K247,M247,N247,O247,P247,Q247,R247,S247,U247,V247,W247,Y247,Z247,AA247,AB247,AC247,AE247,AF247,AG247)*Valores!$C$54</f>
        <v>0</v>
      </c>
      <c r="AI247" s="141">
        <f t="shared" ca="1" si="37"/>
        <v>12679.926666666664</v>
      </c>
      <c r="AJ247" s="61">
        <f ca="1">Valores!$C$36*D247</f>
        <v>121.30000000000001</v>
      </c>
      <c r="AK247" s="79">
        <f ca="1">Valores!$C$11*D247</f>
        <v>85.1</v>
      </c>
      <c r="AL247" s="89">
        <f ca="1">7.483*D247</f>
        <v>74.83</v>
      </c>
      <c r="AM247" s="79">
        <f ca="1">IF($G$4="SI",SUM(AK247+AL247),AK247)*Valores!$C$54</f>
        <v>0</v>
      </c>
      <c r="AN247" s="12">
        <f t="shared" ca="1" si="38"/>
        <v>281.23</v>
      </c>
      <c r="AO247" s="13">
        <f ca="1">AI247*-Valores!$C$56</f>
        <v>-1648.3904666666665</v>
      </c>
      <c r="AP247" s="13">
        <f ca="1">AI247*-Valores!$C$57</f>
        <v>-63.399633333333327</v>
      </c>
      <c r="AQ247" s="78">
        <f ca="1">AI247*-Valores!$C$58</f>
        <v>-570.59669999999983</v>
      </c>
      <c r="AR247" s="78">
        <f ca="1">AI247*-Valores!$C$59</f>
        <v>-342.35801999999995</v>
      </c>
      <c r="AS247" s="78">
        <f ca="1">AI247*-Valores!$C$60</f>
        <v>-38.039779999999993</v>
      </c>
      <c r="AT247" s="15">
        <f t="shared" ca="1" si="35"/>
        <v>10678.769866666666</v>
      </c>
      <c r="AU247" s="15">
        <f t="shared" ca="1" si="36"/>
        <v>10868.968766666667</v>
      </c>
      <c r="AV247" s="78">
        <f ca="1">AI247*Valores!$C$61</f>
        <v>2028.7882666666665</v>
      </c>
      <c r="AW247" s="78">
        <f ca="1">AI247*Valores!$C$62</f>
        <v>570.59669999999983</v>
      </c>
      <c r="AX247" s="78">
        <f ca="1">AI247*Valores!$C$64</f>
        <v>126.79926666666665</v>
      </c>
      <c r="AY247" s="78">
        <f ca="1">AI247*Valores!$C$65</f>
        <v>443.79743333333329</v>
      </c>
      <c r="AZ247" s="78">
        <f ca="1">AI247*Valores!$C$66</f>
        <v>76.079559999999987</v>
      </c>
      <c r="BA247" s="78">
        <f t="shared" ca="1" si="39"/>
        <v>684.71603999999991</v>
      </c>
      <c r="BB247" s="20"/>
      <c r="BC247" s="20">
        <f t="shared" ca="1" si="43"/>
        <v>40</v>
      </c>
      <c r="BD247" s="9" t="s">
        <v>467</v>
      </c>
    </row>
    <row r="248" spans="1:56" s="9" customFormat="1" ht="11.25" customHeight="1" x14ac:dyDescent="0.15">
      <c r="A248" s="20">
        <v>247</v>
      </c>
      <c r="B248" s="20"/>
      <c r="C248" s="9" t="s">
        <v>355</v>
      </c>
      <c r="D248" s="9">
        <v>10</v>
      </c>
      <c r="E248" s="10" t="str">
        <f ca="1">CONCATENATE("Hora Cátedra Enseñanza Media ",D248," hs Esc Esp")</f>
        <v>Hora Cátedra Enseñanza Media 10 hs Esc Esp</v>
      </c>
      <c r="F248" s="123">
        <f t="shared" ca="1" si="44"/>
        <v>790</v>
      </c>
      <c r="G248" s="7">
        <f ca="1">INT((F248*Valores!$C$2*100)+0.5)/100</f>
        <v>4056.41</v>
      </c>
      <c r="H248" s="134">
        <v>0</v>
      </c>
      <c r="I248" s="77">
        <f ca="1">INT((H248*Valores!$C$2*100)+0.5)/100</f>
        <v>0</v>
      </c>
      <c r="J248" s="147">
        <v>0</v>
      </c>
      <c r="K248" s="77">
        <f ca="1">INT((J248*Valores!$C$2*100)+0.5)/100</f>
        <v>0</v>
      </c>
      <c r="L248" s="120">
        <v>0</v>
      </c>
      <c r="M248" s="77">
        <f ca="1">INT((L248*Valores!$C$2*100)+0.5)/100</f>
        <v>0</v>
      </c>
      <c r="N248" s="77">
        <f t="shared" ca="1" si="40"/>
        <v>0</v>
      </c>
      <c r="O248" s="77">
        <f t="shared" ca="1" si="41"/>
        <v>4372.8099999999995</v>
      </c>
      <c r="P248" s="61">
        <f ca="1">Valores!$C$14*D248</f>
        <v>1148.1999999999998</v>
      </c>
      <c r="Q248" s="61">
        <f ca="1">IF(D248&lt;15,(Valores!$E$4*D248),Valores!$D$4)</f>
        <v>1531.2</v>
      </c>
      <c r="R248" s="77">
        <v>0</v>
      </c>
      <c r="S248" s="79">
        <f ca="1">Valores!$C$45*D248</f>
        <v>316.39999999999998</v>
      </c>
      <c r="T248" s="61">
        <f ca="1">Valores!$C$22*D248</f>
        <v>464.3</v>
      </c>
      <c r="U248" s="77">
        <f t="shared" ca="1" si="45"/>
        <v>928.6</v>
      </c>
      <c r="V248" s="77">
        <v>0</v>
      </c>
      <c r="W248" s="77">
        <v>0</v>
      </c>
      <c r="X248" s="37">
        <v>0</v>
      </c>
      <c r="Y248" s="77">
        <f ca="1">X248*Valores!$C$2</f>
        <v>0</v>
      </c>
      <c r="Z248" s="77">
        <v>0</v>
      </c>
      <c r="AA248" s="89">
        <f ca="1">(Valores!$C$32)*D248</f>
        <v>52.800000000000004</v>
      </c>
      <c r="AB248" s="77">
        <f t="shared" ca="1" si="34"/>
        <v>0</v>
      </c>
      <c r="AC248" s="77">
        <f ca="1">Valores!$C$33*D248</f>
        <v>43.9</v>
      </c>
      <c r="AD248" s="116">
        <v>94</v>
      </c>
      <c r="AE248" s="77">
        <f ca="1">INT(((AD248*Valores!$C$2)*100)+0.5)/100</f>
        <v>482.66</v>
      </c>
      <c r="AF248" s="77">
        <f ca="1">Valores!$D$51*D248</f>
        <v>178.58</v>
      </c>
      <c r="AG248" s="77">
        <f ca="1">Valores!$D$52*D248</f>
        <v>51.026666666666671</v>
      </c>
      <c r="AH248" s="77">
        <f ca="1">SUM(G248,I248,K248,M248,N248,O248,P248,Q248,R248,S248,U248,V248,W248,Y248,Z248,AA248,AB248,AC248,AE248,AF248,AG248)*Valores!$C$54</f>
        <v>0</v>
      </c>
      <c r="AI248" s="141">
        <f t="shared" ca="1" si="37"/>
        <v>13162.586666666664</v>
      </c>
      <c r="AJ248" s="61">
        <f ca="1">Valores!$C$36*D248</f>
        <v>121.30000000000001</v>
      </c>
      <c r="AK248" s="79">
        <f ca="1">Valores!$C$11*D248</f>
        <v>85.1</v>
      </c>
      <c r="AL248" s="89">
        <f ca="1">7.483*D248</f>
        <v>74.83</v>
      </c>
      <c r="AM248" s="79">
        <f ca="1">IF($G$4="SI",SUM(AK248+AL248),AK248)*Valores!$C$54</f>
        <v>0</v>
      </c>
      <c r="AN248" s="12">
        <f t="shared" ca="1" si="38"/>
        <v>281.23</v>
      </c>
      <c r="AO248" s="13">
        <f ca="1">AI248*-Valores!$C$56</f>
        <v>-1711.1362666666664</v>
      </c>
      <c r="AP248" s="13">
        <f ca="1">AI248*-Valores!$C$57</f>
        <v>-65.812933333333319</v>
      </c>
      <c r="AQ248" s="78">
        <f ca="1">AI248*-Valores!$C$58</f>
        <v>-592.31639999999982</v>
      </c>
      <c r="AR248" s="78">
        <f ca="1">AI248*-Valores!$C$59</f>
        <v>-355.38983999999999</v>
      </c>
      <c r="AS248" s="78">
        <f ca="1">AI248*-Valores!$C$60</f>
        <v>-39.487759999999994</v>
      </c>
      <c r="AT248" s="15">
        <f t="shared" ca="1" si="35"/>
        <v>11074.551066666665</v>
      </c>
      <c r="AU248" s="15">
        <f t="shared" ca="1" si="36"/>
        <v>11271.989866666665</v>
      </c>
      <c r="AV248" s="78">
        <f ca="1">AI248*Valores!$C$61</f>
        <v>2106.0138666666662</v>
      </c>
      <c r="AW248" s="78">
        <f ca="1">AI248*Valores!$C$62</f>
        <v>592.31639999999982</v>
      </c>
      <c r="AX248" s="78">
        <f ca="1">AI248*Valores!$C$64</f>
        <v>131.62586666666664</v>
      </c>
      <c r="AY248" s="78">
        <f ca="1">AI248*Valores!$C$65</f>
        <v>460.69053333333329</v>
      </c>
      <c r="AZ248" s="78">
        <f ca="1">AI248*Valores!$C$66</f>
        <v>78.975519999999989</v>
      </c>
      <c r="BA248" s="78">
        <f t="shared" ca="1" si="39"/>
        <v>710.77967999999998</v>
      </c>
      <c r="BB248" s="20"/>
      <c r="BC248" s="20">
        <f t="shared" ca="1" si="43"/>
        <v>40</v>
      </c>
      <c r="BD248" s="9" t="s">
        <v>467</v>
      </c>
    </row>
    <row r="249" spans="1:56" s="9" customFormat="1" ht="11.25" customHeight="1" x14ac:dyDescent="0.15">
      <c r="A249" s="20">
        <v>248</v>
      </c>
      <c r="B249" s="20"/>
      <c r="C249" s="9" t="s">
        <v>355</v>
      </c>
      <c r="D249" s="9">
        <v>11</v>
      </c>
      <c r="E249" s="10" t="str">
        <f ca="1">CONCATENATE("Hora Cátedra Enseñanza Media ",D249," hs")</f>
        <v>Hora Cátedra Enseñanza Media 11 hs</v>
      </c>
      <c r="F249" s="123">
        <f t="shared" ca="1" si="44"/>
        <v>869</v>
      </c>
      <c r="G249" s="7">
        <f ca="1">INT((F249*Valores!$C$2*100)+0.5)/100</f>
        <v>4462.05</v>
      </c>
      <c r="H249" s="134">
        <v>0</v>
      </c>
      <c r="I249" s="77">
        <f ca="1">INT((H249*Valores!$C$2*100)+0.5)/100</f>
        <v>0</v>
      </c>
      <c r="J249" s="147">
        <v>0</v>
      </c>
      <c r="K249" s="77">
        <f ca="1">INT((J249*Valores!$C$2*100)+0.5)/100</f>
        <v>0</v>
      </c>
      <c r="L249" s="120">
        <v>0</v>
      </c>
      <c r="M249" s="77">
        <f ca="1">INT((L249*Valores!$C$2*100)+0.5)/100</f>
        <v>0</v>
      </c>
      <c r="N249" s="77">
        <f t="shared" ca="1" si="40"/>
        <v>0</v>
      </c>
      <c r="O249" s="77">
        <f t="shared" ca="1" si="41"/>
        <v>4810.09</v>
      </c>
      <c r="P249" s="61">
        <f ca="1">Valores!$C$14*D249</f>
        <v>1263.02</v>
      </c>
      <c r="Q249" s="61">
        <f ca="1">IF(D249&lt;15,(Valores!$E$4*D249),Valores!$D$4)</f>
        <v>1684.3200000000002</v>
      </c>
      <c r="R249" s="77">
        <v>0</v>
      </c>
      <c r="S249" s="79">
        <f ca="1">Valores!$C$45*D249</f>
        <v>348.04</v>
      </c>
      <c r="T249" s="61">
        <f ca="1">Valores!$C$22*D249</f>
        <v>510.73</v>
      </c>
      <c r="U249" s="77">
        <f t="shared" ca="1" si="45"/>
        <v>1021.46</v>
      </c>
      <c r="V249" s="77">
        <v>0</v>
      </c>
      <c r="W249" s="77">
        <v>0</v>
      </c>
      <c r="X249" s="37">
        <v>0</v>
      </c>
      <c r="Y249" s="77">
        <f ca="1">X249*Valores!$C$2</f>
        <v>0</v>
      </c>
      <c r="Z249" s="77">
        <v>0</v>
      </c>
      <c r="AA249" s="89">
        <f ca="1">(Valores!$C$32)*D249</f>
        <v>58.080000000000005</v>
      </c>
      <c r="AB249" s="77">
        <f t="shared" ca="1" si="34"/>
        <v>0</v>
      </c>
      <c r="AC249" s="77">
        <f ca="1">Valores!$C$33*D249</f>
        <v>48.29</v>
      </c>
      <c r="AD249" s="116">
        <v>0</v>
      </c>
      <c r="AE249" s="77">
        <f ca="1">INT(((AD249*Valores!$C$2)*100)+0.5)/100</f>
        <v>0</v>
      </c>
      <c r="AF249" s="77">
        <f ca="1">Valores!$D$51*D249</f>
        <v>196.43800000000002</v>
      </c>
      <c r="AG249" s="77">
        <f ca="1">Valores!$D$52*D249</f>
        <v>56.129333333333335</v>
      </c>
      <c r="AH249" s="77">
        <f ca="1">SUM(G249,I249,K249,M249,N249,O249,P249,Q249,R249,S249,U249,V249,W249,Y249,Z249,AA249,AB249,AC249,AE249,AF249,AG249)*Valores!$C$54</f>
        <v>0</v>
      </c>
      <c r="AI249" s="141">
        <f t="shared" ca="1" si="37"/>
        <v>13947.917333333335</v>
      </c>
      <c r="AJ249" s="61">
        <f ca="1">Valores!$C$36*D249</f>
        <v>133.43</v>
      </c>
      <c r="AK249" s="79">
        <f ca="1">Valores!$C$11*D249</f>
        <v>93.61</v>
      </c>
      <c r="AL249" s="89">
        <f ca="1">7.484*D249</f>
        <v>82.323999999999998</v>
      </c>
      <c r="AM249" s="79">
        <f ca="1">IF($G$4="SI",SUM(AK249+AL249),AK249)*Valores!$C$54</f>
        <v>0</v>
      </c>
      <c r="AN249" s="12">
        <f t="shared" ca="1" si="38"/>
        <v>309.36400000000003</v>
      </c>
      <c r="AO249" s="13">
        <f ca="1">AI249*-Valores!$C$56</f>
        <v>-1813.2292533333336</v>
      </c>
      <c r="AP249" s="13">
        <f ca="1">AI249*-Valores!$C$57</f>
        <v>-69.739586666666682</v>
      </c>
      <c r="AQ249" s="78">
        <f ca="1">AI249*-Valores!$C$58</f>
        <v>-627.65628000000004</v>
      </c>
      <c r="AR249" s="78">
        <f ca="1">AI249*-Valores!$C$59</f>
        <v>-376.59376800000007</v>
      </c>
      <c r="AS249" s="78">
        <f ca="1">AI249*-Valores!$C$60</f>
        <v>-41.843752000000002</v>
      </c>
      <c r="AT249" s="15">
        <f t="shared" ca="1" si="35"/>
        <v>11746.656213333335</v>
      </c>
      <c r="AU249" s="15">
        <f t="shared" ca="1" si="36"/>
        <v>11955.874973333333</v>
      </c>
      <c r="AV249" s="78">
        <f ca="1">AI249*Valores!$C$61</f>
        <v>2231.6667733333338</v>
      </c>
      <c r="AW249" s="78">
        <f ca="1">AI249*Valores!$C$62</f>
        <v>627.65628000000004</v>
      </c>
      <c r="AX249" s="78">
        <f ca="1">AI249*Valores!$C$64</f>
        <v>139.47917333333336</v>
      </c>
      <c r="AY249" s="78">
        <f ca="1">AI249*Valores!$C$65</f>
        <v>488.17710666666676</v>
      </c>
      <c r="AZ249" s="78">
        <f ca="1">AI249*Valores!$C$66</f>
        <v>83.687504000000004</v>
      </c>
      <c r="BA249" s="78">
        <f t="shared" ca="1" si="39"/>
        <v>753.18753600000014</v>
      </c>
      <c r="BB249" s="20"/>
      <c r="BC249" s="55">
        <f t="shared" ca="1" si="43"/>
        <v>44</v>
      </c>
      <c r="BD249" s="9" t="s">
        <v>467</v>
      </c>
    </row>
    <row r="250" spans="1:56" s="9" customFormat="1" ht="11.25" customHeight="1" x14ac:dyDescent="0.15">
      <c r="A250" s="20">
        <v>249</v>
      </c>
      <c r="B250" s="20"/>
      <c r="C250" s="9" t="s">
        <v>355</v>
      </c>
      <c r="D250" s="9">
        <v>11</v>
      </c>
      <c r="E250" s="10" t="str">
        <f ca="1">CONCATENATE("Hora Cátedra Enseñanza Media ",D250," hs Esc Esp")</f>
        <v>Hora Cátedra Enseñanza Media 11 hs Esc Esp</v>
      </c>
      <c r="F250" s="123">
        <f t="shared" ca="1" si="44"/>
        <v>869</v>
      </c>
      <c r="G250" s="7">
        <f ca="1">INT((F250*Valores!$C$2*100)+0.5)/100</f>
        <v>4462.05</v>
      </c>
      <c r="H250" s="134">
        <v>0</v>
      </c>
      <c r="I250" s="77">
        <f ca="1">INT((H250*Valores!$C$2*100)+0.5)/100</f>
        <v>0</v>
      </c>
      <c r="J250" s="147">
        <v>0</v>
      </c>
      <c r="K250" s="77">
        <f ca="1">INT((J250*Valores!$C$2*100)+0.5)/100</f>
        <v>0</v>
      </c>
      <c r="L250" s="120">
        <v>0</v>
      </c>
      <c r="M250" s="77">
        <f ca="1">INT((L250*Valores!$C$2*100)+0.5)/100</f>
        <v>0</v>
      </c>
      <c r="N250" s="77">
        <f t="shared" ca="1" si="40"/>
        <v>0</v>
      </c>
      <c r="O250" s="77">
        <f t="shared" ca="1" si="41"/>
        <v>4810.09</v>
      </c>
      <c r="P250" s="61">
        <f ca="1">Valores!$C$14*D250</f>
        <v>1263.02</v>
      </c>
      <c r="Q250" s="61">
        <f ca="1">IF(D250&lt;15,(Valores!$E$4*D250),Valores!$D$4)</f>
        <v>1684.3200000000002</v>
      </c>
      <c r="R250" s="77">
        <v>0</v>
      </c>
      <c r="S250" s="79">
        <f ca="1">Valores!$C$45*D250</f>
        <v>348.04</v>
      </c>
      <c r="T250" s="61">
        <f ca="1">Valores!$C$22*D250</f>
        <v>510.73</v>
      </c>
      <c r="U250" s="77">
        <f t="shared" ca="1" si="45"/>
        <v>1021.46</v>
      </c>
      <c r="V250" s="77">
        <v>0</v>
      </c>
      <c r="W250" s="77">
        <v>0</v>
      </c>
      <c r="X250" s="37">
        <v>0</v>
      </c>
      <c r="Y250" s="77">
        <f ca="1">X250*Valores!$C$2</f>
        <v>0</v>
      </c>
      <c r="Z250" s="77">
        <v>0</v>
      </c>
      <c r="AA250" s="89">
        <f ca="1">(Valores!$C$32)*D250</f>
        <v>58.080000000000005</v>
      </c>
      <c r="AB250" s="77">
        <f t="shared" ca="1" si="34"/>
        <v>0</v>
      </c>
      <c r="AC250" s="77">
        <f ca="1">Valores!$C$33*D250</f>
        <v>48.29</v>
      </c>
      <c r="AD250" s="116">
        <v>94</v>
      </c>
      <c r="AE250" s="77">
        <f ca="1">INT(((AD250*Valores!$C$2)*100)+0.5)/100</f>
        <v>482.66</v>
      </c>
      <c r="AF250" s="77">
        <f ca="1">Valores!$D$51*D250</f>
        <v>196.43800000000002</v>
      </c>
      <c r="AG250" s="77">
        <f ca="1">Valores!$D$52*D250</f>
        <v>56.129333333333335</v>
      </c>
      <c r="AH250" s="77">
        <f ca="1">SUM(G250,I250,K250,M250,N250,O250,P250,Q250,R250,S250,U250,V250,W250,Y250,Z250,AA250,AB250,AC250,AE250,AF250,AG250)*Valores!$C$54</f>
        <v>0</v>
      </c>
      <c r="AI250" s="141">
        <f t="shared" ca="1" si="37"/>
        <v>14430.577333333335</v>
      </c>
      <c r="AJ250" s="61">
        <f ca="1">Valores!$C$36*D250</f>
        <v>133.43</v>
      </c>
      <c r="AK250" s="79">
        <f ca="1">Valores!$C$11*D250</f>
        <v>93.61</v>
      </c>
      <c r="AL250" s="89">
        <f ca="1">7.484*D250</f>
        <v>82.323999999999998</v>
      </c>
      <c r="AM250" s="79">
        <f ca="1">IF($G$4="SI",SUM(AK250+AL250),AK250)*Valores!$C$54</f>
        <v>0</v>
      </c>
      <c r="AN250" s="12">
        <f t="shared" ca="1" si="38"/>
        <v>309.36400000000003</v>
      </c>
      <c r="AO250" s="13">
        <f ca="1">AI250*-Valores!$C$56</f>
        <v>-1875.9750533333336</v>
      </c>
      <c r="AP250" s="13">
        <f ca="1">AI250*-Valores!$C$57</f>
        <v>-72.152886666666674</v>
      </c>
      <c r="AQ250" s="78">
        <f ca="1">AI250*-Valores!$C$58</f>
        <v>-649.37598000000003</v>
      </c>
      <c r="AR250" s="78">
        <f ca="1">AI250*-Valores!$C$59</f>
        <v>-389.62558800000005</v>
      </c>
      <c r="AS250" s="78">
        <f ca="1">AI250*-Valores!$C$60</f>
        <v>-43.291732000000003</v>
      </c>
      <c r="AT250" s="15">
        <f t="shared" ca="1" si="35"/>
        <v>12142.437413333333</v>
      </c>
      <c r="AU250" s="15">
        <f t="shared" ca="1" si="36"/>
        <v>12358.896073333333</v>
      </c>
      <c r="AV250" s="78">
        <f ca="1">AI250*Valores!$C$61</f>
        <v>2308.8923733333336</v>
      </c>
      <c r="AW250" s="78">
        <f ca="1">AI250*Valores!$C$62</f>
        <v>649.37598000000003</v>
      </c>
      <c r="AX250" s="78">
        <f ca="1">AI250*Valores!$C$64</f>
        <v>144.30577333333335</v>
      </c>
      <c r="AY250" s="78">
        <f ca="1">AI250*Valores!$C$65</f>
        <v>505.07020666666676</v>
      </c>
      <c r="AZ250" s="78">
        <f ca="1">AI250*Valores!$C$66</f>
        <v>86.583464000000006</v>
      </c>
      <c r="BA250" s="78">
        <f t="shared" ca="1" si="39"/>
        <v>779.2511760000001</v>
      </c>
      <c r="BB250" s="20"/>
      <c r="BC250" s="20">
        <f t="shared" ca="1" si="43"/>
        <v>44</v>
      </c>
      <c r="BD250" s="9" t="s">
        <v>467</v>
      </c>
    </row>
    <row r="251" spans="1:56" s="9" customFormat="1" ht="11.25" customHeight="1" x14ac:dyDescent="0.15">
      <c r="A251" s="55">
        <v>250</v>
      </c>
      <c r="B251" s="55" t="s">
        <v>462</v>
      </c>
      <c r="C251" s="52" t="s">
        <v>355</v>
      </c>
      <c r="D251" s="52">
        <v>12</v>
      </c>
      <c r="E251" s="53" t="str">
        <f ca="1">CONCATENATE("Hora Cátedra Enseñanza Media ",D251," hs")</f>
        <v>Hora Cátedra Enseñanza Media 12 hs</v>
      </c>
      <c r="F251" s="124">
        <f t="shared" ca="1" si="44"/>
        <v>948</v>
      </c>
      <c r="G251" s="129">
        <f ca="1">INT((F251*Valores!$C$2*100)+0.5)/100</f>
        <v>4867.7</v>
      </c>
      <c r="H251" s="133">
        <v>0</v>
      </c>
      <c r="I251" s="80">
        <f ca="1">INT((H251*Valores!$C$2*100)+0.5)/100</f>
        <v>0</v>
      </c>
      <c r="J251" s="148">
        <v>0</v>
      </c>
      <c r="K251" s="80">
        <f ca="1">INT((J251*Valores!$C$2*100)+0.5)/100</f>
        <v>0</v>
      </c>
      <c r="L251" s="121">
        <v>0</v>
      </c>
      <c r="M251" s="80">
        <f ca="1">INT((L251*Valores!$C$2*100)+0.5)/100</f>
        <v>0</v>
      </c>
      <c r="N251" s="80">
        <f t="shared" ca="1" si="40"/>
        <v>0</v>
      </c>
      <c r="O251" s="80">
        <f t="shared" ca="1" si="41"/>
        <v>5247.38</v>
      </c>
      <c r="P251" s="85">
        <f ca="1">Valores!$C$14*D251</f>
        <v>1377.84</v>
      </c>
      <c r="Q251" s="85">
        <f ca="1">IF(D251&lt;15,(Valores!$E$4*D251),Valores!$D$4)</f>
        <v>1837.44</v>
      </c>
      <c r="R251" s="80">
        <v>0</v>
      </c>
      <c r="S251" s="82">
        <f ca="1">Valores!$C$45*D251</f>
        <v>379.68</v>
      </c>
      <c r="T251" s="85">
        <f ca="1">Valores!$C$22*D251</f>
        <v>557.16</v>
      </c>
      <c r="U251" s="80">
        <f t="shared" ca="1" si="45"/>
        <v>1114.32</v>
      </c>
      <c r="V251" s="80">
        <v>0</v>
      </c>
      <c r="W251" s="80">
        <v>0</v>
      </c>
      <c r="X251" s="60">
        <v>0</v>
      </c>
      <c r="Y251" s="80">
        <f ca="1">X251*Valores!$C$2</f>
        <v>0</v>
      </c>
      <c r="Z251" s="80">
        <v>0</v>
      </c>
      <c r="AA251" s="90">
        <f ca="1">(Valores!$C$32)*D251</f>
        <v>63.36</v>
      </c>
      <c r="AB251" s="80">
        <f t="shared" ca="1" si="34"/>
        <v>0</v>
      </c>
      <c r="AC251" s="80">
        <f ca="1">Valores!$C$33*D251</f>
        <v>52.679999999999993</v>
      </c>
      <c r="AD251" s="115">
        <v>0</v>
      </c>
      <c r="AE251" s="80">
        <f ca="1">INT(((AD251*Valores!$C$2)*100)+0.5)/100</f>
        <v>0</v>
      </c>
      <c r="AF251" s="80">
        <f ca="1">Valores!$D$51*D251</f>
        <v>214.29599999999999</v>
      </c>
      <c r="AG251" s="80">
        <f ca="1">Valores!$D$52*D251</f>
        <v>61.231999999999999</v>
      </c>
      <c r="AH251" s="80">
        <f ca="1">SUM(G251,I251,K251,M251,N251,O251,P251,Q251,R251,S251,U251,V251,W251,Y251,Z251,AA251,AB251,AC251,AE251,AF251,AG251)*Valores!$C$54</f>
        <v>0</v>
      </c>
      <c r="AI251" s="142">
        <f t="shared" ca="1" si="37"/>
        <v>15215.928000000002</v>
      </c>
      <c r="AJ251" s="85">
        <f ca="1">Valores!$C$36*D251</f>
        <v>145.56</v>
      </c>
      <c r="AK251" s="82">
        <f ca="1">Valores!$C$11*D251</f>
        <v>102.12</v>
      </c>
      <c r="AL251" s="90">
        <f ca="1">7.483*D251</f>
        <v>89.795999999999992</v>
      </c>
      <c r="AM251" s="82">
        <f ca="1">IF($G$4="SI",SUM(AK251+AL251),AK251)*Valores!$C$54</f>
        <v>0</v>
      </c>
      <c r="AN251" s="186">
        <f t="shared" ca="1" si="38"/>
        <v>337.476</v>
      </c>
      <c r="AO251" s="155">
        <f ca="1">AI251*-Valores!$C$56</f>
        <v>-1978.0706400000004</v>
      </c>
      <c r="AP251" s="155">
        <f ca="1">AI251*-Valores!$C$57</f>
        <v>-76.079640000000012</v>
      </c>
      <c r="AQ251" s="81">
        <f ca="1">AI251*-Valores!$C$58</f>
        <v>-684.71676000000002</v>
      </c>
      <c r="AR251" s="81">
        <f ca="1">AI251*-Valores!$C$59</f>
        <v>-410.83005600000007</v>
      </c>
      <c r="AS251" s="81">
        <f ca="1">AI251*-Valores!$C$60</f>
        <v>-45.647784000000009</v>
      </c>
      <c r="AT251" s="54">
        <f t="shared" ca="1" si="35"/>
        <v>12814.536960000003</v>
      </c>
      <c r="AU251" s="54">
        <f t="shared" ca="1" si="36"/>
        <v>13042.775880000001</v>
      </c>
      <c r="AV251" s="81">
        <f ca="1">AI251*Valores!$C$61</f>
        <v>2434.5484800000004</v>
      </c>
      <c r="AW251" s="81">
        <f ca="1">AI251*Valores!$C$62</f>
        <v>684.71676000000002</v>
      </c>
      <c r="AX251" s="81">
        <f ca="1">AI251*Valores!$C$64</f>
        <v>152.15928000000002</v>
      </c>
      <c r="AY251" s="81">
        <f ca="1">AI251*Valores!$C$65</f>
        <v>532.55748000000006</v>
      </c>
      <c r="AZ251" s="81">
        <f ca="1">AI251*Valores!$C$66</f>
        <v>91.295568000000017</v>
      </c>
      <c r="BA251" s="81">
        <f t="shared" ca="1" si="39"/>
        <v>821.66011200000003</v>
      </c>
      <c r="BB251" s="55"/>
      <c r="BC251" s="55">
        <f t="shared" ca="1" si="43"/>
        <v>48</v>
      </c>
      <c r="BD251" s="52" t="s">
        <v>467</v>
      </c>
    </row>
    <row r="252" spans="1:56" s="9" customFormat="1" ht="11.25" customHeight="1" x14ac:dyDescent="0.15">
      <c r="A252" s="20">
        <v>251</v>
      </c>
      <c r="B252" s="20"/>
      <c r="C252" s="9" t="s">
        <v>355</v>
      </c>
      <c r="D252" s="9">
        <v>12</v>
      </c>
      <c r="E252" s="10" t="str">
        <f ca="1">CONCATENATE("Hora Cátedra Enseñanza Media ",D252," hs Esc Esp")</f>
        <v>Hora Cátedra Enseñanza Media 12 hs Esc Esp</v>
      </c>
      <c r="F252" s="123">
        <f t="shared" ca="1" si="44"/>
        <v>948</v>
      </c>
      <c r="G252" s="7">
        <f ca="1">INT((F252*Valores!$C$2*100)+0.5)/100</f>
        <v>4867.7</v>
      </c>
      <c r="H252" s="134">
        <v>0</v>
      </c>
      <c r="I252" s="77">
        <f ca="1">INT((H252*Valores!$C$2*100)+0.5)/100</f>
        <v>0</v>
      </c>
      <c r="J252" s="147">
        <v>0</v>
      </c>
      <c r="K252" s="77">
        <f ca="1">INT((J252*Valores!$C$2*100)+0.5)/100</f>
        <v>0</v>
      </c>
      <c r="L252" s="120">
        <v>0</v>
      </c>
      <c r="M252" s="77">
        <f ca="1">INT((L252*Valores!$C$2*100)+0.5)/100</f>
        <v>0</v>
      </c>
      <c r="N252" s="77">
        <f t="shared" ca="1" si="40"/>
        <v>0</v>
      </c>
      <c r="O252" s="77">
        <f t="shared" ca="1" si="41"/>
        <v>5247.38</v>
      </c>
      <c r="P252" s="61">
        <f ca="1">Valores!$C$14*D252</f>
        <v>1377.84</v>
      </c>
      <c r="Q252" s="61">
        <f ca="1">IF(D252&lt;15,(Valores!$E$4*D252),Valores!$D$4)</f>
        <v>1837.44</v>
      </c>
      <c r="R252" s="77">
        <v>0</v>
      </c>
      <c r="S252" s="79">
        <f ca="1">Valores!$C$45*D252</f>
        <v>379.68</v>
      </c>
      <c r="T252" s="61">
        <f ca="1">Valores!$C$22*D252</f>
        <v>557.16</v>
      </c>
      <c r="U252" s="77">
        <f t="shared" ca="1" si="45"/>
        <v>1114.32</v>
      </c>
      <c r="V252" s="77">
        <v>0</v>
      </c>
      <c r="W252" s="77">
        <v>0</v>
      </c>
      <c r="X252" s="37">
        <v>0</v>
      </c>
      <c r="Y252" s="77">
        <f ca="1">X252*Valores!$C$2</f>
        <v>0</v>
      </c>
      <c r="Z252" s="77">
        <v>0</v>
      </c>
      <c r="AA252" s="89">
        <f ca="1">(Valores!$C$32)*D252</f>
        <v>63.36</v>
      </c>
      <c r="AB252" s="77">
        <f t="shared" ca="1" si="34"/>
        <v>0</v>
      </c>
      <c r="AC252" s="77">
        <f ca="1">Valores!$C$33*D252</f>
        <v>52.679999999999993</v>
      </c>
      <c r="AD252" s="116">
        <v>94</v>
      </c>
      <c r="AE252" s="77">
        <f ca="1">INT(((AD252*Valores!$C$2)*100)+0.5)/100</f>
        <v>482.66</v>
      </c>
      <c r="AF252" s="77">
        <f ca="1">Valores!$D$51*D252</f>
        <v>214.29599999999999</v>
      </c>
      <c r="AG252" s="77">
        <f ca="1">Valores!$D$52*D252</f>
        <v>61.231999999999999</v>
      </c>
      <c r="AH252" s="77">
        <f ca="1">SUM(G252,I252,K252,M252,N252,O252,P252,Q252,R252,S252,U252,V252,W252,Y252,Z252,AA252,AB252,AC252,AE252,AF252,AG252)*Valores!$C$54</f>
        <v>0</v>
      </c>
      <c r="AI252" s="141">
        <f t="shared" ca="1" si="37"/>
        <v>15698.588000000002</v>
      </c>
      <c r="AJ252" s="61">
        <f ca="1">Valores!$C$36*D252</f>
        <v>145.56</v>
      </c>
      <c r="AK252" s="79">
        <f ca="1">Valores!$C$11*D252</f>
        <v>102.12</v>
      </c>
      <c r="AL252" s="89">
        <f ca="1">7.483*D252</f>
        <v>89.795999999999992</v>
      </c>
      <c r="AM252" s="79">
        <f ca="1">IF($G$4="SI",SUM(AK252+AL252),AK252)*Valores!$C$54</f>
        <v>0</v>
      </c>
      <c r="AN252" s="12">
        <f t="shared" ca="1" si="38"/>
        <v>337.476</v>
      </c>
      <c r="AO252" s="13">
        <f ca="1">AI252*-Valores!$C$56</f>
        <v>-2040.8164400000003</v>
      </c>
      <c r="AP252" s="13">
        <f ca="1">AI252*-Valores!$C$57</f>
        <v>-78.492940000000004</v>
      </c>
      <c r="AQ252" s="78">
        <f ca="1">AI252*-Valores!$C$58</f>
        <v>-706.43646000000001</v>
      </c>
      <c r="AR252" s="78">
        <f ca="1">AI252*-Valores!$C$59</f>
        <v>-423.86187600000011</v>
      </c>
      <c r="AS252" s="78">
        <f ca="1">AI252*-Valores!$C$60</f>
        <v>-47.095764000000003</v>
      </c>
      <c r="AT252" s="15">
        <f t="shared" ca="1" si="35"/>
        <v>13210.318160000001</v>
      </c>
      <c r="AU252" s="15">
        <f t="shared" ca="1" si="36"/>
        <v>13445.796980000001</v>
      </c>
      <c r="AV252" s="78">
        <f ca="1">AI252*Valores!$C$61</f>
        <v>2511.7740800000001</v>
      </c>
      <c r="AW252" s="78">
        <f ca="1">AI252*Valores!$C$62</f>
        <v>706.43646000000001</v>
      </c>
      <c r="AX252" s="78">
        <f ca="1">AI252*Valores!$C$64</f>
        <v>156.98588000000001</v>
      </c>
      <c r="AY252" s="78">
        <f ca="1">AI252*Valores!$C$65</f>
        <v>549.45058000000006</v>
      </c>
      <c r="AZ252" s="78">
        <f ca="1">AI252*Valores!$C$66</f>
        <v>94.191528000000005</v>
      </c>
      <c r="BA252" s="78">
        <f t="shared" ca="1" si="39"/>
        <v>847.7237520000001</v>
      </c>
      <c r="BB252" s="20"/>
      <c r="BC252" s="20">
        <f t="shared" ca="1" si="43"/>
        <v>48</v>
      </c>
      <c r="BD252" s="9" t="s">
        <v>467</v>
      </c>
    </row>
    <row r="253" spans="1:56" s="9" customFormat="1" ht="11.25" customHeight="1" x14ac:dyDescent="0.15">
      <c r="A253" s="20">
        <v>252</v>
      </c>
      <c r="B253" s="20"/>
      <c r="C253" s="9" t="s">
        <v>355</v>
      </c>
      <c r="D253" s="9">
        <v>13</v>
      </c>
      <c r="E253" s="10" t="str">
        <f ca="1">CONCATENATE("Hora Cátedra Enseñanza Media ",D253," hs")</f>
        <v>Hora Cátedra Enseñanza Media 13 hs</v>
      </c>
      <c r="F253" s="123">
        <f t="shared" ca="1" si="44"/>
        <v>1027</v>
      </c>
      <c r="G253" s="7">
        <f ca="1">INT((F253*Valores!$C$2*100)+0.5)/100</f>
        <v>5273.34</v>
      </c>
      <c r="H253" s="134">
        <v>0</v>
      </c>
      <c r="I253" s="77">
        <f ca="1">INT((H253*Valores!$C$2*100)+0.5)/100</f>
        <v>0</v>
      </c>
      <c r="J253" s="147">
        <v>0</v>
      </c>
      <c r="K253" s="77">
        <f ca="1">INT((J253*Valores!$C$2*100)+0.5)/100</f>
        <v>0</v>
      </c>
      <c r="L253" s="120">
        <v>0</v>
      </c>
      <c r="M253" s="77">
        <f ca="1">INT((L253*Valores!$C$2*100)+0.5)/100</f>
        <v>0</v>
      </c>
      <c r="N253" s="77">
        <f t="shared" ca="1" si="40"/>
        <v>0</v>
      </c>
      <c r="O253" s="77">
        <f t="shared" ca="1" si="41"/>
        <v>5684.66</v>
      </c>
      <c r="P253" s="61">
        <f ca="1">Valores!$C$14*D253</f>
        <v>1492.6599999999999</v>
      </c>
      <c r="Q253" s="61">
        <f ca="1">IF(D253&lt;15,(Valores!$E$4*D253),Valores!$D$4)</f>
        <v>1990.56</v>
      </c>
      <c r="R253" s="77">
        <v>0</v>
      </c>
      <c r="S253" s="79">
        <f ca="1">Valores!$C$45*D253</f>
        <v>411.32</v>
      </c>
      <c r="T253" s="61">
        <f ca="1">Valores!$C$22*D253</f>
        <v>603.59</v>
      </c>
      <c r="U253" s="77">
        <f t="shared" ca="1" si="45"/>
        <v>1207.18</v>
      </c>
      <c r="V253" s="77">
        <v>0</v>
      </c>
      <c r="W253" s="77">
        <v>0</v>
      </c>
      <c r="X253" s="37">
        <v>0</v>
      </c>
      <c r="Y253" s="77">
        <f ca="1">X253*Valores!$C$2</f>
        <v>0</v>
      </c>
      <c r="Z253" s="77">
        <v>0</v>
      </c>
      <c r="AA253" s="89">
        <f ca="1">(Valores!$C$32)*D253</f>
        <v>68.64</v>
      </c>
      <c r="AB253" s="77">
        <f t="shared" ca="1" si="34"/>
        <v>0</v>
      </c>
      <c r="AC253" s="77">
        <f ca="1">Valores!$C$33*D253</f>
        <v>57.069999999999993</v>
      </c>
      <c r="AD253" s="116">
        <v>0</v>
      </c>
      <c r="AE253" s="77">
        <f ca="1">INT(((AD253*Valores!$C$2)*100)+0.5)/100</f>
        <v>0</v>
      </c>
      <c r="AF253" s="77">
        <f ca="1">Valores!$D$51*D253</f>
        <v>232.154</v>
      </c>
      <c r="AG253" s="77">
        <f ca="1">Valores!$D$52*D253</f>
        <v>66.334666666666664</v>
      </c>
      <c r="AH253" s="77">
        <f ca="1">SUM(G253,I253,K253,M253,N253,O253,P253,Q253,R253,S253,U253,V253,W253,Y253,Z253,AA253,AB253,AC253,AE253,AF253,AG253)*Valores!$C$54</f>
        <v>0</v>
      </c>
      <c r="AI253" s="141">
        <f t="shared" ca="1" si="37"/>
        <v>16483.918666666665</v>
      </c>
      <c r="AJ253" s="61">
        <f ca="1">Valores!$C$36*D253</f>
        <v>157.69</v>
      </c>
      <c r="AK253" s="79">
        <f ca="1">Valores!$C$11*D253</f>
        <v>110.63</v>
      </c>
      <c r="AL253" s="89">
        <f ca="1">7.483*D253</f>
        <v>97.278999999999996</v>
      </c>
      <c r="AM253" s="79">
        <f ca="1">IF($G$4="SI",SUM(AK253+AL253),AK253)*Valores!$C$54</f>
        <v>0</v>
      </c>
      <c r="AN253" s="12">
        <f t="shared" ca="1" si="38"/>
        <v>365.59899999999999</v>
      </c>
      <c r="AO253" s="13">
        <f ca="1">AI253*-Valores!$C$56</f>
        <v>-2142.9094266666666</v>
      </c>
      <c r="AP253" s="13">
        <f ca="1">AI253*-Valores!$C$57</f>
        <v>-82.419593333333324</v>
      </c>
      <c r="AQ253" s="78">
        <f ca="1">AI253*-Valores!$C$58</f>
        <v>-741.77633999999989</v>
      </c>
      <c r="AR253" s="78">
        <f ca="1">AI253*-Valores!$C$59</f>
        <v>-445.06580400000001</v>
      </c>
      <c r="AS253" s="78">
        <f ca="1">AI253*-Valores!$C$60</f>
        <v>-49.451755999999996</v>
      </c>
      <c r="AT253" s="15">
        <f t="shared" ca="1" si="35"/>
        <v>13882.412306666663</v>
      </c>
      <c r="AU253" s="15">
        <f t="shared" ca="1" si="36"/>
        <v>14129.671086666664</v>
      </c>
      <c r="AV253" s="78">
        <f ca="1">AI253*Valores!$C$61</f>
        <v>2637.4269866666664</v>
      </c>
      <c r="AW253" s="78">
        <f ca="1">AI253*Valores!$C$62</f>
        <v>741.77633999999989</v>
      </c>
      <c r="AX253" s="78">
        <f ca="1">AI253*Valores!$C$64</f>
        <v>164.83918666666665</v>
      </c>
      <c r="AY253" s="78">
        <f ca="1">AI253*Valores!$C$65</f>
        <v>576.9371533333333</v>
      </c>
      <c r="AZ253" s="78">
        <f ca="1">AI253*Valores!$C$66</f>
        <v>98.903511999999992</v>
      </c>
      <c r="BA253" s="78">
        <f t="shared" ca="1" si="39"/>
        <v>890.13160800000003</v>
      </c>
      <c r="BB253" s="20"/>
      <c r="BC253" s="20">
        <f t="shared" ca="1" si="43"/>
        <v>52</v>
      </c>
      <c r="BD253" s="9" t="s">
        <v>467</v>
      </c>
    </row>
    <row r="254" spans="1:56" s="9" customFormat="1" ht="11.25" customHeight="1" x14ac:dyDescent="0.15">
      <c r="A254" s="20">
        <v>253</v>
      </c>
      <c r="B254" s="20"/>
      <c r="C254" s="9" t="s">
        <v>355</v>
      </c>
      <c r="D254" s="9">
        <v>13</v>
      </c>
      <c r="E254" s="10" t="str">
        <f ca="1">CONCATENATE("Hora Cátedra Enseñanza Media ",D254," hs Esc Esp")</f>
        <v>Hora Cátedra Enseñanza Media 13 hs Esc Esp</v>
      </c>
      <c r="F254" s="123">
        <f t="shared" ca="1" si="44"/>
        <v>1027</v>
      </c>
      <c r="G254" s="7">
        <f ca="1">INT((F254*Valores!$C$2*100)+0.5)/100</f>
        <v>5273.34</v>
      </c>
      <c r="H254" s="134">
        <v>0</v>
      </c>
      <c r="I254" s="77">
        <f ca="1">INT((H254*Valores!$C$2*100)+0.5)/100</f>
        <v>0</v>
      </c>
      <c r="J254" s="147">
        <v>0</v>
      </c>
      <c r="K254" s="77">
        <f ca="1">INT((J254*Valores!$C$2*100)+0.5)/100</f>
        <v>0</v>
      </c>
      <c r="L254" s="120">
        <v>0</v>
      </c>
      <c r="M254" s="77">
        <f ca="1">INT((L254*Valores!$C$2*100)+0.5)/100</f>
        <v>0</v>
      </c>
      <c r="N254" s="77">
        <f t="shared" ca="1" si="40"/>
        <v>0</v>
      </c>
      <c r="O254" s="77">
        <f t="shared" ca="1" si="41"/>
        <v>5684.66</v>
      </c>
      <c r="P254" s="61">
        <f ca="1">Valores!$C$14*D254</f>
        <v>1492.6599999999999</v>
      </c>
      <c r="Q254" s="61">
        <f ca="1">IF(D254&lt;15,(Valores!$E$4*D254),Valores!$D$4)</f>
        <v>1990.56</v>
      </c>
      <c r="R254" s="77">
        <v>0</v>
      </c>
      <c r="S254" s="79">
        <f ca="1">Valores!$C$45*D254</f>
        <v>411.32</v>
      </c>
      <c r="T254" s="61">
        <f ca="1">Valores!$C$22*D254</f>
        <v>603.59</v>
      </c>
      <c r="U254" s="77">
        <f t="shared" ca="1" si="45"/>
        <v>1207.18</v>
      </c>
      <c r="V254" s="77">
        <v>0</v>
      </c>
      <c r="W254" s="77">
        <v>0</v>
      </c>
      <c r="X254" s="37">
        <v>0</v>
      </c>
      <c r="Y254" s="77">
        <f ca="1">X254*Valores!$C$2</f>
        <v>0</v>
      </c>
      <c r="Z254" s="77">
        <v>0</v>
      </c>
      <c r="AA254" s="89">
        <f ca="1">(Valores!$C$32)*D254</f>
        <v>68.64</v>
      </c>
      <c r="AB254" s="77">
        <f t="shared" ca="1" si="34"/>
        <v>0</v>
      </c>
      <c r="AC254" s="77">
        <f ca="1">Valores!$C$33*D254</f>
        <v>57.069999999999993</v>
      </c>
      <c r="AD254" s="116">
        <v>94</v>
      </c>
      <c r="AE254" s="77">
        <f ca="1">INT(((AD254*Valores!$C$2)*100)+0.5)/100</f>
        <v>482.66</v>
      </c>
      <c r="AF254" s="77">
        <f ca="1">Valores!$D$51*D254</f>
        <v>232.154</v>
      </c>
      <c r="AG254" s="77">
        <f ca="1">Valores!$D$52*D254</f>
        <v>66.334666666666664</v>
      </c>
      <c r="AH254" s="77">
        <f ca="1">SUM(G254,I254,K254,M254,N254,O254,P254,Q254,R254,S254,U254,V254,W254,Y254,Z254,AA254,AB254,AC254,AE254,AF254,AG254)*Valores!$C$54</f>
        <v>0</v>
      </c>
      <c r="AI254" s="141">
        <f t="shared" ca="1" si="37"/>
        <v>16966.578666666665</v>
      </c>
      <c r="AJ254" s="61">
        <f ca="1">Valores!$C$36*D254</f>
        <v>157.69</v>
      </c>
      <c r="AK254" s="79">
        <f ca="1">Valores!$C$11*D254</f>
        <v>110.63</v>
      </c>
      <c r="AL254" s="89">
        <f ca="1">7.483*D254</f>
        <v>97.278999999999996</v>
      </c>
      <c r="AM254" s="79">
        <f ca="1">IF($G$4="SI",SUM(AK254+AL254),AK254)*Valores!$C$54</f>
        <v>0</v>
      </c>
      <c r="AN254" s="12">
        <f t="shared" ca="1" si="38"/>
        <v>365.59899999999999</v>
      </c>
      <c r="AO254" s="13">
        <f ca="1">AI254*-Valores!$C$56</f>
        <v>-2205.6552266666663</v>
      </c>
      <c r="AP254" s="13">
        <f ca="1">AI254*-Valores!$C$57</f>
        <v>-84.832893333333331</v>
      </c>
      <c r="AQ254" s="78">
        <f ca="1">AI254*-Valores!$C$58</f>
        <v>-763.49603999999988</v>
      </c>
      <c r="AR254" s="78">
        <f ca="1">AI254*-Valores!$C$59</f>
        <v>-458.097624</v>
      </c>
      <c r="AS254" s="78">
        <f ca="1">AI254*-Valores!$C$60</f>
        <v>-50.899735999999997</v>
      </c>
      <c r="AT254" s="15">
        <f t="shared" ca="1" si="35"/>
        <v>14278.193506666667</v>
      </c>
      <c r="AU254" s="15">
        <f t="shared" ca="1" si="36"/>
        <v>14532.692186666663</v>
      </c>
      <c r="AV254" s="78">
        <f ca="1">AI254*Valores!$C$61</f>
        <v>2714.6525866666666</v>
      </c>
      <c r="AW254" s="78">
        <f ca="1">AI254*Valores!$C$62</f>
        <v>763.49603999999988</v>
      </c>
      <c r="AX254" s="78">
        <f ca="1">AI254*Valores!$C$64</f>
        <v>169.66578666666666</v>
      </c>
      <c r="AY254" s="78">
        <f ca="1">AI254*Valores!$C$65</f>
        <v>593.8302533333333</v>
      </c>
      <c r="AZ254" s="78">
        <f ca="1">AI254*Valores!$C$66</f>
        <v>101.79947199999999</v>
      </c>
      <c r="BA254" s="78">
        <f t="shared" ca="1" si="39"/>
        <v>916.19524799999999</v>
      </c>
      <c r="BB254" s="20"/>
      <c r="BC254" s="55">
        <f t="shared" ca="1" si="43"/>
        <v>52</v>
      </c>
      <c r="BD254" s="9" t="s">
        <v>467</v>
      </c>
    </row>
    <row r="255" spans="1:56" s="9" customFormat="1" ht="11.25" customHeight="1" x14ac:dyDescent="0.15">
      <c r="A255" s="20">
        <v>254</v>
      </c>
      <c r="B255" s="20"/>
      <c r="C255" s="9" t="s">
        <v>355</v>
      </c>
      <c r="D255" s="9">
        <v>14</v>
      </c>
      <c r="E255" s="10" t="str">
        <f ca="1">CONCATENATE("Hora Cátedra Enseñanza Media ",D255," hs")</f>
        <v>Hora Cátedra Enseñanza Media 14 hs</v>
      </c>
      <c r="F255" s="123">
        <f t="shared" ca="1" si="44"/>
        <v>1106</v>
      </c>
      <c r="G255" s="7">
        <f ca="1">INT((F255*Valores!$C$2*100)+0.5)/100</f>
        <v>5678.98</v>
      </c>
      <c r="H255" s="134">
        <v>0</v>
      </c>
      <c r="I255" s="77">
        <f ca="1">INT((H255*Valores!$C$2*100)+0.5)/100</f>
        <v>0</v>
      </c>
      <c r="J255" s="147">
        <v>0</v>
      </c>
      <c r="K255" s="77">
        <f ca="1">INT((J255*Valores!$C$2*100)+0.5)/100</f>
        <v>0</v>
      </c>
      <c r="L255" s="120">
        <v>0</v>
      </c>
      <c r="M255" s="77">
        <f ca="1">INT((L255*Valores!$C$2*100)+0.5)/100</f>
        <v>0</v>
      </c>
      <c r="N255" s="77">
        <f t="shared" ca="1" si="40"/>
        <v>0</v>
      </c>
      <c r="O255" s="77">
        <f t="shared" ca="1" si="41"/>
        <v>6121.94</v>
      </c>
      <c r="P255" s="61">
        <f ca="1">Valores!$C$14*D255</f>
        <v>1607.48</v>
      </c>
      <c r="Q255" s="61">
        <f ca="1">IF(D255&lt;15,(Valores!$E$4*D255),Valores!$D$4)</f>
        <v>2143.6800000000003</v>
      </c>
      <c r="R255" s="77">
        <v>0</v>
      </c>
      <c r="S255" s="79">
        <f ca="1">Valores!$C$45*D255</f>
        <v>442.96000000000004</v>
      </c>
      <c r="T255" s="61">
        <f ca="1">Valores!$C$22*D255</f>
        <v>650.02</v>
      </c>
      <c r="U255" s="77">
        <f t="shared" ca="1" si="45"/>
        <v>1300.04</v>
      </c>
      <c r="V255" s="77">
        <v>0</v>
      </c>
      <c r="W255" s="77">
        <v>0</v>
      </c>
      <c r="X255" s="37">
        <v>0</v>
      </c>
      <c r="Y255" s="77">
        <f ca="1">X255*Valores!$C$2</f>
        <v>0</v>
      </c>
      <c r="Z255" s="77">
        <v>0</v>
      </c>
      <c r="AA255" s="89">
        <f ca="1">(Valores!$C$32)*D255</f>
        <v>73.92</v>
      </c>
      <c r="AB255" s="77">
        <f t="shared" ca="1" si="34"/>
        <v>0</v>
      </c>
      <c r="AC255" s="77">
        <f ca="1">Valores!$C$33*D255</f>
        <v>61.459999999999994</v>
      </c>
      <c r="AD255" s="116">
        <v>0</v>
      </c>
      <c r="AE255" s="77">
        <f ca="1">INT(((AD255*Valores!$C$2)*100)+0.5)/100</f>
        <v>0</v>
      </c>
      <c r="AF255" s="77">
        <f ca="1">Valores!$D$51*D255</f>
        <v>250.012</v>
      </c>
      <c r="AG255" s="77">
        <f ca="1">Valores!$D$52*D255</f>
        <v>71.437333333333342</v>
      </c>
      <c r="AH255" s="77">
        <f ca="1">SUM(G255,I255,K255,M255,N255,O255,P255,Q255,R255,S255,U255,V255,W255,Y255,Z255,AA255,AB255,AC255,AE255,AF255,AG255)*Valores!$C$54</f>
        <v>0</v>
      </c>
      <c r="AI255" s="141">
        <f t="shared" ca="1" si="37"/>
        <v>17751.909333333329</v>
      </c>
      <c r="AJ255" s="61">
        <f ca="1">Valores!$C$36*D255</f>
        <v>169.82000000000002</v>
      </c>
      <c r="AK255" s="79">
        <f ca="1">Valores!$C$11*D255</f>
        <v>119.14</v>
      </c>
      <c r="AL255" s="89">
        <f ca="1">7.4835*D255</f>
        <v>104.76900000000001</v>
      </c>
      <c r="AM255" s="79">
        <f ca="1">IF($G$4="SI",SUM(AK255+AL255),AK255)*Valores!$C$54</f>
        <v>0</v>
      </c>
      <c r="AN255" s="12">
        <f t="shared" ca="1" si="38"/>
        <v>393.72900000000004</v>
      </c>
      <c r="AO255" s="13">
        <f ca="1">AI255*-Valores!$C$56</f>
        <v>-2307.7482133333328</v>
      </c>
      <c r="AP255" s="13">
        <f ca="1">AI255*-Valores!$C$57</f>
        <v>-88.759546666666651</v>
      </c>
      <c r="AQ255" s="78">
        <f ca="1">AI255*-Valores!$C$58</f>
        <v>-798.83591999999976</v>
      </c>
      <c r="AR255" s="78">
        <f ca="1">AI255*-Valores!$C$59</f>
        <v>-479.30155199999996</v>
      </c>
      <c r="AS255" s="78">
        <f ca="1">AI255*-Valores!$C$60</f>
        <v>-53.255727999999991</v>
      </c>
      <c r="AT255" s="15">
        <f t="shared" ca="1" si="35"/>
        <v>14950.294653333327</v>
      </c>
      <c r="AU255" s="15">
        <f t="shared" ca="1" si="36"/>
        <v>15216.573293333327</v>
      </c>
      <c r="AV255" s="78">
        <f ca="1">AI255*Valores!$C$61</f>
        <v>2840.3054933333328</v>
      </c>
      <c r="AW255" s="78">
        <f ca="1">AI255*Valores!$C$62</f>
        <v>798.83591999999976</v>
      </c>
      <c r="AX255" s="78">
        <f ca="1">AI255*Valores!$C$64</f>
        <v>177.5190933333333</v>
      </c>
      <c r="AY255" s="78">
        <f ca="1">AI255*Valores!$C$65</f>
        <v>621.31682666666654</v>
      </c>
      <c r="AZ255" s="78">
        <f ca="1">AI255*Valores!$C$66</f>
        <v>106.51145599999998</v>
      </c>
      <c r="BA255" s="78">
        <f t="shared" ca="1" si="39"/>
        <v>958.60310399999992</v>
      </c>
      <c r="BB255" s="20"/>
      <c r="BC255" s="20">
        <f t="shared" ca="1" si="43"/>
        <v>56</v>
      </c>
      <c r="BD255" s="9" t="s">
        <v>467</v>
      </c>
    </row>
    <row r="256" spans="1:56" s="9" customFormat="1" ht="11.25" customHeight="1" x14ac:dyDescent="0.15">
      <c r="A256" s="55">
        <v>255</v>
      </c>
      <c r="B256" s="55" t="s">
        <v>462</v>
      </c>
      <c r="C256" s="52" t="s">
        <v>355</v>
      </c>
      <c r="D256" s="52">
        <v>14</v>
      </c>
      <c r="E256" s="53" t="str">
        <f ca="1">CONCATENATE("Hora Cátedra Enseñanza Media ",D256," hs Esc Esp")</f>
        <v>Hora Cátedra Enseñanza Media 14 hs Esc Esp</v>
      </c>
      <c r="F256" s="124">
        <f t="shared" ca="1" si="44"/>
        <v>1106</v>
      </c>
      <c r="G256" s="129">
        <f ca="1">INT((F256*Valores!$C$2*100)+0.5)/100</f>
        <v>5678.98</v>
      </c>
      <c r="H256" s="133">
        <v>0</v>
      </c>
      <c r="I256" s="80">
        <f ca="1">INT((H256*Valores!$C$2*100)+0.5)/100</f>
        <v>0</v>
      </c>
      <c r="J256" s="148">
        <v>0</v>
      </c>
      <c r="K256" s="80">
        <f ca="1">INT((J256*Valores!$C$2*100)+0.5)/100</f>
        <v>0</v>
      </c>
      <c r="L256" s="121">
        <v>0</v>
      </c>
      <c r="M256" s="80">
        <f ca="1">INT((L256*Valores!$C$2*100)+0.5)/100</f>
        <v>0</v>
      </c>
      <c r="N256" s="80">
        <f t="shared" ca="1" si="40"/>
        <v>0</v>
      </c>
      <c r="O256" s="80">
        <f t="shared" ca="1" si="41"/>
        <v>6121.94</v>
      </c>
      <c r="P256" s="85">
        <f ca="1">Valores!$C$14*D256</f>
        <v>1607.48</v>
      </c>
      <c r="Q256" s="85">
        <f ca="1">IF(D256&lt;15,(Valores!$E$4*D256),Valores!$D$4)</f>
        <v>2143.6800000000003</v>
      </c>
      <c r="R256" s="80">
        <v>0</v>
      </c>
      <c r="S256" s="82">
        <f ca="1">Valores!$C$45*D256</f>
        <v>442.96000000000004</v>
      </c>
      <c r="T256" s="85">
        <f ca="1">Valores!$C$22*D256</f>
        <v>650.02</v>
      </c>
      <c r="U256" s="80">
        <f t="shared" ca="1" si="45"/>
        <v>1300.04</v>
      </c>
      <c r="V256" s="80">
        <v>0</v>
      </c>
      <c r="W256" s="80">
        <v>0</v>
      </c>
      <c r="X256" s="60">
        <v>0</v>
      </c>
      <c r="Y256" s="80">
        <f ca="1">X256*Valores!$C$2</f>
        <v>0</v>
      </c>
      <c r="Z256" s="80">
        <v>0</v>
      </c>
      <c r="AA256" s="90">
        <f ca="1">(Valores!$C$32)*D256</f>
        <v>73.92</v>
      </c>
      <c r="AB256" s="80">
        <f t="shared" ca="1" si="34"/>
        <v>0</v>
      </c>
      <c r="AC256" s="80">
        <f ca="1">Valores!$C$33*D256</f>
        <v>61.459999999999994</v>
      </c>
      <c r="AD256" s="115">
        <v>94</v>
      </c>
      <c r="AE256" s="80">
        <f ca="1">INT(((AD256*Valores!$C$2)*100)+0.5)/100</f>
        <v>482.66</v>
      </c>
      <c r="AF256" s="80">
        <f ca="1">Valores!$D$51*D256</f>
        <v>250.012</v>
      </c>
      <c r="AG256" s="80">
        <f ca="1">Valores!$D$52*D256</f>
        <v>71.437333333333342</v>
      </c>
      <c r="AH256" s="80">
        <f ca="1">SUM(G256,I256,K256,M256,N256,O256,P256,Q256,R256,S256,U256,V256,W256,Y256,Z256,AA256,AB256,AC256,AE256,AF256,AG256)*Valores!$C$54</f>
        <v>0</v>
      </c>
      <c r="AI256" s="142">
        <f t="shared" ca="1" si="37"/>
        <v>18234.569333333329</v>
      </c>
      <c r="AJ256" s="85">
        <f ca="1">Valores!$C$36*D256</f>
        <v>169.82000000000002</v>
      </c>
      <c r="AK256" s="82">
        <f ca="1">Valores!$C$11*D256</f>
        <v>119.14</v>
      </c>
      <c r="AL256" s="90">
        <f ca="1">7.4835*D256</f>
        <v>104.76900000000001</v>
      </c>
      <c r="AM256" s="82">
        <f ca="1">IF($G$4="SI",SUM(AK256+AL256),AK256)*Valores!$C$54</f>
        <v>0</v>
      </c>
      <c r="AN256" s="186">
        <f t="shared" ca="1" si="38"/>
        <v>393.72900000000004</v>
      </c>
      <c r="AO256" s="155">
        <f ca="1">AI256*-Valores!$C$56</f>
        <v>-2370.494013333333</v>
      </c>
      <c r="AP256" s="155">
        <f ca="1">AI256*-Valores!$C$57</f>
        <v>-91.172846666666644</v>
      </c>
      <c r="AQ256" s="81">
        <f ca="1">AI256*-Valores!$C$58</f>
        <v>-820.55561999999975</v>
      </c>
      <c r="AR256" s="81">
        <f ca="1">AI256*-Valores!$C$59</f>
        <v>-492.33337199999994</v>
      </c>
      <c r="AS256" s="81">
        <f ca="1">AI256*-Valores!$C$60</f>
        <v>-54.703707999999992</v>
      </c>
      <c r="AT256" s="54">
        <f t="shared" ca="1" si="35"/>
        <v>15346.075853333328</v>
      </c>
      <c r="AU256" s="54">
        <f t="shared" ca="1" si="36"/>
        <v>15619.594393333327</v>
      </c>
      <c r="AV256" s="81">
        <f ca="1">AI256*Valores!$C$61</f>
        <v>2917.5310933333326</v>
      </c>
      <c r="AW256" s="81">
        <f ca="1">AI256*Valores!$C$62</f>
        <v>820.55561999999975</v>
      </c>
      <c r="AX256" s="81">
        <f ca="1">AI256*Valores!$C$64</f>
        <v>182.34569333333329</v>
      </c>
      <c r="AY256" s="81">
        <f ca="1">AI256*Valores!$C$65</f>
        <v>638.20992666666655</v>
      </c>
      <c r="AZ256" s="81">
        <f ca="1">AI256*Valores!$C$66</f>
        <v>109.40741599999998</v>
      </c>
      <c r="BA256" s="81">
        <f t="shared" ca="1" si="39"/>
        <v>984.66674399999988</v>
      </c>
      <c r="BB256" s="55"/>
      <c r="BC256" s="55">
        <f t="shared" ca="1" si="43"/>
        <v>56</v>
      </c>
      <c r="BD256" s="52" t="s">
        <v>467</v>
      </c>
    </row>
    <row r="257" spans="1:56" s="9" customFormat="1" ht="11.25" customHeight="1" x14ac:dyDescent="0.15">
      <c r="A257" s="20">
        <v>256</v>
      </c>
      <c r="B257" s="20"/>
      <c r="C257" s="9" t="s">
        <v>355</v>
      </c>
      <c r="D257" s="9">
        <v>15</v>
      </c>
      <c r="E257" s="10" t="str">
        <f ca="1">CONCATENATE("Hora Cátedra Enseñanza Media ",D257," hs")</f>
        <v>Hora Cátedra Enseñanza Media 15 hs</v>
      </c>
      <c r="F257" s="123">
        <f t="shared" ca="1" si="44"/>
        <v>1185</v>
      </c>
      <c r="G257" s="7">
        <f ca="1">INT((F257*Valores!$C$2*100)+0.5)/100</f>
        <v>6084.62</v>
      </c>
      <c r="H257" s="134">
        <v>0</v>
      </c>
      <c r="I257" s="77">
        <f ca="1">INT((H257*Valores!$C$2*100)+0.5)/100</f>
        <v>0</v>
      </c>
      <c r="J257" s="147">
        <v>0</v>
      </c>
      <c r="K257" s="77">
        <f ca="1">INT((J257*Valores!$C$2*100)+0.5)/100</f>
        <v>0</v>
      </c>
      <c r="L257" s="120">
        <v>0</v>
      </c>
      <c r="M257" s="77">
        <f ca="1">INT((L257*Valores!$C$2*100)+0.5)/100</f>
        <v>0</v>
      </c>
      <c r="N257" s="77">
        <f t="shared" ca="1" si="40"/>
        <v>0</v>
      </c>
      <c r="O257" s="77">
        <f t="shared" ca="1" si="41"/>
        <v>6559.22</v>
      </c>
      <c r="P257" s="61">
        <f ca="1">Valores!$C$14*D257</f>
        <v>1722.3</v>
      </c>
      <c r="Q257" s="61">
        <f ca="1">IF(D257&lt;15,(Valores!$E$4*D257),Valores!$D$4)</f>
        <v>2296.75</v>
      </c>
      <c r="R257" s="77">
        <v>0</v>
      </c>
      <c r="S257" s="79">
        <f ca="1">Valores!$C$45*D257</f>
        <v>474.6</v>
      </c>
      <c r="T257" s="61">
        <f ca="1">Valores!$C$22*D257</f>
        <v>696.45</v>
      </c>
      <c r="U257" s="77">
        <f t="shared" ca="1" si="45"/>
        <v>1392.9</v>
      </c>
      <c r="V257" s="77">
        <v>0</v>
      </c>
      <c r="W257" s="77">
        <v>0</v>
      </c>
      <c r="X257" s="37">
        <v>0</v>
      </c>
      <c r="Y257" s="77">
        <f ca="1">X257*Valores!$C$2</f>
        <v>0</v>
      </c>
      <c r="Z257" s="77">
        <v>0</v>
      </c>
      <c r="AA257" s="89">
        <f ca="1">(Valores!$C$32)*D257</f>
        <v>79.2</v>
      </c>
      <c r="AB257" s="77">
        <f t="shared" ca="1" si="34"/>
        <v>0</v>
      </c>
      <c r="AC257" s="77">
        <f ca="1">Valores!$C$33*D257</f>
        <v>65.849999999999994</v>
      </c>
      <c r="AD257" s="116">
        <v>0</v>
      </c>
      <c r="AE257" s="77">
        <f ca="1">INT(((AD257*Valores!$C$2)*100)+0.5)/100</f>
        <v>0</v>
      </c>
      <c r="AF257" s="77">
        <f ca="1">Valores!$D$51*D257</f>
        <v>267.87</v>
      </c>
      <c r="AG257" s="77">
        <f ca="1">Valores!$D$52*D257</f>
        <v>76.540000000000006</v>
      </c>
      <c r="AH257" s="77">
        <f ca="1">SUM(G257,I257,K257,M257,N257,O257,P257,Q257,R257,S257,U257,V257,W257,Y257,Z257,AA257,AB257,AC257,AE257,AF257,AG257)*Valores!$C$54</f>
        <v>0</v>
      </c>
      <c r="AI257" s="141">
        <f t="shared" ca="1" si="37"/>
        <v>19019.849999999999</v>
      </c>
      <c r="AJ257" s="61">
        <f ca="1">Valores!$C$36*D257</f>
        <v>181.95000000000002</v>
      </c>
      <c r="AK257" s="79">
        <f ca="1">Valores!$C$11*D257</f>
        <v>127.64999999999999</v>
      </c>
      <c r="AL257" s="89">
        <f t="shared" ref="AL257:AL262" ca="1" si="46">7.483*D257</f>
        <v>112.24499999999999</v>
      </c>
      <c r="AM257" s="79">
        <f ca="1">IF($G$4="SI",SUM(AK257+AL257),AK257)*Valores!$C$54</f>
        <v>0</v>
      </c>
      <c r="AN257" s="12">
        <f t="shared" ca="1" si="38"/>
        <v>421.84500000000003</v>
      </c>
      <c r="AO257" s="13">
        <f ca="1">AI257*-Valores!$C$56</f>
        <v>-2472.5805</v>
      </c>
      <c r="AP257" s="13">
        <f ca="1">AI257*-Valores!$C$57</f>
        <v>-95.099249999999998</v>
      </c>
      <c r="AQ257" s="78">
        <f ca="1">AI257*-Valores!$C$58</f>
        <v>-855.89324999999985</v>
      </c>
      <c r="AR257" s="78">
        <f ca="1">AI257*-Valores!$C$59</f>
        <v>-513.53595000000007</v>
      </c>
      <c r="AS257" s="78">
        <f ca="1">AI257*-Valores!$C$60</f>
        <v>-57.059549999999994</v>
      </c>
      <c r="AT257" s="15">
        <f t="shared" ca="1" si="35"/>
        <v>16018.121999999999</v>
      </c>
      <c r="AU257" s="15">
        <f t="shared" ca="1" si="36"/>
        <v>16303.419749999999</v>
      </c>
      <c r="AV257" s="78">
        <f ca="1">AI257*Valores!$C$61</f>
        <v>3043.1759999999999</v>
      </c>
      <c r="AW257" s="78">
        <f ca="1">AI257*Valores!$C$62</f>
        <v>855.89324999999985</v>
      </c>
      <c r="AX257" s="78">
        <f ca="1">AI257*Valores!$C$64</f>
        <v>190.1985</v>
      </c>
      <c r="AY257" s="78">
        <f ca="1">AI257*Valores!$C$65</f>
        <v>665.69475</v>
      </c>
      <c r="AZ257" s="78">
        <f ca="1">AI257*Valores!$C$66</f>
        <v>114.11909999999999</v>
      </c>
      <c r="BA257" s="78">
        <f t="shared" ca="1" si="39"/>
        <v>1027.0718999999999</v>
      </c>
      <c r="BB257" s="20"/>
      <c r="BC257" s="20">
        <f t="shared" ref="BC257:BC288" ca="1" si="47">4*D257</f>
        <v>60</v>
      </c>
      <c r="BD257" s="9" t="s">
        <v>467</v>
      </c>
    </row>
    <row r="258" spans="1:56" s="9" customFormat="1" ht="11.25" customHeight="1" x14ac:dyDescent="0.15">
      <c r="A258" s="20">
        <v>257</v>
      </c>
      <c r="B258" s="20"/>
      <c r="C258" s="9" t="s">
        <v>355</v>
      </c>
      <c r="D258" s="9">
        <v>15</v>
      </c>
      <c r="E258" s="10" t="str">
        <f ca="1">CONCATENATE("Hora Cátedra Enseñanza Media ",D258," hs Esc Esp")</f>
        <v>Hora Cátedra Enseñanza Media 15 hs Esc Esp</v>
      </c>
      <c r="F258" s="123">
        <f t="shared" ca="1" si="44"/>
        <v>1185</v>
      </c>
      <c r="G258" s="7">
        <f ca="1">INT((F258*Valores!$C$2*100)+0.5)/100</f>
        <v>6084.62</v>
      </c>
      <c r="H258" s="134">
        <v>0</v>
      </c>
      <c r="I258" s="77">
        <f ca="1">INT((H258*Valores!$C$2*100)+0.5)/100</f>
        <v>0</v>
      </c>
      <c r="J258" s="147">
        <v>0</v>
      </c>
      <c r="K258" s="77">
        <f ca="1">INT((J258*Valores!$C$2*100)+0.5)/100</f>
        <v>0</v>
      </c>
      <c r="L258" s="120">
        <v>0</v>
      </c>
      <c r="M258" s="77">
        <f ca="1">INT((L258*Valores!$C$2*100)+0.5)/100</f>
        <v>0</v>
      </c>
      <c r="N258" s="77">
        <f t="shared" ca="1" si="40"/>
        <v>0</v>
      </c>
      <c r="O258" s="77">
        <f t="shared" ca="1" si="41"/>
        <v>6559.22</v>
      </c>
      <c r="P258" s="61">
        <f ca="1">Valores!$C$14*D258</f>
        <v>1722.3</v>
      </c>
      <c r="Q258" s="61">
        <f ca="1">IF(D258&lt;15,(Valores!$E$4*D258),Valores!$D$4)</f>
        <v>2296.75</v>
      </c>
      <c r="R258" s="77">
        <v>0</v>
      </c>
      <c r="S258" s="79">
        <f ca="1">Valores!$C$45*D258</f>
        <v>474.6</v>
      </c>
      <c r="T258" s="61">
        <f ca="1">Valores!$C$22*D258</f>
        <v>696.45</v>
      </c>
      <c r="U258" s="77">
        <f t="shared" ca="1" si="45"/>
        <v>1392.9</v>
      </c>
      <c r="V258" s="77">
        <v>0</v>
      </c>
      <c r="W258" s="77">
        <v>0</v>
      </c>
      <c r="X258" s="37">
        <v>0</v>
      </c>
      <c r="Y258" s="77">
        <f ca="1">X258*Valores!$C$2</f>
        <v>0</v>
      </c>
      <c r="Z258" s="77">
        <v>0</v>
      </c>
      <c r="AA258" s="89">
        <f ca="1">(Valores!$C$32)*D258</f>
        <v>79.2</v>
      </c>
      <c r="AB258" s="77">
        <f t="shared" ca="1" si="34"/>
        <v>0</v>
      </c>
      <c r="AC258" s="77">
        <f ca="1">Valores!$C$33*D258</f>
        <v>65.849999999999994</v>
      </c>
      <c r="AD258" s="116">
        <v>94</v>
      </c>
      <c r="AE258" s="77">
        <f ca="1">INT(((AD258*Valores!$C$2)*100)+0.5)/100</f>
        <v>482.66</v>
      </c>
      <c r="AF258" s="77">
        <f ca="1">Valores!$D$51*D258</f>
        <v>267.87</v>
      </c>
      <c r="AG258" s="77">
        <f ca="1">Valores!$D$52*D258</f>
        <v>76.540000000000006</v>
      </c>
      <c r="AH258" s="77">
        <f ca="1">SUM(G258,I258,K258,M258,N258,O258,P258,Q258,R258,S258,U258,V258,W258,Y258,Z258,AA258,AB258,AC258,AE258,AF258,AG258)*Valores!$C$54</f>
        <v>0</v>
      </c>
      <c r="AI258" s="141">
        <f t="shared" ca="1" si="37"/>
        <v>19502.509999999998</v>
      </c>
      <c r="AJ258" s="61">
        <f ca="1">Valores!$C$36*D258</f>
        <v>181.95000000000002</v>
      </c>
      <c r="AK258" s="79">
        <f ca="1">Valores!$C$11*D258</f>
        <v>127.64999999999999</v>
      </c>
      <c r="AL258" s="89">
        <f t="shared" ca="1" si="46"/>
        <v>112.24499999999999</v>
      </c>
      <c r="AM258" s="79">
        <f ca="1">IF($G$4="SI",SUM(AK258+AL258),AK258)*Valores!$C$54</f>
        <v>0</v>
      </c>
      <c r="AN258" s="12">
        <f t="shared" ca="1" si="38"/>
        <v>421.84500000000003</v>
      </c>
      <c r="AO258" s="13">
        <f ca="1">AI258*-Valores!$C$56</f>
        <v>-2535.3262999999997</v>
      </c>
      <c r="AP258" s="13">
        <f ca="1">AI258*-Valores!$C$57</f>
        <v>-97.51254999999999</v>
      </c>
      <c r="AQ258" s="78">
        <f ca="1">AI258*-Valores!$C$58</f>
        <v>-877.61294999999984</v>
      </c>
      <c r="AR258" s="78">
        <f ca="1">AI258*-Valores!$C$59</f>
        <v>-526.56777</v>
      </c>
      <c r="AS258" s="78">
        <f ca="1">AI258*-Valores!$C$60</f>
        <v>-58.507529999999996</v>
      </c>
      <c r="AT258" s="15">
        <f t="shared" ca="1" si="35"/>
        <v>16413.903200000001</v>
      </c>
      <c r="AU258" s="15">
        <f t="shared" ca="1" si="36"/>
        <v>16706.440849999999</v>
      </c>
      <c r="AV258" s="78">
        <f ca="1">AI258*Valores!$C$61</f>
        <v>3120.4015999999997</v>
      </c>
      <c r="AW258" s="78">
        <f ca="1">AI258*Valores!$C$62</f>
        <v>877.61294999999984</v>
      </c>
      <c r="AX258" s="78">
        <f ca="1">AI258*Valores!$C$64</f>
        <v>195.02509999999998</v>
      </c>
      <c r="AY258" s="78">
        <f ca="1">AI258*Valores!$C$65</f>
        <v>682.58785</v>
      </c>
      <c r="AZ258" s="78">
        <f ca="1">AI258*Valores!$C$66</f>
        <v>117.01505999999999</v>
      </c>
      <c r="BA258" s="78">
        <f t="shared" ca="1" si="39"/>
        <v>1053.13554</v>
      </c>
      <c r="BB258" s="20"/>
      <c r="BC258" s="20">
        <f t="shared" ca="1" si="47"/>
        <v>60</v>
      </c>
      <c r="BD258" s="9" t="s">
        <v>467</v>
      </c>
    </row>
    <row r="259" spans="1:56" s="9" customFormat="1" ht="11.25" customHeight="1" x14ac:dyDescent="0.15">
      <c r="A259" s="20">
        <v>258</v>
      </c>
      <c r="B259" s="20"/>
      <c r="C259" s="9" t="s">
        <v>355</v>
      </c>
      <c r="D259" s="9">
        <v>16</v>
      </c>
      <c r="E259" s="10" t="str">
        <f ca="1">CONCATENATE("Hora Cátedra Enseñanza Media ",D259," hs")</f>
        <v>Hora Cátedra Enseñanza Media 16 hs</v>
      </c>
      <c r="F259" s="123">
        <f t="shared" ca="1" si="44"/>
        <v>1264</v>
      </c>
      <c r="G259" s="7">
        <f ca="1">INT((F259*Valores!$C$2*100)+0.5)/100</f>
        <v>6490.26</v>
      </c>
      <c r="H259" s="134">
        <v>0</v>
      </c>
      <c r="I259" s="77">
        <f ca="1">INT((H259*Valores!$C$2*100)+0.5)/100</f>
        <v>0</v>
      </c>
      <c r="J259" s="147">
        <v>0</v>
      </c>
      <c r="K259" s="77">
        <f ca="1">INT((J259*Valores!$C$2*100)+0.5)/100</f>
        <v>0</v>
      </c>
      <c r="L259" s="120">
        <v>0</v>
      </c>
      <c r="M259" s="77">
        <f ca="1">INT((L259*Valores!$C$2*100)+0.5)/100</f>
        <v>0</v>
      </c>
      <c r="N259" s="77">
        <f t="shared" ca="1" si="40"/>
        <v>0</v>
      </c>
      <c r="O259" s="77">
        <f t="shared" ca="1" si="41"/>
        <v>6996.5</v>
      </c>
      <c r="P259" s="61">
        <f ca="1">Valores!$C$14*D259</f>
        <v>1837.12</v>
      </c>
      <c r="Q259" s="61">
        <f ca="1">IF(D259&lt;15,(Valores!$E$4*D259),Valores!$D$4)</f>
        <v>2296.75</v>
      </c>
      <c r="R259" s="77">
        <v>0</v>
      </c>
      <c r="S259" s="79">
        <f ca="1">Valores!$C$45*D259</f>
        <v>506.24</v>
      </c>
      <c r="T259" s="61">
        <f ca="1">Valores!$C$22*D259</f>
        <v>742.88</v>
      </c>
      <c r="U259" s="77">
        <f t="shared" ca="1" si="45"/>
        <v>1485.76</v>
      </c>
      <c r="V259" s="77">
        <v>0</v>
      </c>
      <c r="W259" s="77">
        <v>0</v>
      </c>
      <c r="X259" s="37">
        <v>0</v>
      </c>
      <c r="Y259" s="77">
        <f ca="1">X259*Valores!$C$2</f>
        <v>0</v>
      </c>
      <c r="Z259" s="77">
        <v>0</v>
      </c>
      <c r="AA259" s="89">
        <f ca="1">(Valores!$C$32)*D259</f>
        <v>84.48</v>
      </c>
      <c r="AB259" s="77">
        <f t="shared" ca="1" si="34"/>
        <v>0</v>
      </c>
      <c r="AC259" s="77">
        <f ca="1">Valores!$C$33*D259</f>
        <v>70.239999999999995</v>
      </c>
      <c r="AD259" s="116">
        <v>0</v>
      </c>
      <c r="AE259" s="77">
        <f ca="1">INT(((AD259*Valores!$C$2)*100)+0.5)/100</f>
        <v>0</v>
      </c>
      <c r="AF259" s="77">
        <f ca="1">Valores!$D$51*D259</f>
        <v>285.72800000000001</v>
      </c>
      <c r="AG259" s="77">
        <f ca="1">Valores!$D$52*D259</f>
        <v>81.64266666666667</v>
      </c>
      <c r="AH259" s="77">
        <f ca="1">SUM(G259,I259,K259,M259,N259,O259,P259,Q259,R259,S259,U259,V259,W259,Y259,Z259,AA259,AB259,AC259,AE259,AF259,AG259)*Valores!$C$54</f>
        <v>0</v>
      </c>
      <c r="AI259" s="141">
        <f t="shared" ca="1" si="37"/>
        <v>20134.720666666668</v>
      </c>
      <c r="AJ259" s="61">
        <f ca="1">Valores!$C$36*D259</f>
        <v>194.08</v>
      </c>
      <c r="AK259" s="79">
        <f ca="1">Valores!$C$11*D259</f>
        <v>136.16</v>
      </c>
      <c r="AL259" s="89">
        <f t="shared" ca="1" si="46"/>
        <v>119.72799999999999</v>
      </c>
      <c r="AM259" s="79">
        <f ca="1">IF($G$4="SI",SUM(AK259+AL259),AK259)*Valores!$C$54</f>
        <v>0</v>
      </c>
      <c r="AN259" s="12">
        <f t="shared" ca="1" si="38"/>
        <v>449.96800000000002</v>
      </c>
      <c r="AO259" s="13">
        <f ca="1">AI259*-Valores!$C$56</f>
        <v>-2617.5136866666671</v>
      </c>
      <c r="AP259" s="13">
        <f ca="1">AI259*-Valores!$C$57</f>
        <v>-100.67360333333335</v>
      </c>
      <c r="AQ259" s="78">
        <f ca="1">AI259*-Valores!$C$58</f>
        <v>-906.06243000000006</v>
      </c>
      <c r="AR259" s="78">
        <f ca="1">AI259*-Valores!$C$59</f>
        <v>-543.63745800000015</v>
      </c>
      <c r="AS259" s="78">
        <f ca="1">AI259*-Valores!$C$60</f>
        <v>-60.404162000000007</v>
      </c>
      <c r="AT259" s="15">
        <f t="shared" ca="1" si="35"/>
        <v>16960.438946666669</v>
      </c>
      <c r="AU259" s="15">
        <f t="shared" ca="1" si="36"/>
        <v>17262.459756666671</v>
      </c>
      <c r="AV259" s="78">
        <f ca="1">AI259*Valores!$C$61</f>
        <v>3221.5553066666671</v>
      </c>
      <c r="AW259" s="78">
        <f ca="1">AI259*Valores!$C$62</f>
        <v>906.06243000000006</v>
      </c>
      <c r="AX259" s="78">
        <f ca="1">AI259*Valores!$C$64</f>
        <v>201.34720666666669</v>
      </c>
      <c r="AY259" s="78">
        <f ca="1">AI259*Valores!$C$65</f>
        <v>704.71522333333348</v>
      </c>
      <c r="AZ259" s="78">
        <f ca="1">AI259*Valores!$C$66</f>
        <v>120.80832400000001</v>
      </c>
      <c r="BA259" s="78">
        <f t="shared" ca="1" si="39"/>
        <v>1087.2749160000001</v>
      </c>
      <c r="BB259" s="20"/>
      <c r="BC259" s="55">
        <f t="shared" ca="1" si="47"/>
        <v>64</v>
      </c>
      <c r="BD259" s="9" t="s">
        <v>467</v>
      </c>
    </row>
    <row r="260" spans="1:56" s="9" customFormat="1" ht="11.25" customHeight="1" x14ac:dyDescent="0.15">
      <c r="A260" s="20">
        <v>259</v>
      </c>
      <c r="B260" s="20"/>
      <c r="C260" s="9" t="s">
        <v>355</v>
      </c>
      <c r="D260" s="9">
        <v>16</v>
      </c>
      <c r="E260" s="10" t="str">
        <f ca="1">CONCATENATE("Hora Cátedra Enseñanza Media ",D260," hs Esc Esp")</f>
        <v>Hora Cátedra Enseñanza Media 16 hs Esc Esp</v>
      </c>
      <c r="F260" s="123">
        <f t="shared" ca="1" si="44"/>
        <v>1264</v>
      </c>
      <c r="G260" s="7">
        <f ca="1">INT((F260*Valores!$C$2*100)+0.5)/100</f>
        <v>6490.26</v>
      </c>
      <c r="H260" s="134">
        <v>0</v>
      </c>
      <c r="I260" s="77">
        <f ca="1">INT((H260*Valores!$C$2*100)+0.5)/100</f>
        <v>0</v>
      </c>
      <c r="J260" s="147">
        <v>0</v>
      </c>
      <c r="K260" s="77">
        <f ca="1">INT((J260*Valores!$C$2*100)+0.5)/100</f>
        <v>0</v>
      </c>
      <c r="L260" s="120">
        <v>0</v>
      </c>
      <c r="M260" s="77">
        <f ca="1">INT((L260*Valores!$C$2*100)+0.5)/100</f>
        <v>0</v>
      </c>
      <c r="N260" s="77">
        <f t="shared" ca="1" si="40"/>
        <v>0</v>
      </c>
      <c r="O260" s="77">
        <f t="shared" ca="1" si="41"/>
        <v>6996.5</v>
      </c>
      <c r="P260" s="61">
        <f ca="1">Valores!$C$14*D260</f>
        <v>1837.12</v>
      </c>
      <c r="Q260" s="61">
        <f ca="1">IF(D260&lt;15,(Valores!$E$4*D260),Valores!$D$4)</f>
        <v>2296.75</v>
      </c>
      <c r="R260" s="77">
        <v>0</v>
      </c>
      <c r="S260" s="79">
        <f ca="1">Valores!$C$45*D260</f>
        <v>506.24</v>
      </c>
      <c r="T260" s="61">
        <f ca="1">Valores!$C$22*D260</f>
        <v>742.88</v>
      </c>
      <c r="U260" s="77">
        <f t="shared" ca="1" si="45"/>
        <v>1485.76</v>
      </c>
      <c r="V260" s="77">
        <v>0</v>
      </c>
      <c r="W260" s="77">
        <v>0</v>
      </c>
      <c r="X260" s="37">
        <v>0</v>
      </c>
      <c r="Y260" s="77">
        <f ca="1">X260*Valores!$C$2</f>
        <v>0</v>
      </c>
      <c r="Z260" s="77">
        <v>0</v>
      </c>
      <c r="AA260" s="89">
        <f ca="1">(Valores!$C$32)*D260</f>
        <v>84.48</v>
      </c>
      <c r="AB260" s="77">
        <f t="shared" ca="1" si="34"/>
        <v>0</v>
      </c>
      <c r="AC260" s="77">
        <f ca="1">Valores!$C$33*D260</f>
        <v>70.239999999999995</v>
      </c>
      <c r="AD260" s="116">
        <v>94</v>
      </c>
      <c r="AE260" s="77">
        <f ca="1">INT(((AD260*Valores!$C$2)*100)+0.5)/100</f>
        <v>482.66</v>
      </c>
      <c r="AF260" s="77">
        <f ca="1">Valores!$D$51*D260</f>
        <v>285.72800000000001</v>
      </c>
      <c r="AG260" s="77">
        <f ca="1">Valores!$D$52*D260</f>
        <v>81.64266666666667</v>
      </c>
      <c r="AH260" s="77">
        <f ca="1">SUM(G260,I260,K260,M260,N260,O260,P260,Q260,R260,S260,U260,V260,W260,Y260,Z260,AA260,AB260,AC260,AE260,AF260,AG260)*Valores!$C$54</f>
        <v>0</v>
      </c>
      <c r="AI260" s="141">
        <f t="shared" ca="1" si="37"/>
        <v>20617.380666666668</v>
      </c>
      <c r="AJ260" s="61">
        <f ca="1">Valores!$C$36*D260</f>
        <v>194.08</v>
      </c>
      <c r="AK260" s="79">
        <f ca="1">Valores!$C$11*D260</f>
        <v>136.16</v>
      </c>
      <c r="AL260" s="89">
        <f t="shared" ca="1" si="46"/>
        <v>119.72799999999999</v>
      </c>
      <c r="AM260" s="79">
        <f ca="1">IF($G$4="SI",SUM(AK260+AL260),AK260)*Valores!$C$54</f>
        <v>0</v>
      </c>
      <c r="AN260" s="12">
        <f t="shared" ca="1" si="38"/>
        <v>449.96800000000002</v>
      </c>
      <c r="AO260" s="13">
        <f ca="1">AI260*-Valores!$C$56</f>
        <v>-2680.2594866666668</v>
      </c>
      <c r="AP260" s="13">
        <f ca="1">AI260*-Valores!$C$57</f>
        <v>-103.08690333333334</v>
      </c>
      <c r="AQ260" s="78">
        <f ca="1">AI260*-Valores!$C$58</f>
        <v>-927.78213000000005</v>
      </c>
      <c r="AR260" s="78">
        <f ca="1">AI260*-Valores!$C$59</f>
        <v>-556.66927800000008</v>
      </c>
      <c r="AS260" s="78">
        <f ca="1">AI260*-Valores!$C$60</f>
        <v>-61.852142000000008</v>
      </c>
      <c r="AT260" s="15">
        <f t="shared" ca="1" si="35"/>
        <v>17356.22014666667</v>
      </c>
      <c r="AU260" s="15">
        <f t="shared" ca="1" si="36"/>
        <v>17665.480856666669</v>
      </c>
      <c r="AV260" s="78">
        <f ca="1">AI260*Valores!$C$61</f>
        <v>3298.7809066666669</v>
      </c>
      <c r="AW260" s="78">
        <f ca="1">AI260*Valores!$C$62</f>
        <v>927.78213000000005</v>
      </c>
      <c r="AX260" s="78">
        <f ca="1">AI260*Valores!$C$64</f>
        <v>206.17380666666668</v>
      </c>
      <c r="AY260" s="78">
        <f ca="1">AI260*Valores!$C$65</f>
        <v>721.60832333333349</v>
      </c>
      <c r="AZ260" s="78">
        <f ca="1">AI260*Valores!$C$66</f>
        <v>123.70428400000002</v>
      </c>
      <c r="BA260" s="78">
        <f t="shared" ca="1" si="39"/>
        <v>1113.3385560000002</v>
      </c>
      <c r="BB260" s="20"/>
      <c r="BC260" s="20">
        <f t="shared" ca="1" si="47"/>
        <v>64</v>
      </c>
      <c r="BD260" s="9" t="s">
        <v>467</v>
      </c>
    </row>
    <row r="261" spans="1:56" s="9" customFormat="1" ht="11.25" customHeight="1" x14ac:dyDescent="0.15">
      <c r="A261" s="55">
        <v>260</v>
      </c>
      <c r="B261" s="55" t="s">
        <v>462</v>
      </c>
      <c r="C261" s="52" t="s">
        <v>355</v>
      </c>
      <c r="D261" s="52">
        <v>17</v>
      </c>
      <c r="E261" s="53" t="str">
        <f ca="1">CONCATENATE("Hora Cátedra Enseñanza Media ",D261," hs")</f>
        <v>Hora Cátedra Enseñanza Media 17 hs</v>
      </c>
      <c r="F261" s="124">
        <f t="shared" ref="F261:F292" ca="1" si="48">79*D261</f>
        <v>1343</v>
      </c>
      <c r="G261" s="129">
        <f ca="1">INT((F261*Valores!$C$2*100)+0.5)/100</f>
        <v>6895.9</v>
      </c>
      <c r="H261" s="133">
        <v>0</v>
      </c>
      <c r="I261" s="80">
        <f ca="1">INT((H261*Valores!$C$2*100)+0.5)/100</f>
        <v>0</v>
      </c>
      <c r="J261" s="148">
        <v>0</v>
      </c>
      <c r="K261" s="80">
        <f ca="1">INT((J261*Valores!$C$2*100)+0.5)/100</f>
        <v>0</v>
      </c>
      <c r="L261" s="121">
        <v>0</v>
      </c>
      <c r="M261" s="80">
        <f ca="1">INT((L261*Valores!$C$2*100)+0.5)/100</f>
        <v>0</v>
      </c>
      <c r="N261" s="80">
        <f t="shared" ca="1" si="40"/>
        <v>0</v>
      </c>
      <c r="O261" s="80">
        <f t="shared" ca="1" si="41"/>
        <v>7433.78</v>
      </c>
      <c r="P261" s="85">
        <f ca="1">Valores!$C$14*D261</f>
        <v>1951.9399999999998</v>
      </c>
      <c r="Q261" s="85">
        <f ca="1">IF(D261&lt;15,(Valores!$E$4*D261),Valores!$D$4)</f>
        <v>2296.75</v>
      </c>
      <c r="R261" s="80">
        <v>0</v>
      </c>
      <c r="S261" s="82">
        <f ca="1">Valores!$C$45*D261</f>
        <v>537.88</v>
      </c>
      <c r="T261" s="85">
        <f ca="1">Valores!$C$22*D261</f>
        <v>789.31</v>
      </c>
      <c r="U261" s="80">
        <f t="shared" ca="1" si="45"/>
        <v>1578.62</v>
      </c>
      <c r="V261" s="80">
        <v>0</v>
      </c>
      <c r="W261" s="80">
        <v>0</v>
      </c>
      <c r="X261" s="60">
        <v>0</v>
      </c>
      <c r="Y261" s="80">
        <f ca="1">X261*Valores!$C$2</f>
        <v>0</v>
      </c>
      <c r="Z261" s="80">
        <v>0</v>
      </c>
      <c r="AA261" s="90">
        <f ca="1">(Valores!$C$32)*D261</f>
        <v>89.76</v>
      </c>
      <c r="AB261" s="80">
        <f t="shared" ca="1" si="34"/>
        <v>0</v>
      </c>
      <c r="AC261" s="80">
        <f ca="1">Valores!$C$33*D261</f>
        <v>74.63</v>
      </c>
      <c r="AD261" s="115">
        <v>0</v>
      </c>
      <c r="AE261" s="80">
        <f ca="1">INT(((AD261*Valores!$C$2)*100)+0.5)/100</f>
        <v>0</v>
      </c>
      <c r="AF261" s="80">
        <f ca="1">Valores!$D$51*D261</f>
        <v>303.58600000000001</v>
      </c>
      <c r="AG261" s="80">
        <f ca="1">Valores!$D$52*D261</f>
        <v>86.745333333333335</v>
      </c>
      <c r="AH261" s="80">
        <f ca="1">SUM(G261,I261,K261,M261,N261,O261,P261,Q261,R261,S261,U261,V261,W261,Y261,Z261,AA261,AB261,AC261,AE261,AF261,AG261)*Valores!$C$54</f>
        <v>0</v>
      </c>
      <c r="AI261" s="142">
        <f t="shared" ca="1" si="37"/>
        <v>21249.591333333334</v>
      </c>
      <c r="AJ261" s="85">
        <f ca="1">Valores!$C$36*D261</f>
        <v>206.21</v>
      </c>
      <c r="AK261" s="82">
        <f ca="1">Valores!$C$11*D261</f>
        <v>144.66999999999999</v>
      </c>
      <c r="AL261" s="90">
        <f t="shared" ca="1" si="46"/>
        <v>127.211</v>
      </c>
      <c r="AM261" s="82">
        <f ca="1">IF($G$4="SI",SUM(AK261+AL261),AK261)*Valores!$C$54</f>
        <v>0</v>
      </c>
      <c r="AN261" s="186">
        <f t="shared" ca="1" si="38"/>
        <v>478.09100000000001</v>
      </c>
      <c r="AO261" s="155">
        <f ca="1">AI261*-Valores!$C$56</f>
        <v>-2762.4468733333333</v>
      </c>
      <c r="AP261" s="155">
        <f ca="1">AI261*-Valores!$C$57</f>
        <v>-106.24795666666667</v>
      </c>
      <c r="AQ261" s="81">
        <f ca="1">AI261*-Valores!$C$58</f>
        <v>-956.23160999999993</v>
      </c>
      <c r="AR261" s="81">
        <f ca="1">AI261*-Valores!$C$59</f>
        <v>-573.73896600000012</v>
      </c>
      <c r="AS261" s="81">
        <f ca="1">AI261*-Valores!$C$60</f>
        <v>-63.748774000000004</v>
      </c>
      <c r="AT261" s="54">
        <f t="shared" ca="1" si="35"/>
        <v>17902.755893333335</v>
      </c>
      <c r="AU261" s="54">
        <f t="shared" ca="1" si="36"/>
        <v>18221.499763333333</v>
      </c>
      <c r="AV261" s="81">
        <f ca="1">AI261*Valores!$C$61</f>
        <v>3399.9346133333333</v>
      </c>
      <c r="AW261" s="81">
        <f ca="1">AI261*Valores!$C$62</f>
        <v>956.23160999999993</v>
      </c>
      <c r="AX261" s="81">
        <f ca="1">AI261*Valores!$C$64</f>
        <v>212.49591333333333</v>
      </c>
      <c r="AY261" s="81">
        <f ca="1">AI261*Valores!$C$65</f>
        <v>743.73569666666674</v>
      </c>
      <c r="AZ261" s="81">
        <f ca="1">AI261*Valores!$C$66</f>
        <v>127.49754800000001</v>
      </c>
      <c r="BA261" s="81">
        <f t="shared" ca="1" si="39"/>
        <v>1147.4779320000002</v>
      </c>
      <c r="BB261" s="55"/>
      <c r="BC261" s="55">
        <f t="shared" ca="1" si="47"/>
        <v>68</v>
      </c>
      <c r="BD261" s="52" t="s">
        <v>467</v>
      </c>
    </row>
    <row r="262" spans="1:56" s="9" customFormat="1" ht="11.25" customHeight="1" x14ac:dyDescent="0.15">
      <c r="A262" s="20">
        <v>261</v>
      </c>
      <c r="B262" s="20"/>
      <c r="C262" s="9" t="s">
        <v>355</v>
      </c>
      <c r="D262" s="9">
        <v>17</v>
      </c>
      <c r="E262" s="10" t="str">
        <f ca="1">CONCATENATE("Hora Cátedra Enseñanza Media ",D262," hs Esc Esp")</f>
        <v>Hora Cátedra Enseñanza Media 17 hs Esc Esp</v>
      </c>
      <c r="F262" s="123">
        <f t="shared" ca="1" si="48"/>
        <v>1343</v>
      </c>
      <c r="G262" s="7">
        <f ca="1">INT((F262*Valores!$C$2*100)+0.5)/100</f>
        <v>6895.9</v>
      </c>
      <c r="H262" s="134">
        <v>0</v>
      </c>
      <c r="I262" s="77">
        <f ca="1">INT((H262*Valores!$C$2*100)+0.5)/100</f>
        <v>0</v>
      </c>
      <c r="J262" s="147">
        <v>0</v>
      </c>
      <c r="K262" s="77">
        <f ca="1">INT((J262*Valores!$C$2*100)+0.5)/100</f>
        <v>0</v>
      </c>
      <c r="L262" s="120">
        <v>0</v>
      </c>
      <c r="M262" s="77">
        <f ca="1">INT((L262*Valores!$C$2*100)+0.5)/100</f>
        <v>0</v>
      </c>
      <c r="N262" s="77">
        <f t="shared" ca="1" si="40"/>
        <v>0</v>
      </c>
      <c r="O262" s="77">
        <f t="shared" ca="1" si="41"/>
        <v>7433.78</v>
      </c>
      <c r="P262" s="61">
        <f ca="1">Valores!$C$14*D262</f>
        <v>1951.9399999999998</v>
      </c>
      <c r="Q262" s="61">
        <f ca="1">IF(D262&lt;15,(Valores!$E$4*D262),Valores!$D$4)</f>
        <v>2296.75</v>
      </c>
      <c r="R262" s="77">
        <v>0</v>
      </c>
      <c r="S262" s="79">
        <f ca="1">Valores!$C$45*D262</f>
        <v>537.88</v>
      </c>
      <c r="T262" s="61">
        <f ca="1">Valores!$C$22*D262</f>
        <v>789.31</v>
      </c>
      <c r="U262" s="77">
        <f t="shared" ca="1" si="45"/>
        <v>1578.62</v>
      </c>
      <c r="V262" s="77">
        <v>0</v>
      </c>
      <c r="W262" s="77">
        <v>0</v>
      </c>
      <c r="X262" s="37">
        <v>0</v>
      </c>
      <c r="Y262" s="77">
        <f ca="1">X262*Valores!$C$2</f>
        <v>0</v>
      </c>
      <c r="Z262" s="77">
        <v>0</v>
      </c>
      <c r="AA262" s="89">
        <f ca="1">(Valores!$C$32)*D262</f>
        <v>89.76</v>
      </c>
      <c r="AB262" s="77">
        <f t="shared" ca="1" si="34"/>
        <v>0</v>
      </c>
      <c r="AC262" s="77">
        <f ca="1">Valores!$C$33*D262</f>
        <v>74.63</v>
      </c>
      <c r="AD262" s="116">
        <v>94</v>
      </c>
      <c r="AE262" s="77">
        <f ca="1">INT(((AD262*Valores!$C$2)*100)+0.5)/100</f>
        <v>482.66</v>
      </c>
      <c r="AF262" s="77">
        <f ca="1">Valores!$D$51*D262</f>
        <v>303.58600000000001</v>
      </c>
      <c r="AG262" s="77">
        <f ca="1">Valores!$D$52*D262</f>
        <v>86.745333333333335</v>
      </c>
      <c r="AH262" s="77">
        <f ca="1">SUM(G262,I262,K262,M262,N262,O262,P262,Q262,R262,S262,U262,V262,W262,Y262,Z262,AA262,AB262,AC262,AE262,AF262,AG262)*Valores!$C$54</f>
        <v>0</v>
      </c>
      <c r="AI262" s="141">
        <f t="shared" ca="1" si="37"/>
        <v>21732.251333333334</v>
      </c>
      <c r="AJ262" s="61">
        <f ca="1">Valores!$C$36*D262</f>
        <v>206.21</v>
      </c>
      <c r="AK262" s="79">
        <f ca="1">Valores!$C$11*D262</f>
        <v>144.66999999999999</v>
      </c>
      <c r="AL262" s="89">
        <f t="shared" ca="1" si="46"/>
        <v>127.211</v>
      </c>
      <c r="AM262" s="79">
        <f ca="1">IF($G$4="SI",SUM(AK262+AL262),AK262)*Valores!$C$54</f>
        <v>0</v>
      </c>
      <c r="AN262" s="12">
        <f t="shared" ca="1" si="38"/>
        <v>478.09100000000001</v>
      </c>
      <c r="AO262" s="13">
        <f ca="1">AI262*-Valores!$C$56</f>
        <v>-2825.1926733333335</v>
      </c>
      <c r="AP262" s="13">
        <f ca="1">AI262*-Valores!$C$57</f>
        <v>-108.66125666666667</v>
      </c>
      <c r="AQ262" s="78">
        <f ca="1">AI262*-Valores!$C$58</f>
        <v>-977.95130999999992</v>
      </c>
      <c r="AR262" s="78">
        <f ca="1">AI262*-Valores!$C$59</f>
        <v>-586.77078600000004</v>
      </c>
      <c r="AS262" s="78">
        <f ca="1">AI262*-Valores!$C$60</f>
        <v>-65.196753999999999</v>
      </c>
      <c r="AT262" s="15">
        <f t="shared" ca="1" si="35"/>
        <v>18298.537093333332</v>
      </c>
      <c r="AU262" s="15">
        <f t="shared" ca="1" si="36"/>
        <v>18624.520863333331</v>
      </c>
      <c r="AV262" s="78">
        <f ca="1">AI262*Valores!$C$61</f>
        <v>3477.1602133333336</v>
      </c>
      <c r="AW262" s="78">
        <f ca="1">AI262*Valores!$C$62</f>
        <v>977.95130999999992</v>
      </c>
      <c r="AX262" s="78">
        <f ca="1">AI262*Valores!$C$64</f>
        <v>217.32251333333335</v>
      </c>
      <c r="AY262" s="78">
        <f ca="1">AI262*Valores!$C$65</f>
        <v>760.62879666666674</v>
      </c>
      <c r="AZ262" s="78">
        <f ca="1">AI262*Valores!$C$66</f>
        <v>130.393508</v>
      </c>
      <c r="BA262" s="78">
        <f t="shared" ca="1" si="39"/>
        <v>1173.5415720000001</v>
      </c>
      <c r="BB262" s="20"/>
      <c r="BC262" s="20">
        <f t="shared" ca="1" si="47"/>
        <v>68</v>
      </c>
      <c r="BD262" s="9" t="s">
        <v>467</v>
      </c>
    </row>
    <row r="263" spans="1:56" s="9" customFormat="1" ht="11.25" customHeight="1" x14ac:dyDescent="0.15">
      <c r="A263" s="20">
        <v>262</v>
      </c>
      <c r="B263" s="20"/>
      <c r="C263" s="9" t="s">
        <v>355</v>
      </c>
      <c r="D263" s="9">
        <v>18</v>
      </c>
      <c r="E263" s="10" t="str">
        <f ca="1">CONCATENATE("Hora Cátedra Enseñanza Media ",D263," hs")</f>
        <v>Hora Cátedra Enseñanza Media 18 hs</v>
      </c>
      <c r="F263" s="123">
        <f t="shared" ca="1" si="48"/>
        <v>1422</v>
      </c>
      <c r="G263" s="7">
        <f ca="1">INT((F263*Valores!$C$2*100)+0.5)/100</f>
        <v>7301.54</v>
      </c>
      <c r="H263" s="134">
        <v>0</v>
      </c>
      <c r="I263" s="77">
        <f ca="1">INT((H263*Valores!$C$2*100)+0.5)/100</f>
        <v>0</v>
      </c>
      <c r="J263" s="147">
        <v>0</v>
      </c>
      <c r="K263" s="77">
        <f ca="1">INT((J263*Valores!$C$2*100)+0.5)/100</f>
        <v>0</v>
      </c>
      <c r="L263" s="120">
        <v>0</v>
      </c>
      <c r="M263" s="77">
        <f ca="1">INT((L263*Valores!$C$2*100)+0.5)/100</f>
        <v>0</v>
      </c>
      <c r="N263" s="77">
        <f t="shared" ca="1" si="40"/>
        <v>0</v>
      </c>
      <c r="O263" s="77">
        <f t="shared" ca="1" si="41"/>
        <v>7871.0599999999995</v>
      </c>
      <c r="P263" s="61">
        <f ca="1">Valores!$C$14*D263</f>
        <v>2066.7599999999998</v>
      </c>
      <c r="Q263" s="61">
        <f ca="1">IF(D263&lt;15,(Valores!$E$4*D263),Valores!$D$4)</f>
        <v>2296.75</v>
      </c>
      <c r="R263" s="77">
        <v>0</v>
      </c>
      <c r="S263" s="79">
        <f ca="1">Valores!$C$45*D263</f>
        <v>569.52</v>
      </c>
      <c r="T263" s="61">
        <f ca="1">Valores!$C$22*D263</f>
        <v>835.74</v>
      </c>
      <c r="U263" s="77">
        <f t="shared" ca="1" si="45"/>
        <v>1671.48</v>
      </c>
      <c r="V263" s="77">
        <v>0</v>
      </c>
      <c r="W263" s="77">
        <v>0</v>
      </c>
      <c r="X263" s="37">
        <v>0</v>
      </c>
      <c r="Y263" s="77">
        <f ca="1">X263*Valores!$C$2</f>
        <v>0</v>
      </c>
      <c r="Z263" s="77">
        <v>0</v>
      </c>
      <c r="AA263" s="89">
        <f ca="1">(Valores!$C$32)*D263</f>
        <v>95.04</v>
      </c>
      <c r="AB263" s="77">
        <f t="shared" ref="AB263:AB321" ca="1" si="49">SUM(G263,I263,K263,Y263,S263,M263)*$G$3/100</f>
        <v>0</v>
      </c>
      <c r="AC263" s="77">
        <f ca="1">Valores!$C$33*D263</f>
        <v>79.02</v>
      </c>
      <c r="AD263" s="116">
        <v>0</v>
      </c>
      <c r="AE263" s="77">
        <f ca="1">INT(((AD263*Valores!$C$2)*100)+0.5)/100</f>
        <v>0</v>
      </c>
      <c r="AF263" s="77">
        <f ca="1">Valores!$D$51*D263</f>
        <v>321.44400000000002</v>
      </c>
      <c r="AG263" s="77">
        <f ca="1">Valores!$D$52*D263</f>
        <v>91.847999999999999</v>
      </c>
      <c r="AH263" s="77">
        <f ca="1">SUM(G263,I263,K263,M263,N263,O263,P263,Q263,R263,S263,U263,V263,W263,Y263,Z263,AA263,AB263,AC263,AE263,AF263,AG263)*Valores!$C$54</f>
        <v>0</v>
      </c>
      <c r="AI263" s="141">
        <f t="shared" ca="1" si="37"/>
        <v>22364.462</v>
      </c>
      <c r="AJ263" s="61">
        <f ca="1">Valores!$C$36*D263</f>
        <v>218.34</v>
      </c>
      <c r="AK263" s="79">
        <f ca="1">Valores!$C$11*D263</f>
        <v>153.18</v>
      </c>
      <c r="AL263" s="89">
        <f ca="1">7.4835*D263</f>
        <v>134.703</v>
      </c>
      <c r="AM263" s="79">
        <f ca="1">IF($G$4="SI",SUM(AK263+AL263),AK263)*Valores!$C$54</f>
        <v>0</v>
      </c>
      <c r="AN263" s="12">
        <f t="shared" ca="1" si="38"/>
        <v>506.22299999999996</v>
      </c>
      <c r="AO263" s="13">
        <f ca="1">AI263*-Valores!$C$56</f>
        <v>-2907.38006</v>
      </c>
      <c r="AP263" s="13">
        <f ca="1">AI263*-Valores!$C$57</f>
        <v>-111.82231</v>
      </c>
      <c r="AQ263" s="78">
        <f ca="1">AI263*-Valores!$C$58</f>
        <v>-1006.4007899999999</v>
      </c>
      <c r="AR263" s="78">
        <f ca="1">AI263*-Valores!$C$59</f>
        <v>-603.84047400000009</v>
      </c>
      <c r="AS263" s="78">
        <f ca="1">AI263*-Valores!$C$60</f>
        <v>-67.093385999999995</v>
      </c>
      <c r="AT263" s="15">
        <f t="shared" ref="AT263:AT327" ca="1" si="50">AI263+AN263+AP263+AQ263+AO263</f>
        <v>18845.081839999999</v>
      </c>
      <c r="AU263" s="15">
        <f t="shared" ref="AU263:AU327" ca="1" si="51">AI263+AN263+AP263+AR263+AO263+AS263</f>
        <v>19180.548769999998</v>
      </c>
      <c r="AV263" s="78">
        <f ca="1">AI263*Valores!$C$61</f>
        <v>3578.3139200000001</v>
      </c>
      <c r="AW263" s="78">
        <f ca="1">AI263*Valores!$C$62</f>
        <v>1006.4007899999999</v>
      </c>
      <c r="AX263" s="78">
        <f ca="1">AI263*Valores!$C$64</f>
        <v>223.64462</v>
      </c>
      <c r="AY263" s="78">
        <f ca="1">AI263*Valores!$C$65</f>
        <v>782.75617000000011</v>
      </c>
      <c r="AZ263" s="78">
        <f ca="1">AI263*Valores!$C$66</f>
        <v>134.18677199999999</v>
      </c>
      <c r="BA263" s="78">
        <f t="shared" ca="1" si="39"/>
        <v>1207.6809480000002</v>
      </c>
      <c r="BB263" s="20"/>
      <c r="BC263" s="20">
        <f t="shared" ca="1" si="47"/>
        <v>72</v>
      </c>
      <c r="BD263" s="9" t="s">
        <v>467</v>
      </c>
    </row>
    <row r="264" spans="1:56" s="9" customFormat="1" ht="11.25" customHeight="1" x14ac:dyDescent="0.15">
      <c r="A264" s="20">
        <v>263</v>
      </c>
      <c r="B264" s="20"/>
      <c r="C264" s="9" t="s">
        <v>355</v>
      </c>
      <c r="D264" s="9">
        <v>18</v>
      </c>
      <c r="E264" s="10" t="str">
        <f ca="1">CONCATENATE("Hora Cátedra Enseñanza Media ",D264," hs Esc Esp")</f>
        <v>Hora Cátedra Enseñanza Media 18 hs Esc Esp</v>
      </c>
      <c r="F264" s="123">
        <f t="shared" ca="1" si="48"/>
        <v>1422</v>
      </c>
      <c r="G264" s="7">
        <f ca="1">INT((F264*Valores!$C$2*100)+0.5)/100</f>
        <v>7301.54</v>
      </c>
      <c r="H264" s="134">
        <v>0</v>
      </c>
      <c r="I264" s="77">
        <f ca="1">INT((H264*Valores!$C$2*100)+0.5)/100</f>
        <v>0</v>
      </c>
      <c r="J264" s="147">
        <v>0</v>
      </c>
      <c r="K264" s="77">
        <f ca="1">INT((J264*Valores!$C$2*100)+0.5)/100</f>
        <v>0</v>
      </c>
      <c r="L264" s="120">
        <v>0</v>
      </c>
      <c r="M264" s="77">
        <f ca="1">INT((L264*Valores!$C$2*100)+0.5)/100</f>
        <v>0</v>
      </c>
      <c r="N264" s="77">
        <f t="shared" ca="1" si="40"/>
        <v>0</v>
      </c>
      <c r="O264" s="77">
        <f t="shared" ca="1" si="41"/>
        <v>7871.0599999999995</v>
      </c>
      <c r="P264" s="61">
        <f ca="1">Valores!$C$14*D264</f>
        <v>2066.7599999999998</v>
      </c>
      <c r="Q264" s="61">
        <f ca="1">IF(D264&lt;15,(Valores!$E$4*D264),Valores!$D$4)</f>
        <v>2296.75</v>
      </c>
      <c r="R264" s="77">
        <v>0</v>
      </c>
      <c r="S264" s="79">
        <f ca="1">Valores!$C$45*D264</f>
        <v>569.52</v>
      </c>
      <c r="T264" s="61">
        <f ca="1">Valores!$C$22*D264</f>
        <v>835.74</v>
      </c>
      <c r="U264" s="77">
        <f t="shared" ca="1" si="45"/>
        <v>1671.48</v>
      </c>
      <c r="V264" s="77">
        <v>0</v>
      </c>
      <c r="W264" s="77">
        <v>0</v>
      </c>
      <c r="X264" s="37">
        <v>0</v>
      </c>
      <c r="Y264" s="77">
        <f ca="1">X264*Valores!$C$2</f>
        <v>0</v>
      </c>
      <c r="Z264" s="77">
        <v>0</v>
      </c>
      <c r="AA264" s="89">
        <f ca="1">(Valores!$C$32)*D264</f>
        <v>95.04</v>
      </c>
      <c r="AB264" s="77">
        <f t="shared" ca="1" si="49"/>
        <v>0</v>
      </c>
      <c r="AC264" s="77">
        <f ca="1">Valores!$C$33*D264</f>
        <v>79.02</v>
      </c>
      <c r="AD264" s="116">
        <v>94</v>
      </c>
      <c r="AE264" s="77">
        <f ca="1">INT(((AD264*Valores!$C$2)*100)+0.5)/100</f>
        <v>482.66</v>
      </c>
      <c r="AF264" s="77">
        <f ca="1">Valores!$D$51*D264</f>
        <v>321.44400000000002</v>
      </c>
      <c r="AG264" s="77">
        <f ca="1">Valores!$D$52*D264</f>
        <v>91.847999999999999</v>
      </c>
      <c r="AH264" s="77">
        <f ca="1">SUM(G264,I264,K264,M264,N264,O264,P264,Q264,R264,S264,U264,V264,W264,Y264,Z264,AA264,AB264,AC264,AE264,AF264,AG264)*Valores!$C$54</f>
        <v>0</v>
      </c>
      <c r="AI264" s="141">
        <f t="shared" ref="AI264:AI327" ca="1" si="52">SUM(G264,I264,K264,M264,N264,O264,P264,Q264,R264,U264,V264,W264,Y264,Z264,AA264,AB264,AC264,AE264,S264,AF264,AG264,AH264)</f>
        <v>22847.121999999999</v>
      </c>
      <c r="AJ264" s="61">
        <f ca="1">Valores!$C$36*D264</f>
        <v>218.34</v>
      </c>
      <c r="AK264" s="79">
        <f ca="1">Valores!$C$11*D264</f>
        <v>153.18</v>
      </c>
      <c r="AL264" s="89">
        <f ca="1">7.4835*D264</f>
        <v>134.703</v>
      </c>
      <c r="AM264" s="79">
        <f ca="1">IF($G$4="SI",SUM(AK264+AL264),AK264)*Valores!$C$54</f>
        <v>0</v>
      </c>
      <c r="AN264" s="12">
        <f t="shared" ref="AN264:AN327" ca="1" si="53">SUM(AJ264:AK264,AL264,AM264)</f>
        <v>506.22299999999996</v>
      </c>
      <c r="AO264" s="13">
        <f ca="1">AI264*-Valores!$C$56</f>
        <v>-2970.1258600000001</v>
      </c>
      <c r="AP264" s="13">
        <f ca="1">AI264*-Valores!$C$57</f>
        <v>-114.23560999999999</v>
      </c>
      <c r="AQ264" s="78">
        <f ca="1">AI264*-Valores!$C$58</f>
        <v>-1028.12049</v>
      </c>
      <c r="AR264" s="78">
        <f ca="1">AI264*-Valores!$C$59</f>
        <v>-616.87229400000001</v>
      </c>
      <c r="AS264" s="78">
        <f ca="1">AI264*-Valores!$C$60</f>
        <v>-68.541365999999996</v>
      </c>
      <c r="AT264" s="15">
        <f t="shared" ca="1" si="50"/>
        <v>19240.86304</v>
      </c>
      <c r="AU264" s="15">
        <f t="shared" ca="1" si="51"/>
        <v>19583.569869999999</v>
      </c>
      <c r="AV264" s="78">
        <f ca="1">AI264*Valores!$C$61</f>
        <v>3655.5395199999998</v>
      </c>
      <c r="AW264" s="78">
        <f ca="1">AI264*Valores!$C$62</f>
        <v>1028.12049</v>
      </c>
      <c r="AX264" s="78">
        <f ca="1">AI264*Valores!$C$64</f>
        <v>228.47121999999999</v>
      </c>
      <c r="AY264" s="78">
        <f ca="1">AI264*Valores!$C$65</f>
        <v>799.64927</v>
      </c>
      <c r="AZ264" s="78">
        <f ca="1">AI264*Valores!$C$66</f>
        <v>137.08273199999999</v>
      </c>
      <c r="BA264" s="78">
        <f t="shared" ca="1" si="39"/>
        <v>1233.744588</v>
      </c>
      <c r="BB264" s="20"/>
      <c r="BC264" s="55">
        <f t="shared" ca="1" si="47"/>
        <v>72</v>
      </c>
      <c r="BD264" s="9" t="s">
        <v>467</v>
      </c>
    </row>
    <row r="265" spans="1:56" s="9" customFormat="1" ht="11.25" customHeight="1" x14ac:dyDescent="0.15">
      <c r="A265" s="20">
        <v>264</v>
      </c>
      <c r="B265" s="20"/>
      <c r="C265" s="9" t="s">
        <v>355</v>
      </c>
      <c r="D265" s="9">
        <v>19</v>
      </c>
      <c r="E265" s="10" t="str">
        <f ca="1">CONCATENATE("Hora Cátedra Enseñanza Media ",D265," hs")</f>
        <v>Hora Cátedra Enseñanza Media 19 hs</v>
      </c>
      <c r="F265" s="123">
        <f t="shared" ca="1" si="48"/>
        <v>1501</v>
      </c>
      <c r="G265" s="7">
        <f ca="1">INT((F265*Valores!$C$2*100)+0.5)/100</f>
        <v>7707.18</v>
      </c>
      <c r="H265" s="134">
        <v>0</v>
      </c>
      <c r="I265" s="77">
        <f ca="1">INT((H265*Valores!$C$2*100)+0.5)/100</f>
        <v>0</v>
      </c>
      <c r="J265" s="147">
        <v>0</v>
      </c>
      <c r="K265" s="77">
        <f ca="1">INT((J265*Valores!$C$2*100)+0.5)/100</f>
        <v>0</v>
      </c>
      <c r="L265" s="120">
        <v>0</v>
      </c>
      <c r="M265" s="77">
        <f ca="1">INT((L265*Valores!$C$2*100)+0.5)/100</f>
        <v>0</v>
      </c>
      <c r="N265" s="77">
        <f t="shared" ca="1" si="40"/>
        <v>0</v>
      </c>
      <c r="O265" s="77">
        <f t="shared" ca="1" si="41"/>
        <v>8308.34</v>
      </c>
      <c r="P265" s="61">
        <f ca="1">Valores!$C$14*D265</f>
        <v>2181.58</v>
      </c>
      <c r="Q265" s="61">
        <f ca="1">IF(D265&lt;15,(Valores!$E$4*D265),Valores!$D$4)</f>
        <v>2296.75</v>
      </c>
      <c r="R265" s="77">
        <v>0</v>
      </c>
      <c r="S265" s="79">
        <f ca="1">Valores!$C$45*D265</f>
        <v>601.16</v>
      </c>
      <c r="T265" s="61">
        <f ca="1">Valores!$C$22*D265</f>
        <v>882.17</v>
      </c>
      <c r="U265" s="77">
        <f t="shared" ca="1" si="45"/>
        <v>1764.34</v>
      </c>
      <c r="V265" s="77">
        <v>0</v>
      </c>
      <c r="W265" s="77">
        <v>0</v>
      </c>
      <c r="X265" s="37">
        <v>0</v>
      </c>
      <c r="Y265" s="77">
        <f ca="1">X265*Valores!$C$2</f>
        <v>0</v>
      </c>
      <c r="Z265" s="77">
        <v>0</v>
      </c>
      <c r="AA265" s="89">
        <f ca="1">(Valores!$C$32)*D265</f>
        <v>100.32000000000001</v>
      </c>
      <c r="AB265" s="77">
        <f t="shared" ca="1" si="49"/>
        <v>0</v>
      </c>
      <c r="AC265" s="77">
        <f ca="1">Valores!$C$33*D265</f>
        <v>83.41</v>
      </c>
      <c r="AD265" s="116">
        <v>0</v>
      </c>
      <c r="AE265" s="77">
        <f ca="1">INT(((AD265*Valores!$C$2)*100)+0.5)/100</f>
        <v>0</v>
      </c>
      <c r="AF265" s="77">
        <f ca="1">Valores!$D$51*D265</f>
        <v>339.30200000000002</v>
      </c>
      <c r="AG265" s="77">
        <f ca="1">Valores!$D$52*D265</f>
        <v>96.950666666666677</v>
      </c>
      <c r="AH265" s="77">
        <f ca="1">SUM(G265,I265,K265,M265,N265,O265,P265,Q265,R265,S265,U265,V265,W265,Y265,Z265,AA265,AB265,AC265,AE265,AF265,AG265)*Valores!$C$54</f>
        <v>0</v>
      </c>
      <c r="AI265" s="141">
        <f t="shared" ca="1" si="52"/>
        <v>23479.332666666665</v>
      </c>
      <c r="AJ265" s="61">
        <f ca="1">Valores!$C$36*D265</f>
        <v>230.47000000000003</v>
      </c>
      <c r="AK265" s="79">
        <f ca="1">Valores!$C$11*D265</f>
        <v>161.69</v>
      </c>
      <c r="AL265" s="89">
        <f ca="1">7.483*D265</f>
        <v>142.17699999999999</v>
      </c>
      <c r="AM265" s="79">
        <f ca="1">IF($G$4="SI",SUM(AK265+AL265),AK265)*Valores!$C$54</f>
        <v>0</v>
      </c>
      <c r="AN265" s="12">
        <f t="shared" ca="1" si="53"/>
        <v>534.33699999999999</v>
      </c>
      <c r="AO265" s="13">
        <f ca="1">AI265*-Valores!$C$56</f>
        <v>-3052.3132466666666</v>
      </c>
      <c r="AP265" s="13">
        <f ca="1">AI265*-Valores!$C$57</f>
        <v>-117.39666333333332</v>
      </c>
      <c r="AQ265" s="78">
        <f ca="1">AI265*-Valores!$C$58</f>
        <v>-1056.56997</v>
      </c>
      <c r="AR265" s="78">
        <f ca="1">AI265*-Valores!$C$59</f>
        <v>-633.94198200000005</v>
      </c>
      <c r="AS265" s="78">
        <f ca="1">AI265*-Valores!$C$60</f>
        <v>-70.437997999999993</v>
      </c>
      <c r="AT265" s="15">
        <f t="shared" ca="1" si="50"/>
        <v>19787.389786666667</v>
      </c>
      <c r="AU265" s="15">
        <f t="shared" ca="1" si="51"/>
        <v>20139.579776666666</v>
      </c>
      <c r="AV265" s="78">
        <f ca="1">AI265*Valores!$C$61</f>
        <v>3756.6932266666663</v>
      </c>
      <c r="AW265" s="78">
        <f ca="1">AI265*Valores!$C$62</f>
        <v>1056.56997</v>
      </c>
      <c r="AX265" s="78">
        <f ca="1">AI265*Valores!$C$64</f>
        <v>234.79332666666664</v>
      </c>
      <c r="AY265" s="78">
        <f ca="1">AI265*Valores!$C$65</f>
        <v>821.77664333333337</v>
      </c>
      <c r="AZ265" s="78">
        <f ca="1">AI265*Valores!$C$66</f>
        <v>140.87599599999999</v>
      </c>
      <c r="BA265" s="78">
        <f t="shared" ref="BA265:BA327" ca="1" si="54">AI265*5.4/100</f>
        <v>1267.8839639999999</v>
      </c>
      <c r="BB265" s="20"/>
      <c r="BC265" s="20">
        <f t="shared" ca="1" si="47"/>
        <v>76</v>
      </c>
      <c r="BD265" s="9" t="s">
        <v>467</v>
      </c>
    </row>
    <row r="266" spans="1:56" s="9" customFormat="1" ht="11.25" customHeight="1" x14ac:dyDescent="0.15">
      <c r="A266" s="55">
        <v>265</v>
      </c>
      <c r="B266" s="55" t="s">
        <v>462</v>
      </c>
      <c r="C266" s="52" t="s">
        <v>355</v>
      </c>
      <c r="D266" s="52">
        <v>19</v>
      </c>
      <c r="E266" s="53" t="str">
        <f ca="1">CONCATENATE("Hora Cátedra Enseñanza Media ",D266," hs Esc Esp")</f>
        <v>Hora Cátedra Enseñanza Media 19 hs Esc Esp</v>
      </c>
      <c r="F266" s="124">
        <f t="shared" ca="1" si="48"/>
        <v>1501</v>
      </c>
      <c r="G266" s="129">
        <f ca="1">INT((F266*Valores!$C$2*100)+0.5)/100</f>
        <v>7707.18</v>
      </c>
      <c r="H266" s="133">
        <v>0</v>
      </c>
      <c r="I266" s="80">
        <f ca="1">INT((H266*Valores!$C$2*100)+0.5)/100</f>
        <v>0</v>
      </c>
      <c r="J266" s="148">
        <v>0</v>
      </c>
      <c r="K266" s="80">
        <f ca="1">INT((J266*Valores!$C$2*100)+0.5)/100</f>
        <v>0</v>
      </c>
      <c r="L266" s="121">
        <v>0</v>
      </c>
      <c r="M266" s="80">
        <f ca="1">INT((L266*Valores!$C$2*100)+0.5)/100</f>
        <v>0</v>
      </c>
      <c r="N266" s="80">
        <f t="shared" ref="N266:N302" ca="1" si="55">IF($I$2=0,IF(C266&lt;&gt;"13-930",(SUM(G266,I266,K266,M266,Y266,T266,S266)*$N$2),0),0)</f>
        <v>0</v>
      </c>
      <c r="O266" s="80">
        <f t="shared" ref="O266:O302" ca="1" si="56">SUM(G266,I266,K266,M266,Y266,S266)*$I$2</f>
        <v>8308.34</v>
      </c>
      <c r="P266" s="85">
        <f ca="1">Valores!$C$14*D266</f>
        <v>2181.58</v>
      </c>
      <c r="Q266" s="85">
        <f ca="1">IF(D266&lt;15,(Valores!$E$4*D266),Valores!$D$4)</f>
        <v>2296.75</v>
      </c>
      <c r="R266" s="80">
        <v>0</v>
      </c>
      <c r="S266" s="82">
        <f ca="1">Valores!$C$45*D266</f>
        <v>601.16</v>
      </c>
      <c r="T266" s="85">
        <f ca="1">Valores!$C$22*D266</f>
        <v>882.17</v>
      </c>
      <c r="U266" s="80">
        <f t="shared" ca="1" si="45"/>
        <v>1764.34</v>
      </c>
      <c r="V266" s="80">
        <v>0</v>
      </c>
      <c r="W266" s="80">
        <v>0</v>
      </c>
      <c r="X266" s="60">
        <v>0</v>
      </c>
      <c r="Y266" s="80">
        <f ca="1">X266*Valores!$C$2</f>
        <v>0</v>
      </c>
      <c r="Z266" s="80">
        <v>0</v>
      </c>
      <c r="AA266" s="90">
        <f ca="1">(Valores!$C$32)*D266</f>
        <v>100.32000000000001</v>
      </c>
      <c r="AB266" s="80">
        <f t="shared" ca="1" si="49"/>
        <v>0</v>
      </c>
      <c r="AC266" s="80">
        <f ca="1">Valores!$C$33*D266</f>
        <v>83.41</v>
      </c>
      <c r="AD266" s="115">
        <v>94</v>
      </c>
      <c r="AE266" s="80">
        <f ca="1">INT(((AD266*Valores!$C$2)*100)+0.5)/100</f>
        <v>482.66</v>
      </c>
      <c r="AF266" s="80">
        <f ca="1">Valores!$D$51*D266</f>
        <v>339.30200000000002</v>
      </c>
      <c r="AG266" s="80">
        <f ca="1">Valores!$D$52*D266</f>
        <v>96.950666666666677</v>
      </c>
      <c r="AH266" s="80">
        <f ca="1">SUM(G266,I266,K266,M266,N266,O266,P266,Q266,R266,S266,U266,V266,W266,Y266,Z266,AA266,AB266,AC266,AE266,AF266,AG266)*Valores!$C$54</f>
        <v>0</v>
      </c>
      <c r="AI266" s="142">
        <f t="shared" ca="1" si="52"/>
        <v>23961.992666666665</v>
      </c>
      <c r="AJ266" s="85">
        <f ca="1">Valores!$C$36*D266</f>
        <v>230.47000000000003</v>
      </c>
      <c r="AK266" s="82">
        <f ca="1">Valores!$C$11*D266</f>
        <v>161.69</v>
      </c>
      <c r="AL266" s="90">
        <f ca="1">7.483*D266</f>
        <v>142.17699999999999</v>
      </c>
      <c r="AM266" s="82">
        <f ca="1">IF($G$4="SI",SUM(AK266+AL266),AK266)*Valores!$C$54</f>
        <v>0</v>
      </c>
      <c r="AN266" s="186">
        <f t="shared" ca="1" si="53"/>
        <v>534.33699999999999</v>
      </c>
      <c r="AO266" s="155">
        <f ca="1">AI266*-Valores!$C$56</f>
        <v>-3115.0590466666667</v>
      </c>
      <c r="AP266" s="155">
        <f ca="1">AI266*-Valores!$C$57</f>
        <v>-119.80996333333333</v>
      </c>
      <c r="AQ266" s="81">
        <f ca="1">AI266*-Valores!$C$58</f>
        <v>-1078.2896699999999</v>
      </c>
      <c r="AR266" s="81">
        <f ca="1">AI266*-Valores!$C$59</f>
        <v>-646.97380200000009</v>
      </c>
      <c r="AS266" s="81">
        <f ca="1">AI266*-Valores!$C$60</f>
        <v>-71.885977999999994</v>
      </c>
      <c r="AT266" s="54">
        <f t="shared" ca="1" si="50"/>
        <v>20183.170986666668</v>
      </c>
      <c r="AU266" s="54">
        <f t="shared" ca="1" si="51"/>
        <v>20542.600876666667</v>
      </c>
      <c r="AV266" s="81">
        <f ca="1">AI266*Valores!$C$61</f>
        <v>3833.9188266666665</v>
      </c>
      <c r="AW266" s="81">
        <f ca="1">AI266*Valores!$C$62</f>
        <v>1078.2896699999999</v>
      </c>
      <c r="AX266" s="81">
        <f ca="1">AI266*Valores!$C$64</f>
        <v>239.61992666666666</v>
      </c>
      <c r="AY266" s="81">
        <f ca="1">AI266*Valores!$C$65</f>
        <v>838.66974333333337</v>
      </c>
      <c r="AZ266" s="81">
        <f ca="1">AI266*Valores!$C$66</f>
        <v>143.77195599999999</v>
      </c>
      <c r="BA266" s="81">
        <f t="shared" ca="1" si="54"/>
        <v>1293.947604</v>
      </c>
      <c r="BB266" s="55"/>
      <c r="BC266" s="55">
        <f t="shared" ca="1" si="47"/>
        <v>76</v>
      </c>
      <c r="BD266" s="52" t="s">
        <v>467</v>
      </c>
    </row>
    <row r="267" spans="1:56" s="9" customFormat="1" ht="11.25" customHeight="1" x14ac:dyDescent="0.15">
      <c r="A267" s="20">
        <v>266</v>
      </c>
      <c r="B267" s="20"/>
      <c r="C267" s="9" t="s">
        <v>355</v>
      </c>
      <c r="D267" s="9">
        <v>20</v>
      </c>
      <c r="E267" s="10" t="str">
        <f ca="1">CONCATENATE("Hora Cátedra Enseñanza Media ",D267," hs")</f>
        <v>Hora Cátedra Enseñanza Media 20 hs</v>
      </c>
      <c r="F267" s="123">
        <f t="shared" ca="1" si="48"/>
        <v>1580</v>
      </c>
      <c r="G267" s="7">
        <f ca="1">INT((F267*Valores!$C$2*100)+0.5)/100</f>
        <v>8112.83</v>
      </c>
      <c r="H267" s="134">
        <v>0</v>
      </c>
      <c r="I267" s="77">
        <f ca="1">INT((H267*Valores!$C$2*100)+0.5)/100</f>
        <v>0</v>
      </c>
      <c r="J267" s="147">
        <v>0</v>
      </c>
      <c r="K267" s="77">
        <f ca="1">INT((J267*Valores!$C$2*100)+0.5)/100</f>
        <v>0</v>
      </c>
      <c r="L267" s="120">
        <v>0</v>
      </c>
      <c r="M267" s="77">
        <f ca="1">INT((L267*Valores!$C$2*100)+0.5)/100</f>
        <v>0</v>
      </c>
      <c r="N267" s="77">
        <f t="shared" ca="1" si="55"/>
        <v>0</v>
      </c>
      <c r="O267" s="77">
        <f t="shared" ca="1" si="56"/>
        <v>8745.6299999999992</v>
      </c>
      <c r="P267" s="61">
        <f ca="1">Valores!$C$14*D267</f>
        <v>2296.3999999999996</v>
      </c>
      <c r="Q267" s="61">
        <f ca="1">IF(D267&lt;15,(Valores!$E$4*D267),Valores!$D$4)</f>
        <v>2296.75</v>
      </c>
      <c r="R267" s="77">
        <v>0</v>
      </c>
      <c r="S267" s="79">
        <f ca="1">Valores!$C$45*D267</f>
        <v>632.79999999999995</v>
      </c>
      <c r="T267" s="61">
        <f ca="1">Valores!$C$22*D267</f>
        <v>928.6</v>
      </c>
      <c r="U267" s="77">
        <f t="shared" ca="1" si="45"/>
        <v>1857.2</v>
      </c>
      <c r="V267" s="77">
        <v>0</v>
      </c>
      <c r="W267" s="77">
        <v>0</v>
      </c>
      <c r="X267" s="37">
        <v>0</v>
      </c>
      <c r="Y267" s="77">
        <f ca="1">X267*Valores!$C$2</f>
        <v>0</v>
      </c>
      <c r="Z267" s="77">
        <v>0</v>
      </c>
      <c r="AA267" s="89">
        <f ca="1">(Valores!$C$32)*D267</f>
        <v>105.60000000000001</v>
      </c>
      <c r="AB267" s="77">
        <f t="shared" ca="1" si="49"/>
        <v>0</v>
      </c>
      <c r="AC267" s="77">
        <f ca="1">Valores!$C$33*D267</f>
        <v>87.8</v>
      </c>
      <c r="AD267" s="116">
        <v>0</v>
      </c>
      <c r="AE267" s="77">
        <f ca="1">INT(((AD267*Valores!$C$2)*100)+0.5)/100</f>
        <v>0</v>
      </c>
      <c r="AF267" s="77">
        <f ca="1">Valores!$D$51*D267</f>
        <v>357.16</v>
      </c>
      <c r="AG267" s="77">
        <f ca="1">Valores!$D$52*D267</f>
        <v>102.05333333333334</v>
      </c>
      <c r="AH267" s="77">
        <f ca="1">SUM(G267,I267,K267,M267,N267,O267,P267,Q267,R267,S267,U267,V267,W267,Y267,Z267,AA267,AB267,AC267,AE267,AF267,AG267)*Valores!$C$54</f>
        <v>0</v>
      </c>
      <c r="AI267" s="141">
        <f t="shared" ca="1" si="52"/>
        <v>24594.223333333332</v>
      </c>
      <c r="AJ267" s="61">
        <f ca="1">Valores!$C$36*D267</f>
        <v>242.60000000000002</v>
      </c>
      <c r="AK267" s="79">
        <f ca="1">Valores!$C$11*D267</f>
        <v>170.2</v>
      </c>
      <c r="AL267" s="89">
        <f ca="1">7.4835*D267</f>
        <v>149.67000000000002</v>
      </c>
      <c r="AM267" s="79">
        <f ca="1">IF($G$4="SI",SUM(AK267+AL267),AK267)*Valores!$C$54</f>
        <v>0</v>
      </c>
      <c r="AN267" s="12">
        <f t="shared" ca="1" si="53"/>
        <v>562.47</v>
      </c>
      <c r="AO267" s="13">
        <f ca="1">AI267*-Valores!$C$56</f>
        <v>-3197.249033333333</v>
      </c>
      <c r="AP267" s="13">
        <f ca="1">AI267*-Valores!$C$57</f>
        <v>-122.97111666666666</v>
      </c>
      <c r="AQ267" s="78">
        <f ca="1">AI267*-Valores!$C$58</f>
        <v>-1106.7400499999999</v>
      </c>
      <c r="AR267" s="78">
        <f ca="1">AI267*-Valores!$C$59</f>
        <v>-664.04403000000002</v>
      </c>
      <c r="AS267" s="78">
        <f ca="1">AI267*-Valores!$C$60</f>
        <v>-73.782669999999996</v>
      </c>
      <c r="AT267" s="15">
        <f t="shared" ca="1" si="50"/>
        <v>20729.733133333331</v>
      </c>
      <c r="AU267" s="15">
        <f t="shared" ca="1" si="51"/>
        <v>21098.64648333333</v>
      </c>
      <c r="AV267" s="78">
        <f ca="1">AI267*Valores!$C$61</f>
        <v>3935.0757333333331</v>
      </c>
      <c r="AW267" s="78">
        <f ca="1">AI267*Valores!$C$62</f>
        <v>1106.7400499999999</v>
      </c>
      <c r="AX267" s="78">
        <f ca="1">AI267*Valores!$C$64</f>
        <v>245.94223333333332</v>
      </c>
      <c r="AY267" s="78">
        <f ca="1">AI267*Valores!$C$65</f>
        <v>860.79781666666668</v>
      </c>
      <c r="AZ267" s="78">
        <f ca="1">AI267*Valores!$C$66</f>
        <v>147.56533999999999</v>
      </c>
      <c r="BA267" s="78">
        <f t="shared" ca="1" si="54"/>
        <v>1328.08806</v>
      </c>
      <c r="BB267" s="20"/>
      <c r="BC267" s="20">
        <f t="shared" ca="1" si="47"/>
        <v>80</v>
      </c>
      <c r="BD267" s="9" t="s">
        <v>467</v>
      </c>
    </row>
    <row r="268" spans="1:56" s="9" customFormat="1" ht="11.25" customHeight="1" x14ac:dyDescent="0.15">
      <c r="A268" s="20">
        <v>267</v>
      </c>
      <c r="B268" s="20"/>
      <c r="C268" s="9" t="s">
        <v>355</v>
      </c>
      <c r="D268" s="9">
        <v>20</v>
      </c>
      <c r="E268" s="10" t="str">
        <f ca="1">CONCATENATE("Hora Cátedra Enseñanza Media ",D268," hs Esc Esp")</f>
        <v>Hora Cátedra Enseñanza Media 20 hs Esc Esp</v>
      </c>
      <c r="F268" s="123">
        <f t="shared" ca="1" si="48"/>
        <v>1580</v>
      </c>
      <c r="G268" s="7">
        <f ca="1">INT((F268*Valores!$C$2*100)+0.5)/100</f>
        <v>8112.83</v>
      </c>
      <c r="H268" s="134">
        <v>0</v>
      </c>
      <c r="I268" s="77">
        <f ca="1">INT((H268*Valores!$C$2*100)+0.5)/100</f>
        <v>0</v>
      </c>
      <c r="J268" s="147">
        <v>0</v>
      </c>
      <c r="K268" s="77">
        <f ca="1">INT((J268*Valores!$C$2*100)+0.5)/100</f>
        <v>0</v>
      </c>
      <c r="L268" s="120">
        <v>0</v>
      </c>
      <c r="M268" s="77">
        <f ca="1">INT((L268*Valores!$C$2*100)+0.5)/100</f>
        <v>0</v>
      </c>
      <c r="N268" s="77">
        <f t="shared" ca="1" si="55"/>
        <v>0</v>
      </c>
      <c r="O268" s="77">
        <f t="shared" ca="1" si="56"/>
        <v>8745.6299999999992</v>
      </c>
      <c r="P268" s="61">
        <f ca="1">Valores!$C$14*D268</f>
        <v>2296.3999999999996</v>
      </c>
      <c r="Q268" s="61">
        <f ca="1">IF(D268&lt;15,(Valores!$E$4*D268),Valores!$D$4)</f>
        <v>2296.75</v>
      </c>
      <c r="R268" s="77">
        <v>0</v>
      </c>
      <c r="S268" s="79">
        <f ca="1">Valores!$C$45*D268</f>
        <v>632.79999999999995</v>
      </c>
      <c r="T268" s="61">
        <f ca="1">Valores!$C$22*D268</f>
        <v>928.6</v>
      </c>
      <c r="U268" s="77">
        <f t="shared" ca="1" si="45"/>
        <v>1857.2</v>
      </c>
      <c r="V268" s="77">
        <v>0</v>
      </c>
      <c r="W268" s="77">
        <v>0</v>
      </c>
      <c r="X268" s="37">
        <v>0</v>
      </c>
      <c r="Y268" s="77">
        <f ca="1">X268*Valores!$C$2</f>
        <v>0</v>
      </c>
      <c r="Z268" s="77">
        <v>0</v>
      </c>
      <c r="AA268" s="89">
        <f ca="1">(Valores!$C$32)*D268</f>
        <v>105.60000000000001</v>
      </c>
      <c r="AB268" s="77">
        <f t="shared" ca="1" si="49"/>
        <v>0</v>
      </c>
      <c r="AC268" s="77">
        <f ca="1">Valores!$C$33*D268</f>
        <v>87.8</v>
      </c>
      <c r="AD268" s="116">
        <v>94</v>
      </c>
      <c r="AE268" s="77">
        <f ca="1">INT(((AD268*Valores!$C$2)*100)+0.5)/100</f>
        <v>482.66</v>
      </c>
      <c r="AF268" s="77">
        <f ca="1">Valores!$D$51*D268</f>
        <v>357.16</v>
      </c>
      <c r="AG268" s="77">
        <f ca="1">Valores!$D$52*D268</f>
        <v>102.05333333333334</v>
      </c>
      <c r="AH268" s="77">
        <f ca="1">SUM(G268,I268,K268,M268,N268,O268,P268,Q268,R268,S268,U268,V268,W268,Y268,Z268,AA268,AB268,AC268,AE268,AF268,AG268)*Valores!$C$54</f>
        <v>0</v>
      </c>
      <c r="AI268" s="141">
        <f t="shared" ca="1" si="52"/>
        <v>25076.883333333331</v>
      </c>
      <c r="AJ268" s="61">
        <f ca="1">Valores!$C$36*D268</f>
        <v>242.60000000000002</v>
      </c>
      <c r="AK268" s="79">
        <f ca="1">Valores!$C$11*D268</f>
        <v>170.2</v>
      </c>
      <c r="AL268" s="89">
        <f ca="1">7.4835*D268</f>
        <v>149.67000000000002</v>
      </c>
      <c r="AM268" s="79">
        <f ca="1">IF($G$4="SI",SUM(AK268+AL268),AK268)*Valores!$C$54</f>
        <v>0</v>
      </c>
      <c r="AN268" s="12">
        <f t="shared" ca="1" si="53"/>
        <v>562.47</v>
      </c>
      <c r="AO268" s="13">
        <f ca="1">AI268*-Valores!$C$56</f>
        <v>-3259.9948333333332</v>
      </c>
      <c r="AP268" s="13">
        <f ca="1">AI268*-Valores!$C$57</f>
        <v>-125.38441666666667</v>
      </c>
      <c r="AQ268" s="78">
        <f ca="1">AI268*-Valores!$C$58</f>
        <v>-1128.4597499999998</v>
      </c>
      <c r="AR268" s="78">
        <f ca="1">AI268*-Valores!$C$59</f>
        <v>-677.07585000000006</v>
      </c>
      <c r="AS268" s="78">
        <f ca="1">AI268*-Valores!$C$60</f>
        <v>-75.230649999999997</v>
      </c>
      <c r="AT268" s="15">
        <f t="shared" ca="1" si="50"/>
        <v>21125.514333333333</v>
      </c>
      <c r="AU268" s="15">
        <f t="shared" ca="1" si="51"/>
        <v>21501.667583333328</v>
      </c>
      <c r="AV268" s="78">
        <f ca="1">AI268*Valores!$C$61</f>
        <v>4012.3013333333333</v>
      </c>
      <c r="AW268" s="78">
        <f ca="1">AI268*Valores!$C$62</f>
        <v>1128.4597499999998</v>
      </c>
      <c r="AX268" s="78">
        <f ca="1">AI268*Valores!$C$64</f>
        <v>250.76883333333333</v>
      </c>
      <c r="AY268" s="78">
        <f ca="1">AI268*Valores!$C$65</f>
        <v>877.69091666666668</v>
      </c>
      <c r="AZ268" s="78">
        <f ca="1">AI268*Valores!$C$66</f>
        <v>150.46129999999999</v>
      </c>
      <c r="BA268" s="78">
        <f t="shared" ca="1" si="54"/>
        <v>1354.1517000000001</v>
      </c>
      <c r="BB268" s="20"/>
      <c r="BC268" s="20">
        <f t="shared" ca="1" si="47"/>
        <v>80</v>
      </c>
      <c r="BD268" s="9" t="s">
        <v>467</v>
      </c>
    </row>
    <row r="269" spans="1:56" s="9" customFormat="1" ht="11.25" customHeight="1" x14ac:dyDescent="0.15">
      <c r="A269" s="20">
        <v>268</v>
      </c>
      <c r="B269" s="20"/>
      <c r="C269" s="9" t="s">
        <v>355</v>
      </c>
      <c r="D269" s="9">
        <v>21</v>
      </c>
      <c r="E269" s="10" t="str">
        <f ca="1">CONCATENATE("Hora Cátedra Enseñanza Media ",D269," hs")</f>
        <v>Hora Cátedra Enseñanza Media 21 hs</v>
      </c>
      <c r="F269" s="123">
        <f t="shared" ca="1" si="48"/>
        <v>1659</v>
      </c>
      <c r="G269" s="7">
        <f ca="1">INT((F269*Valores!$C$2*100)+0.5)/100</f>
        <v>8518.4699999999993</v>
      </c>
      <c r="H269" s="134">
        <v>0</v>
      </c>
      <c r="I269" s="77">
        <f ca="1">INT((H269*Valores!$C$2*100)+0.5)/100</f>
        <v>0</v>
      </c>
      <c r="J269" s="147">
        <v>0</v>
      </c>
      <c r="K269" s="77">
        <f ca="1">INT((J269*Valores!$C$2*100)+0.5)/100</f>
        <v>0</v>
      </c>
      <c r="L269" s="120">
        <v>0</v>
      </c>
      <c r="M269" s="77">
        <f ca="1">INT((L269*Valores!$C$2*100)+0.5)/100</f>
        <v>0</v>
      </c>
      <c r="N269" s="77">
        <f t="shared" ca="1" si="55"/>
        <v>0</v>
      </c>
      <c r="O269" s="77">
        <f t="shared" ca="1" si="56"/>
        <v>9182.91</v>
      </c>
      <c r="P269" s="61">
        <f ca="1">Valores!$C$14*D269</f>
        <v>2411.2199999999998</v>
      </c>
      <c r="Q269" s="61">
        <f ca="1">IF(D269&lt;15,(Valores!$E$4*D269),Valores!$D$4)</f>
        <v>2296.75</v>
      </c>
      <c r="R269" s="77">
        <v>0</v>
      </c>
      <c r="S269" s="79">
        <f ca="1">Valores!$C$45*D269</f>
        <v>664.44</v>
      </c>
      <c r="T269" s="61">
        <f ca="1">Valores!$C$22*D269</f>
        <v>975.03</v>
      </c>
      <c r="U269" s="77">
        <f t="shared" ca="1" si="45"/>
        <v>1950.06</v>
      </c>
      <c r="V269" s="77">
        <v>0</v>
      </c>
      <c r="W269" s="77">
        <v>0</v>
      </c>
      <c r="X269" s="37">
        <v>0</v>
      </c>
      <c r="Y269" s="77">
        <f ca="1">X269*Valores!$C$2</f>
        <v>0</v>
      </c>
      <c r="Z269" s="77">
        <v>0</v>
      </c>
      <c r="AA269" s="89">
        <f ca="1">(Valores!$C$32)*D269</f>
        <v>110.88000000000001</v>
      </c>
      <c r="AB269" s="77">
        <f t="shared" ca="1" si="49"/>
        <v>0</v>
      </c>
      <c r="AC269" s="77">
        <f ca="1">Valores!$C$33*D269</f>
        <v>92.19</v>
      </c>
      <c r="AD269" s="116">
        <v>0</v>
      </c>
      <c r="AE269" s="77">
        <f ca="1">INT(((AD269*Valores!$C$2)*100)+0.5)/100</f>
        <v>0</v>
      </c>
      <c r="AF269" s="77">
        <f ca="1">Valores!$D$51*D269</f>
        <v>375.01800000000003</v>
      </c>
      <c r="AG269" s="77">
        <f ca="1">Valores!$D$52*D269</f>
        <v>107.15600000000001</v>
      </c>
      <c r="AH269" s="77">
        <f ca="1">SUM(G269,I269,K269,M269,N269,O269,P269,Q269,R269,S269,U269,V269,W269,Y269,Z269,AA269,AB269,AC269,AE269,AF269,AG269)*Valores!$C$54</f>
        <v>0</v>
      </c>
      <c r="AI269" s="141">
        <f t="shared" ca="1" si="52"/>
        <v>25709.093999999997</v>
      </c>
      <c r="AJ269" s="61">
        <f ca="1">Valores!$C$36*D269</f>
        <v>254.73000000000002</v>
      </c>
      <c r="AK269" s="79">
        <f ca="1">Valores!$C$11*D269</f>
        <v>178.71</v>
      </c>
      <c r="AL269" s="89">
        <f t="shared" ref="AL269:AL282" ca="1" si="57">7.483*D269</f>
        <v>157.143</v>
      </c>
      <c r="AM269" s="79">
        <f ca="1">IF($G$4="SI",SUM(AK269+AL269),AK269)*Valores!$C$54</f>
        <v>0</v>
      </c>
      <c r="AN269" s="12">
        <f t="shared" ca="1" si="53"/>
        <v>590.58300000000008</v>
      </c>
      <c r="AO269" s="13">
        <f ca="1">AI269*-Valores!$C$56</f>
        <v>-3342.1822199999997</v>
      </c>
      <c r="AP269" s="13">
        <f ca="1">AI269*-Valores!$C$57</f>
        <v>-128.54546999999999</v>
      </c>
      <c r="AQ269" s="78">
        <f ca="1">AI269*-Valores!$C$58</f>
        <v>-1156.9092299999998</v>
      </c>
      <c r="AR269" s="78">
        <f ca="1">AI269*-Valores!$C$59</f>
        <v>-694.14553799999999</v>
      </c>
      <c r="AS269" s="78">
        <f ca="1">AI269*-Valores!$C$60</f>
        <v>-77.127281999999994</v>
      </c>
      <c r="AT269" s="15">
        <f t="shared" ca="1" si="50"/>
        <v>21672.040079999995</v>
      </c>
      <c r="AU269" s="15">
        <f t="shared" ca="1" si="51"/>
        <v>22057.676489999994</v>
      </c>
      <c r="AV269" s="78">
        <f ca="1">AI269*Valores!$C$61</f>
        <v>4113.4550399999998</v>
      </c>
      <c r="AW269" s="78">
        <f ca="1">AI269*Valores!$C$62</f>
        <v>1156.9092299999998</v>
      </c>
      <c r="AX269" s="78">
        <f ca="1">AI269*Valores!$C$64</f>
        <v>257.09093999999999</v>
      </c>
      <c r="AY269" s="78">
        <f ca="1">AI269*Valores!$C$65</f>
        <v>899.81829000000005</v>
      </c>
      <c r="AZ269" s="78">
        <f ca="1">AI269*Valores!$C$66</f>
        <v>154.25456399999999</v>
      </c>
      <c r="BA269" s="78">
        <f t="shared" ca="1" si="54"/>
        <v>1388.291076</v>
      </c>
      <c r="BB269" s="20"/>
      <c r="BC269" s="55">
        <f t="shared" ca="1" si="47"/>
        <v>84</v>
      </c>
      <c r="BD269" s="9" t="s">
        <v>467</v>
      </c>
    </row>
    <row r="270" spans="1:56" s="9" customFormat="1" ht="11.25" customHeight="1" x14ac:dyDescent="0.15">
      <c r="A270" s="20">
        <v>269</v>
      </c>
      <c r="B270" s="20"/>
      <c r="C270" s="9" t="s">
        <v>355</v>
      </c>
      <c r="D270" s="9">
        <v>21</v>
      </c>
      <c r="E270" s="10" t="str">
        <f ca="1">CONCATENATE("Hora Cátedra Enseñanza Media ",D270," hs Esc Esp")</f>
        <v>Hora Cátedra Enseñanza Media 21 hs Esc Esp</v>
      </c>
      <c r="F270" s="123">
        <f t="shared" ca="1" si="48"/>
        <v>1659</v>
      </c>
      <c r="G270" s="7">
        <f ca="1">INT((F270*Valores!$C$2*100)+0.5)/100</f>
        <v>8518.4699999999993</v>
      </c>
      <c r="H270" s="134">
        <v>0</v>
      </c>
      <c r="I270" s="77">
        <f ca="1">INT((H270*Valores!$C$2*100)+0.5)/100</f>
        <v>0</v>
      </c>
      <c r="J270" s="147">
        <v>0</v>
      </c>
      <c r="K270" s="77">
        <f ca="1">INT((J270*Valores!$C$2*100)+0.5)/100</f>
        <v>0</v>
      </c>
      <c r="L270" s="120">
        <v>0</v>
      </c>
      <c r="M270" s="77">
        <f ca="1">INT((L270*Valores!$C$2*100)+0.5)/100</f>
        <v>0</v>
      </c>
      <c r="N270" s="77">
        <f t="shared" ca="1" si="55"/>
        <v>0</v>
      </c>
      <c r="O270" s="77">
        <f t="shared" ca="1" si="56"/>
        <v>9182.91</v>
      </c>
      <c r="P270" s="61">
        <f ca="1">Valores!$C$14*D270</f>
        <v>2411.2199999999998</v>
      </c>
      <c r="Q270" s="61">
        <f ca="1">IF(D270&lt;15,(Valores!$E$4*D270),Valores!$D$4)</f>
        <v>2296.75</v>
      </c>
      <c r="R270" s="77">
        <v>0</v>
      </c>
      <c r="S270" s="79">
        <f ca="1">Valores!$C$45*D270</f>
        <v>664.44</v>
      </c>
      <c r="T270" s="61">
        <f ca="1">Valores!$C$22*D270</f>
        <v>975.03</v>
      </c>
      <c r="U270" s="77">
        <f t="shared" ca="1" si="45"/>
        <v>1950.06</v>
      </c>
      <c r="V270" s="77">
        <v>0</v>
      </c>
      <c r="W270" s="77">
        <v>0</v>
      </c>
      <c r="X270" s="37">
        <v>0</v>
      </c>
      <c r="Y270" s="77">
        <f ca="1">X270*Valores!$C$2</f>
        <v>0</v>
      </c>
      <c r="Z270" s="77">
        <v>0</v>
      </c>
      <c r="AA270" s="89">
        <f ca="1">(Valores!$C$32)*D270</f>
        <v>110.88000000000001</v>
      </c>
      <c r="AB270" s="77">
        <f t="shared" ca="1" si="49"/>
        <v>0</v>
      </c>
      <c r="AC270" s="77">
        <f ca="1">Valores!$C$33*D270</f>
        <v>92.19</v>
      </c>
      <c r="AD270" s="116">
        <v>94</v>
      </c>
      <c r="AE270" s="77">
        <f ca="1">INT(((AD270*Valores!$C$2)*100)+0.5)/100</f>
        <v>482.66</v>
      </c>
      <c r="AF270" s="77">
        <f ca="1">Valores!$D$51*D270</f>
        <v>375.01800000000003</v>
      </c>
      <c r="AG270" s="77">
        <f ca="1">Valores!$D$52*D270</f>
        <v>107.15600000000001</v>
      </c>
      <c r="AH270" s="77">
        <f ca="1">SUM(G270,I270,K270,M270,N270,O270,P270,Q270,R270,S270,U270,V270,W270,Y270,Z270,AA270,AB270,AC270,AE270,AF270,AG270)*Valores!$C$54</f>
        <v>0</v>
      </c>
      <c r="AI270" s="141">
        <f t="shared" ca="1" si="52"/>
        <v>26191.753999999997</v>
      </c>
      <c r="AJ270" s="61">
        <f ca="1">Valores!$C$36*D270</f>
        <v>254.73000000000002</v>
      </c>
      <c r="AK270" s="79">
        <f ca="1">Valores!$C$11*D270</f>
        <v>178.71</v>
      </c>
      <c r="AL270" s="89">
        <f t="shared" ca="1" si="57"/>
        <v>157.143</v>
      </c>
      <c r="AM270" s="79">
        <f ca="1">IF($G$4="SI",SUM(AK270+AL270),AK270)*Valores!$C$54</f>
        <v>0</v>
      </c>
      <c r="AN270" s="12">
        <f t="shared" ca="1" si="53"/>
        <v>590.58300000000008</v>
      </c>
      <c r="AO270" s="13">
        <f ca="1">AI270*-Valores!$C$56</f>
        <v>-3404.9280199999998</v>
      </c>
      <c r="AP270" s="13">
        <f ca="1">AI270*-Valores!$C$57</f>
        <v>-130.95876999999999</v>
      </c>
      <c r="AQ270" s="78">
        <f ca="1">AI270*-Valores!$C$58</f>
        <v>-1178.6289299999999</v>
      </c>
      <c r="AR270" s="78">
        <f ca="1">AI270*-Valores!$C$59</f>
        <v>-707.17735800000003</v>
      </c>
      <c r="AS270" s="78">
        <f ca="1">AI270*-Valores!$C$60</f>
        <v>-78.575261999999995</v>
      </c>
      <c r="AT270" s="15">
        <f t="shared" ca="1" si="50"/>
        <v>22067.821279999996</v>
      </c>
      <c r="AU270" s="15">
        <f t="shared" ca="1" si="51"/>
        <v>22460.697589999996</v>
      </c>
      <c r="AV270" s="78">
        <f ca="1">AI270*Valores!$C$61</f>
        <v>4190.6806399999996</v>
      </c>
      <c r="AW270" s="78">
        <f ca="1">AI270*Valores!$C$62</f>
        <v>1178.6289299999999</v>
      </c>
      <c r="AX270" s="78">
        <f ca="1">AI270*Valores!$C$64</f>
        <v>261.91753999999997</v>
      </c>
      <c r="AY270" s="78">
        <f ca="1">AI270*Valores!$C$65</f>
        <v>916.71138999999994</v>
      </c>
      <c r="AZ270" s="78">
        <f ca="1">AI270*Valores!$C$66</f>
        <v>157.15052399999999</v>
      </c>
      <c r="BA270" s="78">
        <f t="shared" ca="1" si="54"/>
        <v>1414.3547159999998</v>
      </c>
      <c r="BB270" s="20"/>
      <c r="BC270" s="20">
        <f t="shared" ca="1" si="47"/>
        <v>84</v>
      </c>
      <c r="BD270" s="9" t="s">
        <v>467</v>
      </c>
    </row>
    <row r="271" spans="1:56" s="9" customFormat="1" ht="11.25" customHeight="1" x14ac:dyDescent="0.15">
      <c r="A271" s="55">
        <v>270</v>
      </c>
      <c r="B271" s="55" t="s">
        <v>462</v>
      </c>
      <c r="C271" s="52" t="s">
        <v>355</v>
      </c>
      <c r="D271" s="52">
        <v>22</v>
      </c>
      <c r="E271" s="53" t="str">
        <f ca="1">CONCATENATE("Hora Cátedra Enseñanza Media ",D271," hs")</f>
        <v>Hora Cátedra Enseñanza Media 22 hs</v>
      </c>
      <c r="F271" s="124">
        <f t="shared" ca="1" si="48"/>
        <v>1738</v>
      </c>
      <c r="G271" s="129">
        <f ca="1">INT((F271*Valores!$C$2*100)+0.5)/100</f>
        <v>8924.11</v>
      </c>
      <c r="H271" s="133">
        <v>0</v>
      </c>
      <c r="I271" s="80">
        <f ca="1">INT((H271*Valores!$C$2*100)+0.5)/100</f>
        <v>0</v>
      </c>
      <c r="J271" s="148">
        <v>0</v>
      </c>
      <c r="K271" s="80">
        <f ca="1">INT((J271*Valores!$C$2*100)+0.5)/100</f>
        <v>0</v>
      </c>
      <c r="L271" s="121">
        <v>0</v>
      </c>
      <c r="M271" s="80">
        <f ca="1">INT((L271*Valores!$C$2*100)+0.5)/100</f>
        <v>0</v>
      </c>
      <c r="N271" s="80">
        <f t="shared" ca="1" si="55"/>
        <v>0</v>
      </c>
      <c r="O271" s="80">
        <f t="shared" ca="1" si="56"/>
        <v>9620.19</v>
      </c>
      <c r="P271" s="85">
        <f ca="1">Valores!$C$14*D271</f>
        <v>2526.04</v>
      </c>
      <c r="Q271" s="85">
        <f ca="1">IF(D271&lt;15,(Valores!$E$4*D271),Valores!$D$4)</f>
        <v>2296.75</v>
      </c>
      <c r="R271" s="80">
        <v>0</v>
      </c>
      <c r="S271" s="82">
        <f ca="1">Valores!$C$45*D271</f>
        <v>696.08</v>
      </c>
      <c r="T271" s="85">
        <f ca="1">Valores!$C$22*D271</f>
        <v>1021.46</v>
      </c>
      <c r="U271" s="80">
        <f t="shared" ca="1" si="45"/>
        <v>2042.92</v>
      </c>
      <c r="V271" s="80">
        <v>0</v>
      </c>
      <c r="W271" s="80">
        <v>0</v>
      </c>
      <c r="X271" s="60">
        <v>0</v>
      </c>
      <c r="Y271" s="80">
        <f ca="1">X271*Valores!$C$2</f>
        <v>0</v>
      </c>
      <c r="Z271" s="80">
        <v>0</v>
      </c>
      <c r="AA271" s="90">
        <f ca="1">(Valores!$C$32)*D271</f>
        <v>116.16000000000001</v>
      </c>
      <c r="AB271" s="80">
        <f t="shared" ca="1" si="49"/>
        <v>0</v>
      </c>
      <c r="AC271" s="80">
        <f ca="1">Valores!$C$33*D271</f>
        <v>96.58</v>
      </c>
      <c r="AD271" s="115">
        <v>0</v>
      </c>
      <c r="AE271" s="80">
        <f ca="1">INT(((AD271*Valores!$C$2)*100)+0.5)/100</f>
        <v>0</v>
      </c>
      <c r="AF271" s="80">
        <f ca="1">Valores!$D$51*D271</f>
        <v>392.87600000000003</v>
      </c>
      <c r="AG271" s="80">
        <f ca="1">Valores!$D$52*D271</f>
        <v>112.25866666666667</v>
      </c>
      <c r="AH271" s="80">
        <f ca="1">SUM(G271,I271,K271,M271,N271,O271,P271,Q271,R271,S271,U271,V271,W271,Y271,Z271,AA271,AB271,AC271,AE271,AF271,AG271)*Valores!$C$54</f>
        <v>0</v>
      </c>
      <c r="AI271" s="142">
        <f t="shared" ca="1" si="52"/>
        <v>26823.964666666674</v>
      </c>
      <c r="AJ271" s="85">
        <f ca="1">Valores!$C$36*D271</f>
        <v>266.86</v>
      </c>
      <c r="AK271" s="82">
        <f ca="1">Valores!$C$11*D271</f>
        <v>187.22</v>
      </c>
      <c r="AL271" s="90">
        <f t="shared" ca="1" si="57"/>
        <v>164.626</v>
      </c>
      <c r="AM271" s="82">
        <f ca="1">IF($G$4="SI",SUM(AK271+AL271),AK271)*Valores!$C$54</f>
        <v>0</v>
      </c>
      <c r="AN271" s="186">
        <f t="shared" ca="1" si="53"/>
        <v>618.70600000000002</v>
      </c>
      <c r="AO271" s="155">
        <f ca="1">AI271*-Valores!$C$56</f>
        <v>-3487.1154066666677</v>
      </c>
      <c r="AP271" s="155">
        <f ca="1">AI271*-Valores!$C$57</f>
        <v>-134.11982333333339</v>
      </c>
      <c r="AQ271" s="81">
        <f ca="1">AI271*-Valores!$C$58</f>
        <v>-1207.0784100000003</v>
      </c>
      <c r="AR271" s="81">
        <f ca="1">AI271*-Valores!$C$59</f>
        <v>-724.2470460000003</v>
      </c>
      <c r="AS271" s="81">
        <f ca="1">AI271*-Valores!$C$60</f>
        <v>-80.47189400000002</v>
      </c>
      <c r="AT271" s="54">
        <f t="shared" ca="1" si="50"/>
        <v>22614.357026666668</v>
      </c>
      <c r="AU271" s="54">
        <f t="shared" ca="1" si="51"/>
        <v>23016.716496666671</v>
      </c>
      <c r="AV271" s="81">
        <f ca="1">AI271*Valores!$C$61</f>
        <v>4291.8343466666684</v>
      </c>
      <c r="AW271" s="81">
        <f ca="1">AI271*Valores!$C$62</f>
        <v>1207.0784100000003</v>
      </c>
      <c r="AX271" s="81">
        <f ca="1">AI271*Valores!$C$64</f>
        <v>268.23964666666677</v>
      </c>
      <c r="AY271" s="81">
        <f ca="1">AI271*Valores!$C$65</f>
        <v>938.83876333333365</v>
      </c>
      <c r="AZ271" s="81">
        <f ca="1">AI271*Valores!$C$66</f>
        <v>160.94378800000004</v>
      </c>
      <c r="BA271" s="81">
        <f t="shared" ca="1" si="54"/>
        <v>1448.4940920000006</v>
      </c>
      <c r="BB271" s="55"/>
      <c r="BC271" s="55">
        <f t="shared" ca="1" si="47"/>
        <v>88</v>
      </c>
      <c r="BD271" s="52" t="s">
        <v>467</v>
      </c>
    </row>
    <row r="272" spans="1:56" s="9" customFormat="1" ht="11.25" customHeight="1" x14ac:dyDescent="0.15">
      <c r="A272" s="20">
        <v>271</v>
      </c>
      <c r="B272" s="20"/>
      <c r="C272" s="9" t="s">
        <v>355</v>
      </c>
      <c r="D272" s="9">
        <v>22</v>
      </c>
      <c r="E272" s="10" t="str">
        <f ca="1">CONCATENATE("Hora Cátedra Enseñanza Media ",D272," hs Esc Esp")</f>
        <v>Hora Cátedra Enseñanza Media 22 hs Esc Esp</v>
      </c>
      <c r="F272" s="123">
        <f t="shared" ca="1" si="48"/>
        <v>1738</v>
      </c>
      <c r="G272" s="7">
        <f ca="1">INT((F272*Valores!$C$2*100)+0.5)/100</f>
        <v>8924.11</v>
      </c>
      <c r="H272" s="134">
        <v>0</v>
      </c>
      <c r="I272" s="77">
        <f ca="1">INT((H272*Valores!$C$2*100)+0.5)/100</f>
        <v>0</v>
      </c>
      <c r="J272" s="147">
        <v>0</v>
      </c>
      <c r="K272" s="77">
        <f ca="1">INT((J272*Valores!$C$2*100)+0.5)/100</f>
        <v>0</v>
      </c>
      <c r="L272" s="120">
        <v>0</v>
      </c>
      <c r="M272" s="77">
        <f ca="1">INT((L272*Valores!$C$2*100)+0.5)/100</f>
        <v>0</v>
      </c>
      <c r="N272" s="77">
        <f t="shared" ca="1" si="55"/>
        <v>0</v>
      </c>
      <c r="O272" s="77">
        <f t="shared" ca="1" si="56"/>
        <v>9620.19</v>
      </c>
      <c r="P272" s="61">
        <f ca="1">Valores!$C$14*D272</f>
        <v>2526.04</v>
      </c>
      <c r="Q272" s="61">
        <f ca="1">IF(D272&lt;15,(Valores!$E$4*D272),Valores!$D$4)</f>
        <v>2296.75</v>
      </c>
      <c r="R272" s="77">
        <v>0</v>
      </c>
      <c r="S272" s="79">
        <f ca="1">Valores!$C$45*D272</f>
        <v>696.08</v>
      </c>
      <c r="T272" s="61">
        <f ca="1">Valores!$C$22*D272</f>
        <v>1021.46</v>
      </c>
      <c r="U272" s="77">
        <f t="shared" ca="1" si="45"/>
        <v>2042.92</v>
      </c>
      <c r="V272" s="77">
        <v>0</v>
      </c>
      <c r="W272" s="77">
        <v>0</v>
      </c>
      <c r="X272" s="37">
        <v>0</v>
      </c>
      <c r="Y272" s="77">
        <f ca="1">X272*Valores!$C$2</f>
        <v>0</v>
      </c>
      <c r="Z272" s="77">
        <v>0</v>
      </c>
      <c r="AA272" s="89">
        <f ca="1">(Valores!$C$32)*D272</f>
        <v>116.16000000000001</v>
      </c>
      <c r="AB272" s="77">
        <f t="shared" ca="1" si="49"/>
        <v>0</v>
      </c>
      <c r="AC272" s="77">
        <f ca="1">Valores!$C$33*D272</f>
        <v>96.58</v>
      </c>
      <c r="AD272" s="116">
        <v>94</v>
      </c>
      <c r="AE272" s="77">
        <f ca="1">INT(((AD272*Valores!$C$2)*100)+0.5)/100</f>
        <v>482.66</v>
      </c>
      <c r="AF272" s="77">
        <f ca="1">Valores!$D$51*D272</f>
        <v>392.87600000000003</v>
      </c>
      <c r="AG272" s="77">
        <f ca="1">Valores!$D$52*D272</f>
        <v>112.25866666666667</v>
      </c>
      <c r="AH272" s="77">
        <f ca="1">SUM(G272,I272,K272,M272,N272,O272,P272,Q272,R272,S272,U272,V272,W272,Y272,Z272,AA272,AB272,AC272,AE272,AF272,AG272)*Valores!$C$54</f>
        <v>0</v>
      </c>
      <c r="AI272" s="141">
        <f t="shared" ca="1" si="52"/>
        <v>27306.624666666674</v>
      </c>
      <c r="AJ272" s="61">
        <f ca="1">Valores!$C$36*D272</f>
        <v>266.86</v>
      </c>
      <c r="AK272" s="79">
        <f ca="1">Valores!$C$11*D272</f>
        <v>187.22</v>
      </c>
      <c r="AL272" s="89">
        <f t="shared" ca="1" si="57"/>
        <v>164.626</v>
      </c>
      <c r="AM272" s="79">
        <f ca="1">IF($G$4="SI",SUM(AK272+AL272),AK272)*Valores!$C$54</f>
        <v>0</v>
      </c>
      <c r="AN272" s="12">
        <f t="shared" ca="1" si="53"/>
        <v>618.70600000000002</v>
      </c>
      <c r="AO272" s="13">
        <f ca="1">AI272*-Valores!$C$56</f>
        <v>-3549.8612066666678</v>
      </c>
      <c r="AP272" s="13">
        <f ca="1">AI272*-Valores!$C$57</f>
        <v>-136.53312333333338</v>
      </c>
      <c r="AQ272" s="78">
        <f ca="1">AI272*-Valores!$C$58</f>
        <v>-1228.7981100000002</v>
      </c>
      <c r="AR272" s="78">
        <f ca="1">AI272*-Valores!$C$59</f>
        <v>-737.27886600000033</v>
      </c>
      <c r="AS272" s="78">
        <f ca="1">AI272*-Valores!$C$60</f>
        <v>-81.919874000000021</v>
      </c>
      <c r="AT272" s="15">
        <f t="shared" ca="1" si="50"/>
        <v>23010.13822666667</v>
      </c>
      <c r="AU272" s="15">
        <f t="shared" ca="1" si="51"/>
        <v>23419.73759666667</v>
      </c>
      <c r="AV272" s="78">
        <f ca="1">AI272*Valores!$C$61</f>
        <v>4369.0599466666681</v>
      </c>
      <c r="AW272" s="78">
        <f ca="1">AI272*Valores!$C$62</f>
        <v>1228.7981100000002</v>
      </c>
      <c r="AX272" s="78">
        <f ca="1">AI272*Valores!$C$64</f>
        <v>273.06624666666676</v>
      </c>
      <c r="AY272" s="78">
        <f ca="1">AI272*Valores!$C$65</f>
        <v>955.73186333333365</v>
      </c>
      <c r="AZ272" s="78">
        <f ca="1">AI272*Valores!$C$66</f>
        <v>163.83974800000004</v>
      </c>
      <c r="BA272" s="78">
        <f t="shared" ca="1" si="54"/>
        <v>1474.5577320000004</v>
      </c>
      <c r="BB272" s="20"/>
      <c r="BC272" s="20">
        <f t="shared" ca="1" si="47"/>
        <v>88</v>
      </c>
      <c r="BD272" s="9" t="s">
        <v>467</v>
      </c>
    </row>
    <row r="273" spans="1:56" s="9" customFormat="1" ht="11.25" customHeight="1" x14ac:dyDescent="0.15">
      <c r="A273" s="20">
        <v>272</v>
      </c>
      <c r="B273" s="20"/>
      <c r="C273" s="9" t="s">
        <v>355</v>
      </c>
      <c r="D273" s="9">
        <v>23</v>
      </c>
      <c r="E273" s="10" t="str">
        <f ca="1">CONCATENATE("Hora Cátedra Enseñanza Media ",D273," hs")</f>
        <v>Hora Cátedra Enseñanza Media 23 hs</v>
      </c>
      <c r="F273" s="123">
        <f t="shared" ca="1" si="48"/>
        <v>1817</v>
      </c>
      <c r="G273" s="7">
        <f ca="1">INT((F273*Valores!$C$2*100)+0.5)/100</f>
        <v>9329.75</v>
      </c>
      <c r="H273" s="134">
        <v>0</v>
      </c>
      <c r="I273" s="77">
        <f ca="1">INT((H273*Valores!$C$2*100)+0.5)/100</f>
        <v>0</v>
      </c>
      <c r="J273" s="147">
        <v>0</v>
      </c>
      <c r="K273" s="77">
        <f ca="1">INT((J273*Valores!$C$2*100)+0.5)/100</f>
        <v>0</v>
      </c>
      <c r="L273" s="120">
        <v>0</v>
      </c>
      <c r="M273" s="77">
        <f ca="1">INT((L273*Valores!$C$2*100)+0.5)/100</f>
        <v>0</v>
      </c>
      <c r="N273" s="77">
        <f t="shared" ca="1" si="55"/>
        <v>0</v>
      </c>
      <c r="O273" s="77">
        <f t="shared" ca="1" si="56"/>
        <v>10057.469999999999</v>
      </c>
      <c r="P273" s="61">
        <f ca="1">Valores!$C$14*D273</f>
        <v>2640.8599999999997</v>
      </c>
      <c r="Q273" s="61">
        <f ca="1">IF(D273&lt;15,(Valores!$E$4*D273),Valores!$D$4)</f>
        <v>2296.75</v>
      </c>
      <c r="R273" s="77">
        <v>0</v>
      </c>
      <c r="S273" s="79">
        <f ca="1">Valores!$C$45*D273</f>
        <v>727.72</v>
      </c>
      <c r="T273" s="61">
        <f ca="1">Valores!$C$22*D273</f>
        <v>1067.8900000000001</v>
      </c>
      <c r="U273" s="77">
        <f t="shared" ca="1" si="45"/>
        <v>2135.7800000000002</v>
      </c>
      <c r="V273" s="77">
        <v>0</v>
      </c>
      <c r="W273" s="77">
        <v>0</v>
      </c>
      <c r="X273" s="37">
        <v>0</v>
      </c>
      <c r="Y273" s="77">
        <f ca="1">X273*Valores!$C$2</f>
        <v>0</v>
      </c>
      <c r="Z273" s="77">
        <v>0</v>
      </c>
      <c r="AA273" s="89">
        <f ca="1">(Valores!$C$32)*D273</f>
        <v>121.44000000000001</v>
      </c>
      <c r="AB273" s="77">
        <f t="shared" ca="1" si="49"/>
        <v>0</v>
      </c>
      <c r="AC273" s="77">
        <f ca="1">Valores!$C$33*D273</f>
        <v>100.97</v>
      </c>
      <c r="AD273" s="116">
        <v>0</v>
      </c>
      <c r="AE273" s="77">
        <f ca="1">INT(((AD273*Valores!$C$2)*100)+0.5)/100</f>
        <v>0</v>
      </c>
      <c r="AF273" s="77">
        <f ca="1">Valores!$D$51*D273</f>
        <v>410.73400000000004</v>
      </c>
      <c r="AG273" s="77">
        <f ca="1">Valores!$D$52*D273</f>
        <v>117.36133333333333</v>
      </c>
      <c r="AH273" s="77">
        <f ca="1">SUM(G273,I273,K273,M273,N273,O273,P273,Q273,R273,S273,U273,V273,W273,Y273,Z273,AA273,AB273,AC273,AE273,AF273,AG273)*Valores!$C$54</f>
        <v>0</v>
      </c>
      <c r="AI273" s="141">
        <f t="shared" ca="1" si="52"/>
        <v>27938.835333333336</v>
      </c>
      <c r="AJ273" s="61">
        <f ca="1">Valores!$C$36*D273</f>
        <v>278.99</v>
      </c>
      <c r="AK273" s="79">
        <f ca="1">Valores!$C$11*D273</f>
        <v>195.73</v>
      </c>
      <c r="AL273" s="89">
        <f t="shared" ca="1" si="57"/>
        <v>172.10899999999998</v>
      </c>
      <c r="AM273" s="79">
        <f ca="1">IF($G$4="SI",SUM(AK273+AL273),AK273)*Valores!$C$54</f>
        <v>0</v>
      </c>
      <c r="AN273" s="12">
        <f t="shared" ca="1" si="53"/>
        <v>646.82899999999995</v>
      </c>
      <c r="AO273" s="13">
        <f ca="1">AI273*-Valores!$C$56</f>
        <v>-3632.0485933333339</v>
      </c>
      <c r="AP273" s="13">
        <f ca="1">AI273*-Valores!$C$57</f>
        <v>-139.69417666666669</v>
      </c>
      <c r="AQ273" s="78">
        <f ca="1">AI273*-Valores!$C$58</f>
        <v>-1257.2475900000002</v>
      </c>
      <c r="AR273" s="78">
        <f ca="1">AI273*-Valores!$C$59</f>
        <v>-754.34855400000015</v>
      </c>
      <c r="AS273" s="78">
        <f ca="1">AI273*-Valores!$C$60</f>
        <v>-83.816506000000004</v>
      </c>
      <c r="AT273" s="15">
        <f t="shared" ca="1" si="50"/>
        <v>23556.673973333338</v>
      </c>
      <c r="AU273" s="15">
        <f t="shared" ca="1" si="51"/>
        <v>23975.756503333338</v>
      </c>
      <c r="AV273" s="78">
        <f ca="1">AI273*Valores!$C$61</f>
        <v>4470.2136533333342</v>
      </c>
      <c r="AW273" s="78">
        <f ca="1">AI273*Valores!$C$62</f>
        <v>1257.2475900000002</v>
      </c>
      <c r="AX273" s="78">
        <f ca="1">AI273*Valores!$C$64</f>
        <v>279.38835333333338</v>
      </c>
      <c r="AY273" s="78">
        <f ca="1">AI273*Valores!$C$65</f>
        <v>977.8592366666669</v>
      </c>
      <c r="AZ273" s="78">
        <f ca="1">AI273*Valores!$C$66</f>
        <v>167.63301200000001</v>
      </c>
      <c r="BA273" s="78">
        <f t="shared" ca="1" si="54"/>
        <v>1508.6971080000003</v>
      </c>
      <c r="BB273" s="20"/>
      <c r="BC273" s="20">
        <f t="shared" ca="1" si="47"/>
        <v>92</v>
      </c>
      <c r="BD273" s="9" t="s">
        <v>467</v>
      </c>
    </row>
    <row r="274" spans="1:56" s="9" customFormat="1" ht="11.25" customHeight="1" x14ac:dyDescent="0.15">
      <c r="A274" s="20">
        <v>273</v>
      </c>
      <c r="B274" s="20"/>
      <c r="C274" s="9" t="s">
        <v>355</v>
      </c>
      <c r="D274" s="9">
        <v>23</v>
      </c>
      <c r="E274" s="10" t="str">
        <f ca="1">CONCATENATE("Hora Cátedra Enseñanza Media ",D274," hs Esc Esp")</f>
        <v>Hora Cátedra Enseñanza Media 23 hs Esc Esp</v>
      </c>
      <c r="F274" s="123">
        <f t="shared" ca="1" si="48"/>
        <v>1817</v>
      </c>
      <c r="G274" s="7">
        <f ca="1">INT((F274*Valores!$C$2*100)+0.5)/100</f>
        <v>9329.75</v>
      </c>
      <c r="H274" s="134">
        <v>0</v>
      </c>
      <c r="I274" s="77">
        <f ca="1">INT((H274*Valores!$C$2*100)+0.5)/100</f>
        <v>0</v>
      </c>
      <c r="J274" s="147">
        <v>0</v>
      </c>
      <c r="K274" s="77">
        <f ca="1">INT((J274*Valores!$C$2*100)+0.5)/100</f>
        <v>0</v>
      </c>
      <c r="L274" s="120">
        <v>0</v>
      </c>
      <c r="M274" s="77">
        <f ca="1">INT((L274*Valores!$C$2*100)+0.5)/100</f>
        <v>0</v>
      </c>
      <c r="N274" s="77">
        <f t="shared" ca="1" si="55"/>
        <v>0</v>
      </c>
      <c r="O274" s="77">
        <f t="shared" ca="1" si="56"/>
        <v>10057.469999999999</v>
      </c>
      <c r="P274" s="61">
        <f ca="1">Valores!$C$14*D274</f>
        <v>2640.8599999999997</v>
      </c>
      <c r="Q274" s="61">
        <f ca="1">IF(D274&lt;15,(Valores!$E$4*D274),Valores!$D$4)</f>
        <v>2296.75</v>
      </c>
      <c r="R274" s="77">
        <v>0</v>
      </c>
      <c r="S274" s="79">
        <f ca="1">Valores!$C$45*D274</f>
        <v>727.72</v>
      </c>
      <c r="T274" s="61">
        <f ca="1">Valores!$C$22*D274</f>
        <v>1067.8900000000001</v>
      </c>
      <c r="U274" s="77">
        <f t="shared" ca="1" si="45"/>
        <v>2135.7800000000002</v>
      </c>
      <c r="V274" s="77">
        <v>0</v>
      </c>
      <c r="W274" s="77">
        <v>0</v>
      </c>
      <c r="X274" s="37">
        <v>0</v>
      </c>
      <c r="Y274" s="77">
        <f ca="1">X274*Valores!$C$2</f>
        <v>0</v>
      </c>
      <c r="Z274" s="77">
        <v>0</v>
      </c>
      <c r="AA274" s="89">
        <f ca="1">(Valores!$C$32)*D274</f>
        <v>121.44000000000001</v>
      </c>
      <c r="AB274" s="77">
        <f t="shared" ca="1" si="49"/>
        <v>0</v>
      </c>
      <c r="AC274" s="77">
        <f ca="1">Valores!$C$33*D274</f>
        <v>100.97</v>
      </c>
      <c r="AD274" s="116">
        <v>94</v>
      </c>
      <c r="AE274" s="77">
        <f ca="1">INT(((AD274*Valores!$C$2)*100)+0.5)/100</f>
        <v>482.66</v>
      </c>
      <c r="AF274" s="77">
        <f ca="1">Valores!$D$51*D274</f>
        <v>410.73400000000004</v>
      </c>
      <c r="AG274" s="77">
        <f ca="1">Valores!$D$52*D274</f>
        <v>117.36133333333333</v>
      </c>
      <c r="AH274" s="77">
        <f ca="1">SUM(G274,I274,K274,M274,N274,O274,P274,Q274,R274,S274,U274,V274,W274,Y274,Z274,AA274,AB274,AC274,AE274,AF274,AG274)*Valores!$C$54</f>
        <v>0</v>
      </c>
      <c r="AI274" s="141">
        <f t="shared" ca="1" si="52"/>
        <v>28421.495333333336</v>
      </c>
      <c r="AJ274" s="61">
        <f ca="1">Valores!$C$36*D274</f>
        <v>278.99</v>
      </c>
      <c r="AK274" s="79">
        <f ca="1">Valores!$C$11*D274</f>
        <v>195.73</v>
      </c>
      <c r="AL274" s="89">
        <f t="shared" ca="1" si="57"/>
        <v>172.10899999999998</v>
      </c>
      <c r="AM274" s="79">
        <f ca="1">IF($G$4="SI",SUM(AK274+AL274),AK274)*Valores!$C$54</f>
        <v>0</v>
      </c>
      <c r="AN274" s="12">
        <f t="shared" ca="1" si="53"/>
        <v>646.82899999999995</v>
      </c>
      <c r="AO274" s="13">
        <f ca="1">AI274*-Valores!$C$56</f>
        <v>-3694.794393333334</v>
      </c>
      <c r="AP274" s="13">
        <f ca="1">AI274*-Valores!$C$57</f>
        <v>-142.10747666666668</v>
      </c>
      <c r="AQ274" s="78">
        <f ca="1">AI274*-Valores!$C$58</f>
        <v>-1278.96729</v>
      </c>
      <c r="AR274" s="78">
        <f ca="1">AI274*-Valores!$C$59</f>
        <v>-767.38037400000019</v>
      </c>
      <c r="AS274" s="78">
        <f ca="1">AI274*-Valores!$C$60</f>
        <v>-85.264486000000005</v>
      </c>
      <c r="AT274" s="15">
        <f t="shared" ca="1" si="50"/>
        <v>23952.455173333336</v>
      </c>
      <c r="AU274" s="15">
        <f t="shared" ca="1" si="51"/>
        <v>24378.777603333336</v>
      </c>
      <c r="AV274" s="78">
        <f ca="1">AI274*Valores!$C$61</f>
        <v>4547.4392533333339</v>
      </c>
      <c r="AW274" s="78">
        <f ca="1">AI274*Valores!$C$62</f>
        <v>1278.96729</v>
      </c>
      <c r="AX274" s="78">
        <f ca="1">AI274*Valores!$C$64</f>
        <v>284.21495333333337</v>
      </c>
      <c r="AY274" s="78">
        <f ca="1">AI274*Valores!$C$65</f>
        <v>994.75233666666691</v>
      </c>
      <c r="AZ274" s="78">
        <f ca="1">AI274*Valores!$C$66</f>
        <v>170.52897200000001</v>
      </c>
      <c r="BA274" s="78">
        <f t="shared" ca="1" si="54"/>
        <v>1534.7607480000004</v>
      </c>
      <c r="BB274" s="20"/>
      <c r="BC274" s="55">
        <f t="shared" ca="1" si="47"/>
        <v>92</v>
      </c>
      <c r="BD274" s="9" t="s">
        <v>467</v>
      </c>
    </row>
    <row r="275" spans="1:56" s="9" customFormat="1" ht="11.25" customHeight="1" x14ac:dyDescent="0.15">
      <c r="A275" s="20">
        <v>274</v>
      </c>
      <c r="B275" s="20"/>
      <c r="C275" s="9" t="s">
        <v>355</v>
      </c>
      <c r="D275" s="9">
        <v>24</v>
      </c>
      <c r="E275" s="10" t="str">
        <f ca="1">CONCATENATE("Hora Cátedra Enseñanza Media ",D275," hs")</f>
        <v>Hora Cátedra Enseñanza Media 24 hs</v>
      </c>
      <c r="F275" s="123">
        <f t="shared" ca="1" si="48"/>
        <v>1896</v>
      </c>
      <c r="G275" s="7">
        <f ca="1">INT((F275*Valores!$C$2*100)+0.5)/100</f>
        <v>9735.39</v>
      </c>
      <c r="H275" s="134">
        <v>0</v>
      </c>
      <c r="I275" s="77">
        <f ca="1">INT((H275*Valores!$C$2*100)+0.5)/100</f>
        <v>0</v>
      </c>
      <c r="J275" s="147">
        <v>0</v>
      </c>
      <c r="K275" s="77">
        <f ca="1">INT((J275*Valores!$C$2*100)+0.5)/100</f>
        <v>0</v>
      </c>
      <c r="L275" s="120">
        <v>0</v>
      </c>
      <c r="M275" s="77">
        <f ca="1">INT((L275*Valores!$C$2*100)+0.5)/100</f>
        <v>0</v>
      </c>
      <c r="N275" s="77">
        <f t="shared" ca="1" si="55"/>
        <v>0</v>
      </c>
      <c r="O275" s="77">
        <f t="shared" ca="1" si="56"/>
        <v>10494.75</v>
      </c>
      <c r="P275" s="61">
        <f ca="1">Valores!$C$14*D275</f>
        <v>2755.68</v>
      </c>
      <c r="Q275" s="61">
        <f ca="1">IF(D275&lt;15,(Valores!$E$4*D275),Valores!$D$4)</f>
        <v>2296.75</v>
      </c>
      <c r="R275" s="77">
        <v>0</v>
      </c>
      <c r="S275" s="79">
        <f ca="1">Valores!$C$45*D275</f>
        <v>759.36</v>
      </c>
      <c r="T275" s="61">
        <f ca="1">Valores!$C$22*D275</f>
        <v>1114.32</v>
      </c>
      <c r="U275" s="77">
        <f t="shared" ca="1" si="45"/>
        <v>2228.64</v>
      </c>
      <c r="V275" s="77">
        <v>0</v>
      </c>
      <c r="W275" s="77">
        <v>0</v>
      </c>
      <c r="X275" s="37">
        <v>0</v>
      </c>
      <c r="Y275" s="77">
        <f ca="1">X275*Valores!$C$2</f>
        <v>0</v>
      </c>
      <c r="Z275" s="77">
        <v>0</v>
      </c>
      <c r="AA275" s="89">
        <f ca="1">(Valores!$C$32)*D275</f>
        <v>126.72</v>
      </c>
      <c r="AB275" s="77">
        <f t="shared" ca="1" si="49"/>
        <v>0</v>
      </c>
      <c r="AC275" s="77">
        <f ca="1">Valores!$C$33*D275</f>
        <v>105.35999999999999</v>
      </c>
      <c r="AD275" s="116">
        <v>0</v>
      </c>
      <c r="AE275" s="77">
        <f ca="1">INT(((AD275*Valores!$C$2)*100)+0.5)/100</f>
        <v>0</v>
      </c>
      <c r="AF275" s="77">
        <f ca="1">Valores!$D$51*D275</f>
        <v>428.59199999999998</v>
      </c>
      <c r="AG275" s="77">
        <f ca="1">Valores!$D$52*D275</f>
        <v>122.464</v>
      </c>
      <c r="AH275" s="77">
        <f ca="1">SUM(G275,I275,K275,M275,N275,O275,P275,Q275,R275,S275,U275,V275,W275,Y275,Z275,AA275,AB275,AC275,AE275,AF275,AG275)*Valores!$C$54</f>
        <v>0</v>
      </c>
      <c r="AI275" s="141">
        <f t="shared" ca="1" si="52"/>
        <v>29053.706000000002</v>
      </c>
      <c r="AJ275" s="61">
        <f ca="1">Valores!$C$36*D275</f>
        <v>291.12</v>
      </c>
      <c r="AK275" s="79">
        <f ca="1">Valores!$C$11*D275</f>
        <v>204.24</v>
      </c>
      <c r="AL275" s="89">
        <f t="shared" ca="1" si="57"/>
        <v>179.59199999999998</v>
      </c>
      <c r="AM275" s="79">
        <f ca="1">IF($G$4="SI",SUM(AK275+AL275),AK275)*Valores!$C$54</f>
        <v>0</v>
      </c>
      <c r="AN275" s="12">
        <f t="shared" ca="1" si="53"/>
        <v>674.952</v>
      </c>
      <c r="AO275" s="13">
        <f ca="1">AI275*-Valores!$C$56</f>
        <v>-3776.9817800000005</v>
      </c>
      <c r="AP275" s="13">
        <f ca="1">AI275*-Valores!$C$57</f>
        <v>-145.26853000000003</v>
      </c>
      <c r="AQ275" s="78">
        <f ca="1">AI275*-Valores!$C$58</f>
        <v>-1307.41677</v>
      </c>
      <c r="AR275" s="78">
        <f ca="1">AI275*-Valores!$C$59</f>
        <v>-784.45006200000012</v>
      </c>
      <c r="AS275" s="78">
        <f ca="1">AI275*-Valores!$C$60</f>
        <v>-87.161118000000002</v>
      </c>
      <c r="AT275" s="15">
        <f t="shared" ca="1" si="50"/>
        <v>24498.99092</v>
      </c>
      <c r="AU275" s="15">
        <f t="shared" ca="1" si="51"/>
        <v>24934.79651</v>
      </c>
      <c r="AV275" s="78">
        <f ca="1">AI275*Valores!$C$61</f>
        <v>4648.5929600000009</v>
      </c>
      <c r="AW275" s="78">
        <f ca="1">AI275*Valores!$C$62</f>
        <v>1307.41677</v>
      </c>
      <c r="AX275" s="78">
        <f ca="1">AI275*Valores!$C$64</f>
        <v>290.53706000000005</v>
      </c>
      <c r="AY275" s="78">
        <f ca="1">AI275*Valores!$C$65</f>
        <v>1016.8797100000002</v>
      </c>
      <c r="AZ275" s="78">
        <f ca="1">AI275*Valores!$C$66</f>
        <v>174.322236</v>
      </c>
      <c r="BA275" s="78">
        <f t="shared" ca="1" si="54"/>
        <v>1568.900124</v>
      </c>
      <c r="BB275" s="20"/>
      <c r="BC275" s="20">
        <f t="shared" ca="1" si="47"/>
        <v>96</v>
      </c>
      <c r="BD275" s="9" t="s">
        <v>467</v>
      </c>
    </row>
    <row r="276" spans="1:56" s="9" customFormat="1" ht="11.25" customHeight="1" x14ac:dyDescent="0.15">
      <c r="A276" s="55">
        <v>275</v>
      </c>
      <c r="B276" s="55" t="s">
        <v>462</v>
      </c>
      <c r="C276" s="52" t="s">
        <v>355</v>
      </c>
      <c r="D276" s="52">
        <v>24</v>
      </c>
      <c r="E276" s="53" t="str">
        <f ca="1">CONCATENATE("Hora Cátedra Enseñanza Media ",D276," hs Esc Esp")</f>
        <v>Hora Cátedra Enseñanza Media 24 hs Esc Esp</v>
      </c>
      <c r="F276" s="124">
        <f t="shared" ca="1" si="48"/>
        <v>1896</v>
      </c>
      <c r="G276" s="129">
        <f ca="1">INT((F276*Valores!$C$2*100)+0.5)/100</f>
        <v>9735.39</v>
      </c>
      <c r="H276" s="133">
        <v>0</v>
      </c>
      <c r="I276" s="80">
        <f ca="1">INT((H276*Valores!$C$2*100)+0.5)/100</f>
        <v>0</v>
      </c>
      <c r="J276" s="148">
        <v>0</v>
      </c>
      <c r="K276" s="80">
        <f ca="1">INT((J276*Valores!$C$2*100)+0.5)/100</f>
        <v>0</v>
      </c>
      <c r="L276" s="121">
        <v>0</v>
      </c>
      <c r="M276" s="80">
        <f ca="1">INT((L276*Valores!$C$2*100)+0.5)/100</f>
        <v>0</v>
      </c>
      <c r="N276" s="80">
        <f t="shared" ca="1" si="55"/>
        <v>0</v>
      </c>
      <c r="O276" s="80">
        <f t="shared" ca="1" si="56"/>
        <v>10494.75</v>
      </c>
      <c r="P276" s="85">
        <f ca="1">Valores!$C$14*D276</f>
        <v>2755.68</v>
      </c>
      <c r="Q276" s="85">
        <f ca="1">IF(D276&lt;15,(Valores!$E$4*D276),Valores!$D$4)</f>
        <v>2296.75</v>
      </c>
      <c r="R276" s="80">
        <v>0</v>
      </c>
      <c r="S276" s="82">
        <f ca="1">Valores!$C$45*D276</f>
        <v>759.36</v>
      </c>
      <c r="T276" s="85">
        <f ca="1">Valores!$C$22*D276</f>
        <v>1114.32</v>
      </c>
      <c r="U276" s="80">
        <f t="shared" ca="1" si="45"/>
        <v>2228.64</v>
      </c>
      <c r="V276" s="80">
        <v>0</v>
      </c>
      <c r="W276" s="80">
        <v>0</v>
      </c>
      <c r="X276" s="60">
        <v>0</v>
      </c>
      <c r="Y276" s="80">
        <f ca="1">X276*Valores!$C$2</f>
        <v>0</v>
      </c>
      <c r="Z276" s="80">
        <v>0</v>
      </c>
      <c r="AA276" s="90">
        <f ca="1">(Valores!$C$32)*D276</f>
        <v>126.72</v>
      </c>
      <c r="AB276" s="80">
        <f t="shared" ca="1" si="49"/>
        <v>0</v>
      </c>
      <c r="AC276" s="80">
        <f ca="1">Valores!$C$33*D276</f>
        <v>105.35999999999999</v>
      </c>
      <c r="AD276" s="115">
        <v>94</v>
      </c>
      <c r="AE276" s="80">
        <f ca="1">INT(((AD276*Valores!$C$2)*100)+0.5)/100</f>
        <v>482.66</v>
      </c>
      <c r="AF276" s="80">
        <f ca="1">Valores!$D$51*D276</f>
        <v>428.59199999999998</v>
      </c>
      <c r="AG276" s="80">
        <f ca="1">Valores!$D$52*D276</f>
        <v>122.464</v>
      </c>
      <c r="AH276" s="80">
        <f ca="1">SUM(G276,I276,K276,M276,N276,O276,P276,Q276,R276,S276,U276,V276,W276,Y276,Z276,AA276,AB276,AC276,AE276,AF276,AG276)*Valores!$C$54</f>
        <v>0</v>
      </c>
      <c r="AI276" s="142">
        <f t="shared" ca="1" si="52"/>
        <v>29536.366000000002</v>
      </c>
      <c r="AJ276" s="85">
        <f ca="1">Valores!$C$36*D276</f>
        <v>291.12</v>
      </c>
      <c r="AK276" s="82">
        <f ca="1">Valores!$C$11*D276</f>
        <v>204.24</v>
      </c>
      <c r="AL276" s="90">
        <f t="shared" ca="1" si="57"/>
        <v>179.59199999999998</v>
      </c>
      <c r="AM276" s="82">
        <f ca="1">IF($G$4="SI",SUM(AK276+AL276),AK276)*Valores!$C$54</f>
        <v>0</v>
      </c>
      <c r="AN276" s="186">
        <f t="shared" ca="1" si="53"/>
        <v>674.952</v>
      </c>
      <c r="AO276" s="155">
        <f ca="1">AI276*-Valores!$C$56</f>
        <v>-3839.7275800000002</v>
      </c>
      <c r="AP276" s="155">
        <f ca="1">AI276*-Valores!$C$57</f>
        <v>-147.68183000000002</v>
      </c>
      <c r="AQ276" s="81">
        <f ca="1">AI276*-Valores!$C$58</f>
        <v>-1329.1364700000001</v>
      </c>
      <c r="AR276" s="81">
        <f ca="1">AI276*-Valores!$C$59</f>
        <v>-797.48188200000016</v>
      </c>
      <c r="AS276" s="81">
        <f ca="1">AI276*-Valores!$C$60</f>
        <v>-88.609098000000003</v>
      </c>
      <c r="AT276" s="54">
        <f t="shared" ca="1" si="50"/>
        <v>24894.772120000001</v>
      </c>
      <c r="AU276" s="54">
        <f t="shared" ca="1" si="51"/>
        <v>25337.817610000002</v>
      </c>
      <c r="AV276" s="81">
        <f ca="1">AI276*Valores!$C$61</f>
        <v>4725.8185600000006</v>
      </c>
      <c r="AW276" s="81">
        <f ca="1">AI276*Valores!$C$62</f>
        <v>1329.1364700000001</v>
      </c>
      <c r="AX276" s="81">
        <f ca="1">AI276*Valores!$C$64</f>
        <v>295.36366000000004</v>
      </c>
      <c r="AY276" s="81">
        <f ca="1">AI276*Valores!$C$65</f>
        <v>1033.7728100000002</v>
      </c>
      <c r="AZ276" s="81">
        <f ca="1">AI276*Valores!$C$66</f>
        <v>177.21819600000001</v>
      </c>
      <c r="BA276" s="81">
        <f t="shared" ca="1" si="54"/>
        <v>1594.9637640000001</v>
      </c>
      <c r="BB276" s="55"/>
      <c r="BC276" s="55">
        <f t="shared" ca="1" si="47"/>
        <v>96</v>
      </c>
      <c r="BD276" s="52" t="s">
        <v>467</v>
      </c>
    </row>
    <row r="277" spans="1:56" s="9" customFormat="1" ht="11.25" customHeight="1" x14ac:dyDescent="0.15">
      <c r="A277" s="20">
        <v>276</v>
      </c>
      <c r="B277" s="20"/>
      <c r="C277" s="9" t="s">
        <v>355</v>
      </c>
      <c r="D277" s="9">
        <v>25</v>
      </c>
      <c r="E277" s="10" t="str">
        <f ca="1">CONCATENATE("Hora Cátedra Enseñanza Media ",D277," hs")</f>
        <v>Hora Cátedra Enseñanza Media 25 hs</v>
      </c>
      <c r="F277" s="123">
        <f t="shared" ca="1" si="48"/>
        <v>1975</v>
      </c>
      <c r="G277" s="7">
        <f ca="1">INT((F277*Valores!$C$2*100)+0.5)/100</f>
        <v>10141.030000000001</v>
      </c>
      <c r="H277" s="134">
        <v>0</v>
      </c>
      <c r="I277" s="77">
        <f ca="1">INT((H277*Valores!$C$2*100)+0.5)/100</f>
        <v>0</v>
      </c>
      <c r="J277" s="147">
        <v>0</v>
      </c>
      <c r="K277" s="77">
        <f ca="1">INT((J277*Valores!$C$2*100)+0.5)/100</f>
        <v>0</v>
      </c>
      <c r="L277" s="120">
        <v>0</v>
      </c>
      <c r="M277" s="77">
        <f ca="1">INT((L277*Valores!$C$2*100)+0.5)/100</f>
        <v>0</v>
      </c>
      <c r="N277" s="77">
        <f t="shared" ca="1" si="55"/>
        <v>0</v>
      </c>
      <c r="O277" s="77">
        <f t="shared" ca="1" si="56"/>
        <v>10932.03</v>
      </c>
      <c r="P277" s="61">
        <f ca="1">Valores!$C$14*D277</f>
        <v>2870.5</v>
      </c>
      <c r="Q277" s="61">
        <f ca="1">IF(D277&lt;15,(Valores!$E$4*D277),Valores!$D$4)</f>
        <v>2296.75</v>
      </c>
      <c r="R277" s="77">
        <v>0</v>
      </c>
      <c r="S277" s="79">
        <f ca="1">Valores!$C$45*D277</f>
        <v>791</v>
      </c>
      <c r="T277" s="61">
        <f ca="1">Valores!$C$22*D277</f>
        <v>1160.75</v>
      </c>
      <c r="U277" s="77">
        <f t="shared" ca="1" si="45"/>
        <v>2321.5</v>
      </c>
      <c r="V277" s="77">
        <v>0</v>
      </c>
      <c r="W277" s="77">
        <v>0</v>
      </c>
      <c r="X277" s="37">
        <v>0</v>
      </c>
      <c r="Y277" s="77">
        <f ca="1">X277*Valores!$C$2</f>
        <v>0</v>
      </c>
      <c r="Z277" s="77">
        <v>0</v>
      </c>
      <c r="AA277" s="89">
        <f ca="1">(Valores!$C$32)*D277</f>
        <v>132</v>
      </c>
      <c r="AB277" s="77">
        <f t="shared" ca="1" si="49"/>
        <v>0</v>
      </c>
      <c r="AC277" s="77">
        <f ca="1">Valores!$C$33*D277</f>
        <v>109.74999999999999</v>
      </c>
      <c r="AD277" s="116">
        <v>0</v>
      </c>
      <c r="AE277" s="77">
        <f ca="1">INT(((AD277*Valores!$C$2)*100)+0.5)/100</f>
        <v>0</v>
      </c>
      <c r="AF277" s="77">
        <f ca="1">Valores!$D$51*D277</f>
        <v>446.45</v>
      </c>
      <c r="AG277" s="77">
        <f ca="1">Valores!$D$52*D277</f>
        <v>127.56666666666668</v>
      </c>
      <c r="AH277" s="77">
        <f ca="1">SUM(G277,I277,K277,M277,N277,O277,P277,Q277,R277,S277,U277,V277,W277,Y277,Z277,AA277,AB277,AC277,AE277,AF277,AG277)*Valores!$C$54</f>
        <v>0</v>
      </c>
      <c r="AI277" s="141">
        <f t="shared" ca="1" si="52"/>
        <v>30168.576666666668</v>
      </c>
      <c r="AJ277" s="61">
        <f ca="1">Valores!$C$36*D277</f>
        <v>303.25</v>
      </c>
      <c r="AK277" s="79">
        <f ca="1">Valores!$C$11*D277</f>
        <v>212.75</v>
      </c>
      <c r="AL277" s="89">
        <f t="shared" ca="1" si="57"/>
        <v>187.07499999999999</v>
      </c>
      <c r="AM277" s="79">
        <f ca="1">IF($G$4="SI",SUM(AK277+AL277),AK277)*Valores!$C$54</f>
        <v>0</v>
      </c>
      <c r="AN277" s="12">
        <f t="shared" ca="1" si="53"/>
        <v>703.07500000000005</v>
      </c>
      <c r="AO277" s="13">
        <f ca="1">AI277*-Valores!$C$56</f>
        <v>-3921.9149666666667</v>
      </c>
      <c r="AP277" s="13">
        <f ca="1">AI277*-Valores!$C$57</f>
        <v>-150.84288333333333</v>
      </c>
      <c r="AQ277" s="78">
        <f ca="1">AI277*-Valores!$C$58</f>
        <v>-1357.5859499999999</v>
      </c>
      <c r="AR277" s="78">
        <f ca="1">AI277*-Valores!$C$59</f>
        <v>-814.55157000000008</v>
      </c>
      <c r="AS277" s="78">
        <f ca="1">AI277*-Valores!$C$60</f>
        <v>-90.50573</v>
      </c>
      <c r="AT277" s="15">
        <f t="shared" ca="1" si="50"/>
        <v>25441.307866666666</v>
      </c>
      <c r="AU277" s="15">
        <f t="shared" ca="1" si="51"/>
        <v>25893.836516666666</v>
      </c>
      <c r="AV277" s="78">
        <f ca="1">AI277*Valores!$C$61</f>
        <v>4826.9722666666667</v>
      </c>
      <c r="AW277" s="78">
        <f ca="1">AI277*Valores!$C$62</f>
        <v>1357.5859499999999</v>
      </c>
      <c r="AX277" s="78">
        <f ca="1">AI277*Valores!$C$64</f>
        <v>301.68576666666667</v>
      </c>
      <c r="AY277" s="78">
        <f ca="1">AI277*Valores!$C$65</f>
        <v>1055.9001833333334</v>
      </c>
      <c r="AZ277" s="78">
        <f ca="1">AI277*Valores!$C$66</f>
        <v>181.01146</v>
      </c>
      <c r="BA277" s="78">
        <f t="shared" ca="1" si="54"/>
        <v>1629.1031400000002</v>
      </c>
      <c r="BB277" s="20"/>
      <c r="BC277" s="20">
        <f t="shared" ca="1" si="47"/>
        <v>100</v>
      </c>
      <c r="BD277" s="9" t="s">
        <v>467</v>
      </c>
    </row>
    <row r="278" spans="1:56" s="9" customFormat="1" ht="11.25" customHeight="1" x14ac:dyDescent="0.15">
      <c r="A278" s="20">
        <v>277</v>
      </c>
      <c r="B278" s="20"/>
      <c r="C278" s="9" t="s">
        <v>355</v>
      </c>
      <c r="D278" s="9">
        <v>25</v>
      </c>
      <c r="E278" s="10" t="str">
        <f ca="1">CONCATENATE("Hora Cátedra Enseñanza Media ",D278," hs Esc Esp")</f>
        <v>Hora Cátedra Enseñanza Media 25 hs Esc Esp</v>
      </c>
      <c r="F278" s="123">
        <f t="shared" ca="1" si="48"/>
        <v>1975</v>
      </c>
      <c r="G278" s="7">
        <f ca="1">INT((F278*Valores!$C$2*100)+0.5)/100</f>
        <v>10141.030000000001</v>
      </c>
      <c r="H278" s="134">
        <v>0</v>
      </c>
      <c r="I278" s="77">
        <f ca="1">INT((H278*Valores!$C$2*100)+0.5)/100</f>
        <v>0</v>
      </c>
      <c r="J278" s="147">
        <v>0</v>
      </c>
      <c r="K278" s="77">
        <f ca="1">INT((J278*Valores!$C$2*100)+0.5)/100</f>
        <v>0</v>
      </c>
      <c r="L278" s="120">
        <v>0</v>
      </c>
      <c r="M278" s="77">
        <f ca="1">INT((L278*Valores!$C$2*100)+0.5)/100</f>
        <v>0</v>
      </c>
      <c r="N278" s="77">
        <f t="shared" ca="1" si="55"/>
        <v>0</v>
      </c>
      <c r="O278" s="77">
        <f t="shared" ca="1" si="56"/>
        <v>10932.03</v>
      </c>
      <c r="P278" s="61">
        <f ca="1">Valores!$C$14*D278</f>
        <v>2870.5</v>
      </c>
      <c r="Q278" s="61">
        <f ca="1">IF(D278&lt;15,(Valores!$E$4*D278),Valores!$D$4)</f>
        <v>2296.75</v>
      </c>
      <c r="R278" s="77">
        <v>0</v>
      </c>
      <c r="S278" s="79">
        <f ca="1">Valores!$C$45*D278</f>
        <v>791</v>
      </c>
      <c r="T278" s="61">
        <f ca="1">Valores!$C$22*D278</f>
        <v>1160.75</v>
      </c>
      <c r="U278" s="77">
        <f t="shared" ca="1" si="45"/>
        <v>2321.5</v>
      </c>
      <c r="V278" s="77">
        <v>0</v>
      </c>
      <c r="W278" s="77">
        <v>0</v>
      </c>
      <c r="X278" s="37">
        <v>0</v>
      </c>
      <c r="Y278" s="77">
        <f ca="1">X278*Valores!$C$2</f>
        <v>0</v>
      </c>
      <c r="Z278" s="77">
        <v>0</v>
      </c>
      <c r="AA278" s="89">
        <f ca="1">(Valores!$C$32)*D278</f>
        <v>132</v>
      </c>
      <c r="AB278" s="77">
        <f t="shared" ca="1" si="49"/>
        <v>0</v>
      </c>
      <c r="AC278" s="77">
        <f ca="1">Valores!$C$33*D278</f>
        <v>109.74999999999999</v>
      </c>
      <c r="AD278" s="116">
        <v>94</v>
      </c>
      <c r="AE278" s="77">
        <f ca="1">INT(((AD278*Valores!$C$2)*100)+0.5)/100</f>
        <v>482.66</v>
      </c>
      <c r="AF278" s="77">
        <f ca="1">Valores!$D$51*D278</f>
        <v>446.45</v>
      </c>
      <c r="AG278" s="77">
        <f ca="1">Valores!$D$52*D278</f>
        <v>127.56666666666668</v>
      </c>
      <c r="AH278" s="77">
        <f ca="1">SUM(G278,I278,K278,M278,N278,O278,P278,Q278,R278,S278,U278,V278,W278,Y278,Z278,AA278,AB278,AC278,AE278,AF278,AG278)*Valores!$C$54</f>
        <v>0</v>
      </c>
      <c r="AI278" s="141">
        <f t="shared" ca="1" si="52"/>
        <v>30651.236666666668</v>
      </c>
      <c r="AJ278" s="61">
        <f ca="1">Valores!$C$36*D278</f>
        <v>303.25</v>
      </c>
      <c r="AK278" s="79">
        <f ca="1">Valores!$C$11*D278</f>
        <v>212.75</v>
      </c>
      <c r="AL278" s="89">
        <f t="shared" ca="1" si="57"/>
        <v>187.07499999999999</v>
      </c>
      <c r="AM278" s="79">
        <f ca="1">IF($G$4="SI",SUM(AK278+AL278),AK278)*Valores!$C$54</f>
        <v>0</v>
      </c>
      <c r="AN278" s="12">
        <f t="shared" ca="1" si="53"/>
        <v>703.07500000000005</v>
      </c>
      <c r="AO278" s="13">
        <f ca="1">AI278*-Valores!$C$56</f>
        <v>-3984.6607666666669</v>
      </c>
      <c r="AP278" s="13">
        <f ca="1">AI278*-Valores!$C$57</f>
        <v>-153.25618333333335</v>
      </c>
      <c r="AQ278" s="78">
        <f ca="1">AI278*-Valores!$C$58</f>
        <v>-1379.30565</v>
      </c>
      <c r="AR278" s="78">
        <f ca="1">AI278*-Valores!$C$59</f>
        <v>-827.58339000000012</v>
      </c>
      <c r="AS278" s="78">
        <f ca="1">AI278*-Valores!$C$60</f>
        <v>-91.953710000000001</v>
      </c>
      <c r="AT278" s="15">
        <f t="shared" ca="1" si="50"/>
        <v>25837.089066666667</v>
      </c>
      <c r="AU278" s="15">
        <f t="shared" ca="1" si="51"/>
        <v>26296.857616666664</v>
      </c>
      <c r="AV278" s="78">
        <f ca="1">AI278*Valores!$C$61</f>
        <v>4904.1978666666673</v>
      </c>
      <c r="AW278" s="78">
        <f ca="1">AI278*Valores!$C$62</f>
        <v>1379.30565</v>
      </c>
      <c r="AX278" s="78">
        <f ca="1">AI278*Valores!$C$64</f>
        <v>306.51236666666671</v>
      </c>
      <c r="AY278" s="78">
        <f ca="1">AI278*Valores!$C$65</f>
        <v>1072.7932833333334</v>
      </c>
      <c r="AZ278" s="78">
        <f ca="1">AI278*Valores!$C$66</f>
        <v>183.90742</v>
      </c>
      <c r="BA278" s="78">
        <f t="shared" ca="1" si="54"/>
        <v>1655.1667800000002</v>
      </c>
      <c r="BB278" s="20"/>
      <c r="BC278" s="20">
        <f t="shared" ca="1" si="47"/>
        <v>100</v>
      </c>
      <c r="BD278" s="9" t="s">
        <v>467</v>
      </c>
    </row>
    <row r="279" spans="1:56" s="9" customFormat="1" ht="11.25" customHeight="1" x14ac:dyDescent="0.15">
      <c r="A279" s="20">
        <v>278</v>
      </c>
      <c r="B279" s="20"/>
      <c r="C279" s="9" t="s">
        <v>355</v>
      </c>
      <c r="D279" s="9">
        <v>26</v>
      </c>
      <c r="E279" s="10" t="str">
        <f ca="1">CONCATENATE("Hora Cátedra Enseñanza Media ",D279," hs")</f>
        <v>Hora Cátedra Enseñanza Media 26 hs</v>
      </c>
      <c r="F279" s="123">
        <f t="shared" ca="1" si="48"/>
        <v>2054</v>
      </c>
      <c r="G279" s="7">
        <f ca="1">INT((F279*Valores!$C$2*100)+0.5)/100</f>
        <v>10546.67</v>
      </c>
      <c r="H279" s="134">
        <v>0</v>
      </c>
      <c r="I279" s="77">
        <f ca="1">INT((H279*Valores!$C$2*100)+0.5)/100</f>
        <v>0</v>
      </c>
      <c r="J279" s="147">
        <v>0</v>
      </c>
      <c r="K279" s="77">
        <f ca="1">INT((J279*Valores!$C$2*100)+0.5)/100</f>
        <v>0</v>
      </c>
      <c r="L279" s="120">
        <v>0</v>
      </c>
      <c r="M279" s="77">
        <f ca="1">INT((L279*Valores!$C$2*100)+0.5)/100</f>
        <v>0</v>
      </c>
      <c r="N279" s="77">
        <f t="shared" ca="1" si="55"/>
        <v>0</v>
      </c>
      <c r="O279" s="77">
        <f t="shared" ca="1" si="56"/>
        <v>11369.31</v>
      </c>
      <c r="P279" s="61">
        <f ca="1">Valores!$C$14*D279</f>
        <v>2985.3199999999997</v>
      </c>
      <c r="Q279" s="61">
        <f ca="1">IF(D279&lt;15,(Valores!$E$4*D279),Valores!$D$4)</f>
        <v>2296.75</v>
      </c>
      <c r="R279" s="77">
        <v>0</v>
      </c>
      <c r="S279" s="79">
        <f ca="1">Valores!$C$45*D279</f>
        <v>822.64</v>
      </c>
      <c r="T279" s="61">
        <f ca="1">Valores!$C$22*D279</f>
        <v>1207.18</v>
      </c>
      <c r="U279" s="77">
        <f t="shared" ca="1" si="45"/>
        <v>2414.36</v>
      </c>
      <c r="V279" s="77">
        <v>0</v>
      </c>
      <c r="W279" s="77">
        <v>0</v>
      </c>
      <c r="X279" s="37">
        <v>0</v>
      </c>
      <c r="Y279" s="77">
        <f ca="1">X279*Valores!$C$2</f>
        <v>0</v>
      </c>
      <c r="Z279" s="77">
        <v>0</v>
      </c>
      <c r="AA279" s="89">
        <f ca="1">(Valores!$C$32)*D279</f>
        <v>137.28</v>
      </c>
      <c r="AB279" s="77">
        <f t="shared" ca="1" si="49"/>
        <v>0</v>
      </c>
      <c r="AC279" s="77">
        <f ca="1">Valores!$C$33*D279</f>
        <v>114.13999999999999</v>
      </c>
      <c r="AD279" s="116">
        <v>0</v>
      </c>
      <c r="AE279" s="77">
        <f ca="1">INT(((AD279*Valores!$C$2)*100)+0.5)/100</f>
        <v>0</v>
      </c>
      <c r="AF279" s="77">
        <f ca="1">Valores!$D$51*D279</f>
        <v>464.30799999999999</v>
      </c>
      <c r="AG279" s="77">
        <f ca="1">Valores!$D$52*D279</f>
        <v>132.66933333333333</v>
      </c>
      <c r="AH279" s="77">
        <f ca="1">SUM(G279,I279,K279,M279,N279,O279,P279,Q279,R279,S279,U279,V279,W279,Y279,Z279,AA279,AB279,AC279,AE279,AF279,AG279)*Valores!$C$54</f>
        <v>0</v>
      </c>
      <c r="AI279" s="141">
        <f t="shared" ca="1" si="52"/>
        <v>31283.447333333334</v>
      </c>
      <c r="AJ279" s="61">
        <f ca="1">Valores!$C$36*D279</f>
        <v>315.38</v>
      </c>
      <c r="AK279" s="79">
        <f ca="1">Valores!$C$11*D279</f>
        <v>221.26</v>
      </c>
      <c r="AL279" s="89">
        <f t="shared" ca="1" si="57"/>
        <v>194.55799999999999</v>
      </c>
      <c r="AM279" s="79">
        <f ca="1">IF($G$4="SI",SUM(AK279+AL279),AK279)*Valores!$C$54</f>
        <v>0</v>
      </c>
      <c r="AN279" s="12">
        <f t="shared" ca="1" si="53"/>
        <v>731.19799999999998</v>
      </c>
      <c r="AO279" s="13">
        <f ca="1">AI279*-Valores!$C$56</f>
        <v>-4066.8481533333334</v>
      </c>
      <c r="AP279" s="13">
        <f ca="1">AI279*-Valores!$C$57</f>
        <v>-156.41723666666667</v>
      </c>
      <c r="AQ279" s="78">
        <f ca="1">AI279*-Valores!$C$58</f>
        <v>-1407.75513</v>
      </c>
      <c r="AR279" s="78">
        <f ca="1">AI279*-Valores!$C$59</f>
        <v>-844.65307800000005</v>
      </c>
      <c r="AS279" s="78">
        <f ca="1">AI279*-Valores!$C$60</f>
        <v>-93.850341999999998</v>
      </c>
      <c r="AT279" s="15">
        <f t="shared" ca="1" si="50"/>
        <v>26383.624813333332</v>
      </c>
      <c r="AU279" s="15">
        <f t="shared" ca="1" si="51"/>
        <v>26852.876523333332</v>
      </c>
      <c r="AV279" s="78">
        <f ca="1">AI279*Valores!$C$61</f>
        <v>5005.3515733333334</v>
      </c>
      <c r="AW279" s="78">
        <f ca="1">AI279*Valores!$C$62</f>
        <v>1407.75513</v>
      </c>
      <c r="AX279" s="78">
        <f ca="1">AI279*Valores!$C$64</f>
        <v>312.83447333333334</v>
      </c>
      <c r="AY279" s="78">
        <f ca="1">AI279*Valores!$C$65</f>
        <v>1094.9206566666667</v>
      </c>
      <c r="AZ279" s="78">
        <f ca="1">AI279*Valores!$C$66</f>
        <v>187.700684</v>
      </c>
      <c r="BA279" s="78">
        <f t="shared" ca="1" si="54"/>
        <v>1689.3061560000001</v>
      </c>
      <c r="BB279" s="20"/>
      <c r="BC279" s="55">
        <f t="shared" ca="1" si="47"/>
        <v>104</v>
      </c>
      <c r="BD279" s="9" t="s">
        <v>467</v>
      </c>
    </row>
    <row r="280" spans="1:56" s="9" customFormat="1" ht="11.25" customHeight="1" x14ac:dyDescent="0.15">
      <c r="A280" s="20">
        <v>279</v>
      </c>
      <c r="B280" s="20"/>
      <c r="C280" s="9" t="s">
        <v>355</v>
      </c>
      <c r="D280" s="9">
        <v>26</v>
      </c>
      <c r="E280" s="10" t="str">
        <f ca="1">CONCATENATE("Hora Cátedra Enseñanza Media ",D280," hs Esc Esp")</f>
        <v>Hora Cátedra Enseñanza Media 26 hs Esc Esp</v>
      </c>
      <c r="F280" s="123">
        <f t="shared" ca="1" si="48"/>
        <v>2054</v>
      </c>
      <c r="G280" s="7">
        <f ca="1">INT((F280*Valores!$C$2*100)+0.5)/100</f>
        <v>10546.67</v>
      </c>
      <c r="H280" s="134">
        <v>0</v>
      </c>
      <c r="I280" s="77">
        <f ca="1">INT((H280*Valores!$C$2*100)+0.5)/100</f>
        <v>0</v>
      </c>
      <c r="J280" s="147">
        <v>0</v>
      </c>
      <c r="K280" s="77">
        <f ca="1">INT((J280*Valores!$C$2*100)+0.5)/100</f>
        <v>0</v>
      </c>
      <c r="L280" s="120">
        <v>0</v>
      </c>
      <c r="M280" s="77">
        <f ca="1">INT((L280*Valores!$C$2*100)+0.5)/100</f>
        <v>0</v>
      </c>
      <c r="N280" s="77">
        <f t="shared" ca="1" si="55"/>
        <v>0</v>
      </c>
      <c r="O280" s="77">
        <f t="shared" ca="1" si="56"/>
        <v>11369.31</v>
      </c>
      <c r="P280" s="61">
        <f ca="1">Valores!$C$14*D280</f>
        <v>2985.3199999999997</v>
      </c>
      <c r="Q280" s="61">
        <f ca="1">IF(D280&lt;15,(Valores!$E$4*D280),Valores!$D$4)</f>
        <v>2296.75</v>
      </c>
      <c r="R280" s="77">
        <v>0</v>
      </c>
      <c r="S280" s="79">
        <f ca="1">Valores!$C$45*D280</f>
        <v>822.64</v>
      </c>
      <c r="T280" s="61">
        <f ca="1">Valores!$C$22*D280</f>
        <v>1207.18</v>
      </c>
      <c r="U280" s="77">
        <f t="shared" ca="1" si="45"/>
        <v>2414.36</v>
      </c>
      <c r="V280" s="77">
        <v>0</v>
      </c>
      <c r="W280" s="77">
        <v>0</v>
      </c>
      <c r="X280" s="37">
        <v>0</v>
      </c>
      <c r="Y280" s="77">
        <f ca="1">X280*Valores!$C$2</f>
        <v>0</v>
      </c>
      <c r="Z280" s="77">
        <v>0</v>
      </c>
      <c r="AA280" s="89">
        <f ca="1">(Valores!$C$32)*D280</f>
        <v>137.28</v>
      </c>
      <c r="AB280" s="77">
        <f t="shared" ca="1" si="49"/>
        <v>0</v>
      </c>
      <c r="AC280" s="77">
        <f ca="1">Valores!$C$33*D280</f>
        <v>114.13999999999999</v>
      </c>
      <c r="AD280" s="116">
        <v>94</v>
      </c>
      <c r="AE280" s="77">
        <f ca="1">INT(((AD280*Valores!$C$2)*100)+0.5)/100</f>
        <v>482.66</v>
      </c>
      <c r="AF280" s="77">
        <f ca="1">Valores!$D$51*D280</f>
        <v>464.30799999999999</v>
      </c>
      <c r="AG280" s="77">
        <f ca="1">Valores!$D$52*D280</f>
        <v>132.66933333333333</v>
      </c>
      <c r="AH280" s="77">
        <f ca="1">SUM(G280,I280,K280,M280,N280,O280,P280,Q280,R280,S280,U280,V280,W280,Y280,Z280,AA280,AB280,AC280,AE280,AF280,AG280)*Valores!$C$54</f>
        <v>0</v>
      </c>
      <c r="AI280" s="141">
        <f t="shared" ca="1" si="52"/>
        <v>31766.107333333333</v>
      </c>
      <c r="AJ280" s="61">
        <f ca="1">Valores!$C$36*D280</f>
        <v>315.38</v>
      </c>
      <c r="AK280" s="79">
        <f ca="1">Valores!$C$11*D280</f>
        <v>221.26</v>
      </c>
      <c r="AL280" s="89">
        <f t="shared" ca="1" si="57"/>
        <v>194.55799999999999</v>
      </c>
      <c r="AM280" s="79">
        <f ca="1">IF($G$4="SI",SUM(AK280+AL280),AK280)*Valores!$C$54</f>
        <v>0</v>
      </c>
      <c r="AN280" s="12">
        <f t="shared" ca="1" si="53"/>
        <v>731.19799999999998</v>
      </c>
      <c r="AO280" s="13">
        <f ca="1">AI280*-Valores!$C$56</f>
        <v>-4129.593953333333</v>
      </c>
      <c r="AP280" s="13">
        <f ca="1">AI280*-Valores!$C$57</f>
        <v>-158.83053666666666</v>
      </c>
      <c r="AQ280" s="78">
        <f ca="1">AI280*-Valores!$C$58</f>
        <v>-1429.4748299999999</v>
      </c>
      <c r="AR280" s="78">
        <f ca="1">AI280*-Valores!$C$59</f>
        <v>-857.68489800000009</v>
      </c>
      <c r="AS280" s="78">
        <f ca="1">AI280*-Valores!$C$60</f>
        <v>-95.298321999999999</v>
      </c>
      <c r="AT280" s="15">
        <f t="shared" ca="1" si="50"/>
        <v>26779.406013333333</v>
      </c>
      <c r="AU280" s="15">
        <f t="shared" ca="1" si="51"/>
        <v>27255.897623333334</v>
      </c>
      <c r="AV280" s="78">
        <f ca="1">AI280*Valores!$C$61</f>
        <v>5082.5771733333331</v>
      </c>
      <c r="AW280" s="78">
        <f ca="1">AI280*Valores!$C$62</f>
        <v>1429.4748299999999</v>
      </c>
      <c r="AX280" s="78">
        <f ca="1">AI280*Valores!$C$64</f>
        <v>317.66107333333332</v>
      </c>
      <c r="AY280" s="78">
        <f ca="1">AI280*Valores!$C$65</f>
        <v>1111.8137566666667</v>
      </c>
      <c r="AZ280" s="78">
        <f ca="1">AI280*Valores!$C$66</f>
        <v>190.596644</v>
      </c>
      <c r="BA280" s="78">
        <f t="shared" ca="1" si="54"/>
        <v>1715.3697960000002</v>
      </c>
      <c r="BB280" s="20"/>
      <c r="BC280" s="20">
        <f t="shared" ca="1" si="47"/>
        <v>104</v>
      </c>
      <c r="BD280" s="9" t="s">
        <v>467</v>
      </c>
    </row>
    <row r="281" spans="1:56" s="9" customFormat="1" ht="11.25" customHeight="1" x14ac:dyDescent="0.15">
      <c r="A281" s="55">
        <v>280</v>
      </c>
      <c r="B281" s="55" t="s">
        <v>462</v>
      </c>
      <c r="C281" s="52" t="s">
        <v>355</v>
      </c>
      <c r="D281" s="52">
        <v>27</v>
      </c>
      <c r="E281" s="53" t="str">
        <f ca="1">CONCATENATE("Hora Cátedra Enseñanza Media ",D281," hs")</f>
        <v>Hora Cátedra Enseñanza Media 27 hs</v>
      </c>
      <c r="F281" s="124">
        <f t="shared" ca="1" si="48"/>
        <v>2133</v>
      </c>
      <c r="G281" s="129">
        <f ca="1">INT((F281*Valores!$C$2*100)+0.5)/100</f>
        <v>10952.32</v>
      </c>
      <c r="H281" s="133">
        <v>0</v>
      </c>
      <c r="I281" s="80">
        <f ca="1">INT((H281*Valores!$C$2*100)+0.5)/100</f>
        <v>0</v>
      </c>
      <c r="J281" s="148">
        <v>0</v>
      </c>
      <c r="K281" s="80">
        <f ca="1">INT((J281*Valores!$C$2*100)+0.5)/100</f>
        <v>0</v>
      </c>
      <c r="L281" s="121">
        <v>0</v>
      </c>
      <c r="M281" s="80">
        <f ca="1">INT((L281*Valores!$C$2*100)+0.5)/100</f>
        <v>0</v>
      </c>
      <c r="N281" s="80">
        <f t="shared" ca="1" si="55"/>
        <v>0</v>
      </c>
      <c r="O281" s="80">
        <f t="shared" ca="1" si="56"/>
        <v>11806.6</v>
      </c>
      <c r="P281" s="85">
        <f ca="1">Valores!$C$14*D281</f>
        <v>3100.14</v>
      </c>
      <c r="Q281" s="85">
        <f ca="1">IF(D281&lt;15,(Valores!$E$4*D281),Valores!$D$4)</f>
        <v>2296.75</v>
      </c>
      <c r="R281" s="80">
        <v>0</v>
      </c>
      <c r="S281" s="82">
        <f ca="1">Valores!$C$45*D281</f>
        <v>854.28</v>
      </c>
      <c r="T281" s="85">
        <f ca="1">Valores!$C$22*D281</f>
        <v>1253.6099999999999</v>
      </c>
      <c r="U281" s="80">
        <f t="shared" ca="1" si="45"/>
        <v>2507.2199999999998</v>
      </c>
      <c r="V281" s="80">
        <v>0</v>
      </c>
      <c r="W281" s="80">
        <v>0</v>
      </c>
      <c r="X281" s="60">
        <v>0</v>
      </c>
      <c r="Y281" s="80">
        <f ca="1">X281*Valores!$C$2</f>
        <v>0</v>
      </c>
      <c r="Z281" s="80">
        <v>0</v>
      </c>
      <c r="AA281" s="90">
        <f ca="1">(Valores!$C$32)*D281</f>
        <v>142.56</v>
      </c>
      <c r="AB281" s="80">
        <f t="shared" ca="1" si="49"/>
        <v>0</v>
      </c>
      <c r="AC281" s="80">
        <f ca="1">Valores!$C$33*D281</f>
        <v>118.52999999999999</v>
      </c>
      <c r="AD281" s="115">
        <v>0</v>
      </c>
      <c r="AE281" s="80">
        <f ca="1">INT(((AD281*Valores!$C$2)*100)+0.5)/100</f>
        <v>0</v>
      </c>
      <c r="AF281" s="80">
        <f ca="1">Valores!$D$51*D281</f>
        <v>482.166</v>
      </c>
      <c r="AG281" s="80">
        <f ca="1">Valores!$D$52*D281</f>
        <v>137.77200000000002</v>
      </c>
      <c r="AH281" s="80">
        <f ca="1">SUM(G281,I281,K281,M281,N281,O281,P281,Q281,R281,S281,U281,V281,W281,Y281,Z281,AA281,AB281,AC281,AE281,AF281,AG281)*Valores!$C$54</f>
        <v>0</v>
      </c>
      <c r="AI281" s="142">
        <f t="shared" ca="1" si="52"/>
        <v>32398.338</v>
      </c>
      <c r="AJ281" s="85">
        <f ca="1">Valores!$C$36*D281</f>
        <v>327.51000000000005</v>
      </c>
      <c r="AK281" s="82">
        <f ca="1">Valores!$C$11*D281</f>
        <v>229.76999999999998</v>
      </c>
      <c r="AL281" s="90">
        <f t="shared" ca="1" si="57"/>
        <v>202.041</v>
      </c>
      <c r="AM281" s="82">
        <f ca="1">IF($G$4="SI",SUM(AK281+AL281),AK281)*Valores!$C$54</f>
        <v>0</v>
      </c>
      <c r="AN281" s="186">
        <f t="shared" ca="1" si="53"/>
        <v>759.32099999999991</v>
      </c>
      <c r="AO281" s="155">
        <f ca="1">AI281*-Valores!$C$56</f>
        <v>-4211.7839400000003</v>
      </c>
      <c r="AP281" s="155">
        <f ca="1">AI281*-Valores!$C$57</f>
        <v>-161.99169000000001</v>
      </c>
      <c r="AQ281" s="81">
        <f ca="1">AI281*-Valores!$C$58</f>
        <v>-1457.9252099999999</v>
      </c>
      <c r="AR281" s="81">
        <f ca="1">AI281*-Valores!$C$59</f>
        <v>-874.75512600000013</v>
      </c>
      <c r="AS281" s="81">
        <f ca="1">AI281*-Valores!$C$60</f>
        <v>-97.195014</v>
      </c>
      <c r="AT281" s="54">
        <f t="shared" ca="1" si="50"/>
        <v>27325.958159999995</v>
      </c>
      <c r="AU281" s="54">
        <f t="shared" ca="1" si="51"/>
        <v>27811.933229999995</v>
      </c>
      <c r="AV281" s="81">
        <f ca="1">AI281*Valores!$C$61</f>
        <v>5183.7340800000002</v>
      </c>
      <c r="AW281" s="81">
        <f ca="1">AI281*Valores!$C$62</f>
        <v>1457.9252099999999</v>
      </c>
      <c r="AX281" s="81">
        <f ca="1">AI281*Valores!$C$64</f>
        <v>323.98338000000001</v>
      </c>
      <c r="AY281" s="81">
        <f ca="1">AI281*Valores!$C$65</f>
        <v>1133.9418300000002</v>
      </c>
      <c r="AZ281" s="81">
        <f ca="1">AI281*Valores!$C$66</f>
        <v>194.390028</v>
      </c>
      <c r="BA281" s="81">
        <f t="shared" ca="1" si="54"/>
        <v>1749.510252</v>
      </c>
      <c r="BB281" s="55"/>
      <c r="BC281" s="55">
        <f t="shared" ca="1" si="47"/>
        <v>108</v>
      </c>
      <c r="BD281" s="52" t="s">
        <v>467</v>
      </c>
    </row>
    <row r="282" spans="1:56" s="9" customFormat="1" ht="11.25" customHeight="1" x14ac:dyDescent="0.15">
      <c r="A282" s="20">
        <v>281</v>
      </c>
      <c r="B282" s="20"/>
      <c r="C282" s="9" t="s">
        <v>355</v>
      </c>
      <c r="D282" s="9">
        <v>27</v>
      </c>
      <c r="E282" s="10" t="str">
        <f ca="1">CONCATENATE("Hora Cátedra Enseñanza Media ",D282," hs Esc Esp")</f>
        <v>Hora Cátedra Enseñanza Media 27 hs Esc Esp</v>
      </c>
      <c r="F282" s="123">
        <f t="shared" ca="1" si="48"/>
        <v>2133</v>
      </c>
      <c r="G282" s="7">
        <f ca="1">INT((F282*Valores!$C$2*100)+0.5)/100</f>
        <v>10952.32</v>
      </c>
      <c r="H282" s="134">
        <v>0</v>
      </c>
      <c r="I282" s="77">
        <f ca="1">INT((H282*Valores!$C$2*100)+0.5)/100</f>
        <v>0</v>
      </c>
      <c r="J282" s="147">
        <v>0</v>
      </c>
      <c r="K282" s="77">
        <f ca="1">INT((J282*Valores!$C$2*100)+0.5)/100</f>
        <v>0</v>
      </c>
      <c r="L282" s="120">
        <v>0</v>
      </c>
      <c r="M282" s="77">
        <f ca="1">INT((L282*Valores!$C$2*100)+0.5)/100</f>
        <v>0</v>
      </c>
      <c r="N282" s="77">
        <f t="shared" ca="1" si="55"/>
        <v>0</v>
      </c>
      <c r="O282" s="77">
        <f t="shared" ca="1" si="56"/>
        <v>11806.6</v>
      </c>
      <c r="P282" s="61">
        <f ca="1">Valores!$C$14*D282</f>
        <v>3100.14</v>
      </c>
      <c r="Q282" s="61">
        <f ca="1">IF(D282&lt;15,(Valores!$E$4*D282),Valores!$D$4)</f>
        <v>2296.75</v>
      </c>
      <c r="R282" s="77">
        <v>0</v>
      </c>
      <c r="S282" s="79">
        <f ca="1">Valores!$C$45*D282</f>
        <v>854.28</v>
      </c>
      <c r="T282" s="61">
        <f ca="1">Valores!$C$22*D282</f>
        <v>1253.6099999999999</v>
      </c>
      <c r="U282" s="77">
        <f t="shared" ca="1" si="45"/>
        <v>2507.2199999999998</v>
      </c>
      <c r="V282" s="77">
        <v>0</v>
      </c>
      <c r="W282" s="77">
        <v>0</v>
      </c>
      <c r="X282" s="37">
        <v>0</v>
      </c>
      <c r="Y282" s="77">
        <f ca="1">X282*Valores!$C$2</f>
        <v>0</v>
      </c>
      <c r="Z282" s="77">
        <v>0</v>
      </c>
      <c r="AA282" s="89">
        <f ca="1">(Valores!$C$32)*D282</f>
        <v>142.56</v>
      </c>
      <c r="AB282" s="77">
        <f t="shared" ca="1" si="49"/>
        <v>0</v>
      </c>
      <c r="AC282" s="77">
        <f ca="1">Valores!$C$33*D282</f>
        <v>118.52999999999999</v>
      </c>
      <c r="AD282" s="116">
        <v>94</v>
      </c>
      <c r="AE282" s="77">
        <f ca="1">INT(((AD282*Valores!$C$2)*100)+0.5)/100</f>
        <v>482.66</v>
      </c>
      <c r="AF282" s="77">
        <f ca="1">Valores!$D$51*D282</f>
        <v>482.166</v>
      </c>
      <c r="AG282" s="77">
        <f ca="1">Valores!$D$52*D282</f>
        <v>137.77200000000002</v>
      </c>
      <c r="AH282" s="77">
        <f ca="1">SUM(G282,I282,K282,M282,N282,O282,P282,Q282,R282,S282,U282,V282,W282,Y282,Z282,AA282,AB282,AC282,AE282,AF282,AG282)*Valores!$C$54</f>
        <v>0</v>
      </c>
      <c r="AI282" s="141">
        <f t="shared" ca="1" si="52"/>
        <v>32880.998</v>
      </c>
      <c r="AJ282" s="61">
        <f ca="1">Valores!$C$36*D282</f>
        <v>327.51000000000005</v>
      </c>
      <c r="AK282" s="79">
        <f ca="1">Valores!$C$11*D282</f>
        <v>229.76999999999998</v>
      </c>
      <c r="AL282" s="89">
        <f t="shared" ca="1" si="57"/>
        <v>202.041</v>
      </c>
      <c r="AM282" s="79">
        <f ca="1">IF($G$4="SI",SUM(AK282+AL282),AK282)*Valores!$C$54</f>
        <v>0</v>
      </c>
      <c r="AN282" s="12">
        <f t="shared" ca="1" si="53"/>
        <v>759.32099999999991</v>
      </c>
      <c r="AO282" s="13">
        <f ca="1">AI282*-Valores!$C$56</f>
        <v>-4274.5297399999999</v>
      </c>
      <c r="AP282" s="13">
        <f ca="1">AI282*-Valores!$C$57</f>
        <v>-164.40499</v>
      </c>
      <c r="AQ282" s="78">
        <f ca="1">AI282*-Valores!$C$58</f>
        <v>-1479.64491</v>
      </c>
      <c r="AR282" s="78">
        <f ca="1">AI282*-Valores!$C$59</f>
        <v>-887.78694600000006</v>
      </c>
      <c r="AS282" s="78">
        <f ca="1">AI282*-Valores!$C$60</f>
        <v>-98.642994000000002</v>
      </c>
      <c r="AT282" s="15">
        <f t="shared" ca="1" si="50"/>
        <v>27721.73936</v>
      </c>
      <c r="AU282" s="15">
        <f t="shared" ca="1" si="51"/>
        <v>28214.95433</v>
      </c>
      <c r="AV282" s="78">
        <f ca="1">AI282*Valores!$C$61</f>
        <v>5260.9596799999999</v>
      </c>
      <c r="AW282" s="78">
        <f ca="1">AI282*Valores!$C$62</f>
        <v>1479.64491</v>
      </c>
      <c r="AX282" s="78">
        <f ca="1">AI282*Valores!$C$64</f>
        <v>328.80998</v>
      </c>
      <c r="AY282" s="78">
        <f ca="1">AI282*Valores!$C$65</f>
        <v>1150.83493</v>
      </c>
      <c r="AZ282" s="78">
        <f ca="1">AI282*Valores!$C$66</f>
        <v>197.285988</v>
      </c>
      <c r="BA282" s="78">
        <f t="shared" ca="1" si="54"/>
        <v>1775.5738920000001</v>
      </c>
      <c r="BB282" s="20"/>
      <c r="BC282" s="20">
        <f t="shared" ca="1" si="47"/>
        <v>108</v>
      </c>
      <c r="BD282" s="9" t="s">
        <v>467</v>
      </c>
    </row>
    <row r="283" spans="1:56" s="9" customFormat="1" ht="11.25" customHeight="1" x14ac:dyDescent="0.15">
      <c r="A283" s="20">
        <v>282</v>
      </c>
      <c r="B283" s="20"/>
      <c r="C283" s="9" t="s">
        <v>355</v>
      </c>
      <c r="D283" s="9">
        <v>28</v>
      </c>
      <c r="E283" s="10" t="str">
        <f ca="1">CONCATENATE("Hora Cátedra Enseñanza Media ",D283," hs")</f>
        <v>Hora Cátedra Enseñanza Media 28 hs</v>
      </c>
      <c r="F283" s="123">
        <f t="shared" ca="1" si="48"/>
        <v>2212</v>
      </c>
      <c r="G283" s="7">
        <f ca="1">INT((F283*Valores!$C$2*100)+0.5)/100</f>
        <v>11357.96</v>
      </c>
      <c r="H283" s="134">
        <v>0</v>
      </c>
      <c r="I283" s="77">
        <f ca="1">INT((H283*Valores!$C$2*100)+0.5)/100</f>
        <v>0</v>
      </c>
      <c r="J283" s="147">
        <v>0</v>
      </c>
      <c r="K283" s="77">
        <f ca="1">INT((J283*Valores!$C$2*100)+0.5)/100</f>
        <v>0</v>
      </c>
      <c r="L283" s="120">
        <v>0</v>
      </c>
      <c r="M283" s="77">
        <f ca="1">INT((L283*Valores!$C$2*100)+0.5)/100</f>
        <v>0</v>
      </c>
      <c r="N283" s="77">
        <f t="shared" ca="1" si="55"/>
        <v>0</v>
      </c>
      <c r="O283" s="77">
        <f t="shared" ca="1" si="56"/>
        <v>12243.88</v>
      </c>
      <c r="P283" s="61">
        <f ca="1">Valores!$C$14*D283</f>
        <v>3214.96</v>
      </c>
      <c r="Q283" s="61">
        <f ca="1">IF(D283&lt;15,(Valores!$E$4*D283),Valores!$D$4)</f>
        <v>2296.75</v>
      </c>
      <c r="R283" s="77">
        <v>0</v>
      </c>
      <c r="S283" s="79">
        <f ca="1">Valores!$C$45*D283</f>
        <v>885.92000000000007</v>
      </c>
      <c r="T283" s="61">
        <f ca="1">Valores!$C$22*D283</f>
        <v>1300.04</v>
      </c>
      <c r="U283" s="77">
        <f t="shared" ca="1" si="45"/>
        <v>2600.08</v>
      </c>
      <c r="V283" s="77">
        <v>0</v>
      </c>
      <c r="W283" s="77">
        <v>0</v>
      </c>
      <c r="X283" s="37">
        <v>0</v>
      </c>
      <c r="Y283" s="77">
        <f ca="1">X283*Valores!$C$2</f>
        <v>0</v>
      </c>
      <c r="Z283" s="77">
        <v>0</v>
      </c>
      <c r="AA283" s="89">
        <f ca="1">(Valores!$C$32)*D283</f>
        <v>147.84</v>
      </c>
      <c r="AB283" s="77">
        <f t="shared" ca="1" si="49"/>
        <v>0</v>
      </c>
      <c r="AC283" s="77">
        <f ca="1">Valores!$C$33*D283</f>
        <v>122.91999999999999</v>
      </c>
      <c r="AD283" s="116">
        <v>0</v>
      </c>
      <c r="AE283" s="77">
        <f ca="1">INT(((AD283*Valores!$C$2)*100)+0.5)/100</f>
        <v>0</v>
      </c>
      <c r="AF283" s="77">
        <f ca="1">Valores!$D$51*D283</f>
        <v>500.024</v>
      </c>
      <c r="AG283" s="77">
        <f ca="1">Valores!$D$52*D283</f>
        <v>142.87466666666668</v>
      </c>
      <c r="AH283" s="77">
        <f ca="1">SUM(G283,I283,K283,M283,N283,O283,P283,Q283,R283,S283,U283,V283,W283,Y283,Z283,AA283,AB283,AC283,AE283,AF283,AG283)*Valores!$C$54</f>
        <v>0</v>
      </c>
      <c r="AI283" s="141">
        <f t="shared" ca="1" si="52"/>
        <v>33513.208666666666</v>
      </c>
      <c r="AJ283" s="61">
        <f ca="1">Valores!$C$36*D283</f>
        <v>339.64000000000004</v>
      </c>
      <c r="AK283" s="79">
        <f ca="1">Valores!$C$11*D283</f>
        <v>238.28</v>
      </c>
      <c r="AL283" s="89">
        <f ca="1">7.4833*D283</f>
        <v>209.5324</v>
      </c>
      <c r="AM283" s="79">
        <f ca="1">IF($G$4="SI",SUM(AK283+AL283),AK283)*Valores!$C$54</f>
        <v>0</v>
      </c>
      <c r="AN283" s="12">
        <f t="shared" ca="1" si="53"/>
        <v>787.45240000000013</v>
      </c>
      <c r="AO283" s="13">
        <f ca="1">AI283*-Valores!$C$56</f>
        <v>-4356.7171266666664</v>
      </c>
      <c r="AP283" s="13">
        <f ca="1">AI283*-Valores!$C$57</f>
        <v>-167.56604333333334</v>
      </c>
      <c r="AQ283" s="78">
        <f ca="1">AI283*-Valores!$C$58</f>
        <v>-1508.09439</v>
      </c>
      <c r="AR283" s="78">
        <f ca="1">AI283*-Valores!$C$59</f>
        <v>-904.8566340000001</v>
      </c>
      <c r="AS283" s="78">
        <f ca="1">AI283*-Valores!$C$60</f>
        <v>-100.539626</v>
      </c>
      <c r="AT283" s="15">
        <f t="shared" ca="1" si="50"/>
        <v>28268.28350666667</v>
      </c>
      <c r="AU283" s="15">
        <f t="shared" ca="1" si="51"/>
        <v>28770.981636666664</v>
      </c>
      <c r="AV283" s="78">
        <f ca="1">AI283*Valores!$C$61</f>
        <v>5362.1133866666669</v>
      </c>
      <c r="AW283" s="78">
        <f ca="1">AI283*Valores!$C$62</f>
        <v>1508.09439</v>
      </c>
      <c r="AX283" s="78">
        <f ca="1">AI283*Valores!$C$64</f>
        <v>335.13208666666668</v>
      </c>
      <c r="AY283" s="78">
        <f ca="1">AI283*Valores!$C$65</f>
        <v>1172.9623033333335</v>
      </c>
      <c r="AZ283" s="78">
        <f ca="1">AI283*Valores!$C$66</f>
        <v>201.079252</v>
      </c>
      <c r="BA283" s="78">
        <f t="shared" ca="1" si="54"/>
        <v>1809.7132680000002</v>
      </c>
      <c r="BB283" s="20"/>
      <c r="BC283" s="20">
        <f t="shared" ca="1" si="47"/>
        <v>112</v>
      </c>
      <c r="BD283" s="9" t="s">
        <v>467</v>
      </c>
    </row>
    <row r="284" spans="1:56" s="9" customFormat="1" ht="11.25" customHeight="1" x14ac:dyDescent="0.15">
      <c r="A284" s="20">
        <v>283</v>
      </c>
      <c r="B284" s="20"/>
      <c r="C284" s="9" t="s">
        <v>355</v>
      </c>
      <c r="D284" s="9">
        <v>28</v>
      </c>
      <c r="E284" s="10" t="str">
        <f ca="1">CONCATENATE("Hora Cátedra Enseñanza Media ",D284," hs Esc Esp")</f>
        <v>Hora Cátedra Enseñanza Media 28 hs Esc Esp</v>
      </c>
      <c r="F284" s="123">
        <f t="shared" ca="1" si="48"/>
        <v>2212</v>
      </c>
      <c r="G284" s="7">
        <f ca="1">INT((F284*Valores!$C$2*100)+0.5)/100</f>
        <v>11357.96</v>
      </c>
      <c r="H284" s="134">
        <v>0</v>
      </c>
      <c r="I284" s="77">
        <f ca="1">INT((H284*Valores!$C$2*100)+0.5)/100</f>
        <v>0</v>
      </c>
      <c r="J284" s="147">
        <v>0</v>
      </c>
      <c r="K284" s="77">
        <f ca="1">INT((J284*Valores!$C$2*100)+0.5)/100</f>
        <v>0</v>
      </c>
      <c r="L284" s="120">
        <v>0</v>
      </c>
      <c r="M284" s="77">
        <f ca="1">INT((L284*Valores!$C$2*100)+0.5)/100</f>
        <v>0</v>
      </c>
      <c r="N284" s="77">
        <f t="shared" ca="1" si="55"/>
        <v>0</v>
      </c>
      <c r="O284" s="77">
        <f t="shared" ca="1" si="56"/>
        <v>12243.88</v>
      </c>
      <c r="P284" s="61">
        <f ca="1">Valores!$C$14*D284</f>
        <v>3214.96</v>
      </c>
      <c r="Q284" s="61">
        <f ca="1">IF(D284&lt;15,(Valores!$E$4*D284),Valores!$D$4)</f>
        <v>2296.75</v>
      </c>
      <c r="R284" s="77">
        <v>0</v>
      </c>
      <c r="S284" s="79">
        <f ca="1">Valores!$C$45*D284</f>
        <v>885.92000000000007</v>
      </c>
      <c r="T284" s="61">
        <f ca="1">Valores!$C$22*D284</f>
        <v>1300.04</v>
      </c>
      <c r="U284" s="77">
        <f t="shared" ca="1" si="45"/>
        <v>2600.08</v>
      </c>
      <c r="V284" s="77">
        <v>0</v>
      </c>
      <c r="W284" s="77">
        <v>0</v>
      </c>
      <c r="X284" s="37">
        <v>0</v>
      </c>
      <c r="Y284" s="77">
        <f ca="1">X284*Valores!$C$2</f>
        <v>0</v>
      </c>
      <c r="Z284" s="77">
        <v>0</v>
      </c>
      <c r="AA284" s="89">
        <f ca="1">(Valores!$C$32)*D284</f>
        <v>147.84</v>
      </c>
      <c r="AB284" s="77">
        <f t="shared" ca="1" si="49"/>
        <v>0</v>
      </c>
      <c r="AC284" s="77">
        <f ca="1">Valores!$C$33*D284</f>
        <v>122.91999999999999</v>
      </c>
      <c r="AD284" s="116">
        <v>94</v>
      </c>
      <c r="AE284" s="77">
        <f ca="1">INT(((AD284*Valores!$C$2)*100)+0.5)/100</f>
        <v>482.66</v>
      </c>
      <c r="AF284" s="77">
        <f ca="1">Valores!$D$51*D284</f>
        <v>500.024</v>
      </c>
      <c r="AG284" s="77">
        <f ca="1">Valores!$D$52*D284</f>
        <v>142.87466666666668</v>
      </c>
      <c r="AH284" s="77">
        <f ca="1">SUM(G284,I284,K284,M284,N284,O284,P284,Q284,R284,S284,U284,V284,W284,Y284,Z284,AA284,AB284,AC284,AE284,AF284,AG284)*Valores!$C$54</f>
        <v>0</v>
      </c>
      <c r="AI284" s="141">
        <f t="shared" ca="1" si="52"/>
        <v>33995.868666666662</v>
      </c>
      <c r="AJ284" s="61">
        <f ca="1">Valores!$C$36*D284</f>
        <v>339.64000000000004</v>
      </c>
      <c r="AK284" s="79">
        <f ca="1">Valores!$C$11*D284</f>
        <v>238.28</v>
      </c>
      <c r="AL284" s="89">
        <f ca="1">7.4833*D284</f>
        <v>209.5324</v>
      </c>
      <c r="AM284" s="79">
        <f ca="1">IF($G$4="SI",SUM(AK284+AL284),AK284)*Valores!$C$54</f>
        <v>0</v>
      </c>
      <c r="AN284" s="12">
        <f t="shared" ca="1" si="53"/>
        <v>787.45240000000013</v>
      </c>
      <c r="AO284" s="13">
        <f ca="1">AI284*-Valores!$C$56</f>
        <v>-4419.4629266666661</v>
      </c>
      <c r="AP284" s="13">
        <f ca="1">AI284*-Valores!$C$57</f>
        <v>-169.9793433333333</v>
      </c>
      <c r="AQ284" s="78">
        <f ca="1">AI284*-Valores!$C$58</f>
        <v>-1529.8140899999996</v>
      </c>
      <c r="AR284" s="78">
        <f ca="1">AI284*-Valores!$C$59</f>
        <v>-917.88845400000002</v>
      </c>
      <c r="AS284" s="78">
        <f ca="1">AI284*-Valores!$C$60</f>
        <v>-101.98760599999999</v>
      </c>
      <c r="AT284" s="15">
        <f t="shared" ca="1" si="50"/>
        <v>28664.064706666664</v>
      </c>
      <c r="AU284" s="15">
        <f t="shared" ca="1" si="51"/>
        <v>29174.002736666665</v>
      </c>
      <c r="AV284" s="78">
        <f ca="1">AI284*Valores!$C$61</f>
        <v>5439.3389866666657</v>
      </c>
      <c r="AW284" s="78">
        <f ca="1">AI284*Valores!$C$62</f>
        <v>1529.8140899999996</v>
      </c>
      <c r="AX284" s="78">
        <f ca="1">AI284*Valores!$C$64</f>
        <v>339.95868666666661</v>
      </c>
      <c r="AY284" s="78">
        <f ca="1">AI284*Valores!$C$65</f>
        <v>1189.8554033333332</v>
      </c>
      <c r="AZ284" s="78">
        <f ca="1">AI284*Valores!$C$66</f>
        <v>203.97521199999997</v>
      </c>
      <c r="BA284" s="78">
        <f t="shared" ca="1" si="54"/>
        <v>1835.7769079999998</v>
      </c>
      <c r="BB284" s="20"/>
      <c r="BC284" s="55">
        <f t="shared" ca="1" si="47"/>
        <v>112</v>
      </c>
      <c r="BD284" s="9" t="s">
        <v>467</v>
      </c>
    </row>
    <row r="285" spans="1:56" s="9" customFormat="1" ht="11.25" customHeight="1" x14ac:dyDescent="0.15">
      <c r="A285" s="20">
        <v>284</v>
      </c>
      <c r="B285" s="20"/>
      <c r="C285" s="9" t="s">
        <v>355</v>
      </c>
      <c r="D285" s="9">
        <v>29</v>
      </c>
      <c r="E285" s="10" t="str">
        <f ca="1">CONCATENATE("Hora Cátedra Enseñanza Media ",D285," hs")</f>
        <v>Hora Cátedra Enseñanza Media 29 hs</v>
      </c>
      <c r="F285" s="123">
        <f t="shared" ca="1" si="48"/>
        <v>2291</v>
      </c>
      <c r="G285" s="7">
        <f ca="1">INT((F285*Valores!$C$2*100)+0.5)/100</f>
        <v>11763.6</v>
      </c>
      <c r="H285" s="134">
        <v>0</v>
      </c>
      <c r="I285" s="77">
        <f ca="1">INT((H285*Valores!$C$2*100)+0.5)/100</f>
        <v>0</v>
      </c>
      <c r="J285" s="147">
        <v>0</v>
      </c>
      <c r="K285" s="77">
        <f ca="1">INT((J285*Valores!$C$2*100)+0.5)/100</f>
        <v>0</v>
      </c>
      <c r="L285" s="120">
        <v>0</v>
      </c>
      <c r="M285" s="77">
        <f ca="1">INT((L285*Valores!$C$2*100)+0.5)/100</f>
        <v>0</v>
      </c>
      <c r="N285" s="77">
        <f t="shared" ca="1" si="55"/>
        <v>0</v>
      </c>
      <c r="O285" s="77">
        <f t="shared" ca="1" si="56"/>
        <v>12681.16</v>
      </c>
      <c r="P285" s="61">
        <f ca="1">Valores!$C$14*D285</f>
        <v>3329.7799999999997</v>
      </c>
      <c r="Q285" s="61">
        <f ca="1">IF(D285&lt;15,(Valores!$E$4*D285),Valores!$D$4)</f>
        <v>2296.75</v>
      </c>
      <c r="R285" s="77">
        <v>0</v>
      </c>
      <c r="S285" s="79">
        <f ca="1">Valores!$C$45*D285</f>
        <v>917.56000000000006</v>
      </c>
      <c r="T285" s="61">
        <f ca="1">Valores!$C$22*D285</f>
        <v>1346.47</v>
      </c>
      <c r="U285" s="77">
        <f t="shared" ca="1" si="45"/>
        <v>2692.94</v>
      </c>
      <c r="V285" s="77">
        <v>0</v>
      </c>
      <c r="W285" s="77">
        <v>0</v>
      </c>
      <c r="X285" s="37">
        <v>0</v>
      </c>
      <c r="Y285" s="77">
        <f ca="1">X285*Valores!$C$2</f>
        <v>0</v>
      </c>
      <c r="Z285" s="77">
        <v>0</v>
      </c>
      <c r="AA285" s="89">
        <f ca="1">(Valores!$C$32)*D285</f>
        <v>153.12</v>
      </c>
      <c r="AB285" s="77">
        <f t="shared" ca="1" si="49"/>
        <v>0</v>
      </c>
      <c r="AC285" s="77">
        <f ca="1">Valores!$C$33*D285</f>
        <v>127.30999999999999</v>
      </c>
      <c r="AD285" s="116">
        <v>0</v>
      </c>
      <c r="AE285" s="77">
        <f ca="1">INT(((AD285*Valores!$C$2)*100)+0.5)/100</f>
        <v>0</v>
      </c>
      <c r="AF285" s="77">
        <f ca="1">Valores!$D$51*D285</f>
        <v>517.88200000000006</v>
      </c>
      <c r="AG285" s="77">
        <f ca="1">Valores!$D$52*D285</f>
        <v>147.97733333333335</v>
      </c>
      <c r="AH285" s="77">
        <f ca="1">SUM(G285,I285,K285,M285,N285,O285,P285,Q285,R285,S285,U285,V285,W285,Y285,Z285,AA285,AB285,AC285,AE285,AF285,AG285)*Valores!$C$54</f>
        <v>0</v>
      </c>
      <c r="AI285" s="141">
        <f t="shared" ca="1" si="52"/>
        <v>34628.079333333328</v>
      </c>
      <c r="AJ285" s="61">
        <f ca="1">Valores!$C$36*D285</f>
        <v>351.77000000000004</v>
      </c>
      <c r="AK285" s="79">
        <f ca="1">Valores!$C$11*D285</f>
        <v>246.79</v>
      </c>
      <c r="AL285" s="89">
        <f ca="1">7.483*D285</f>
        <v>217.00699999999998</v>
      </c>
      <c r="AM285" s="79">
        <f ca="1">IF($G$4="SI",SUM(AK285+AL285),AK285)*Valores!$C$54</f>
        <v>0</v>
      </c>
      <c r="AN285" s="12">
        <f t="shared" ca="1" si="53"/>
        <v>815.56700000000001</v>
      </c>
      <c r="AO285" s="13">
        <f ca="1">AI285*-Valores!$C$56</f>
        <v>-4501.6503133333326</v>
      </c>
      <c r="AP285" s="13">
        <f ca="1">AI285*-Valores!$C$57</f>
        <v>-173.14039666666665</v>
      </c>
      <c r="AQ285" s="78">
        <f ca="1">AI285*-Valores!$C$58</f>
        <v>-1558.2635699999996</v>
      </c>
      <c r="AR285" s="78">
        <f ca="1">AI285*-Valores!$C$59</f>
        <v>-934.95814199999995</v>
      </c>
      <c r="AS285" s="78">
        <f ca="1">AI285*-Valores!$C$60</f>
        <v>-103.88423799999998</v>
      </c>
      <c r="AT285" s="15">
        <f t="shared" ca="1" si="50"/>
        <v>29210.592053333326</v>
      </c>
      <c r="AU285" s="15">
        <f t="shared" ca="1" si="51"/>
        <v>29730.013243333327</v>
      </c>
      <c r="AV285" s="78">
        <f ca="1">AI285*Valores!$C$61</f>
        <v>5540.4926933333327</v>
      </c>
      <c r="AW285" s="78">
        <f ca="1">AI285*Valores!$C$62</f>
        <v>1558.2635699999996</v>
      </c>
      <c r="AX285" s="78">
        <f ca="1">AI285*Valores!$C$64</f>
        <v>346.28079333333329</v>
      </c>
      <c r="AY285" s="78">
        <f ca="1">AI285*Valores!$C$65</f>
        <v>1211.9827766666665</v>
      </c>
      <c r="AZ285" s="78">
        <f ca="1">AI285*Valores!$C$66</f>
        <v>207.76847599999996</v>
      </c>
      <c r="BA285" s="78">
        <f t="shared" ca="1" si="54"/>
        <v>1869.9162839999999</v>
      </c>
      <c r="BB285" s="20"/>
      <c r="BC285" s="20">
        <f t="shared" ca="1" si="47"/>
        <v>116</v>
      </c>
      <c r="BD285" s="9" t="s">
        <v>466</v>
      </c>
    </row>
    <row r="286" spans="1:56" s="9" customFormat="1" ht="11.25" customHeight="1" x14ac:dyDescent="0.15">
      <c r="A286" s="55">
        <v>285</v>
      </c>
      <c r="B286" s="55" t="s">
        <v>462</v>
      </c>
      <c r="C286" s="52" t="s">
        <v>355</v>
      </c>
      <c r="D286" s="52">
        <v>29</v>
      </c>
      <c r="E286" s="53" t="str">
        <f ca="1">CONCATENATE("Hora Cátedra Enseñanza Media ",D286," hs Esc Esp")</f>
        <v>Hora Cátedra Enseñanza Media 29 hs Esc Esp</v>
      </c>
      <c r="F286" s="124">
        <f t="shared" ca="1" si="48"/>
        <v>2291</v>
      </c>
      <c r="G286" s="129">
        <f ca="1">INT((F286*Valores!$C$2*100)+0.5)/100</f>
        <v>11763.6</v>
      </c>
      <c r="H286" s="133">
        <v>0</v>
      </c>
      <c r="I286" s="80">
        <f ca="1">INT((H286*Valores!$C$2*100)+0.5)/100</f>
        <v>0</v>
      </c>
      <c r="J286" s="148">
        <v>0</v>
      </c>
      <c r="K286" s="80">
        <f ca="1">INT((J286*Valores!$C$2*100)+0.5)/100</f>
        <v>0</v>
      </c>
      <c r="L286" s="121">
        <v>0</v>
      </c>
      <c r="M286" s="80">
        <f ca="1">INT((L286*Valores!$C$2*100)+0.5)/100</f>
        <v>0</v>
      </c>
      <c r="N286" s="80">
        <f t="shared" ca="1" si="55"/>
        <v>0</v>
      </c>
      <c r="O286" s="80">
        <f t="shared" ca="1" si="56"/>
        <v>12681.16</v>
      </c>
      <c r="P286" s="85">
        <f ca="1">Valores!$C$14*D286</f>
        <v>3329.7799999999997</v>
      </c>
      <c r="Q286" s="85">
        <f ca="1">IF(D286&lt;15,(Valores!$E$4*D286),Valores!$D$4)</f>
        <v>2296.75</v>
      </c>
      <c r="R286" s="80">
        <v>0</v>
      </c>
      <c r="S286" s="82">
        <f ca="1">Valores!$C$45*D286</f>
        <v>917.56000000000006</v>
      </c>
      <c r="T286" s="85">
        <f ca="1">Valores!$C$22*D286</f>
        <v>1346.47</v>
      </c>
      <c r="U286" s="80">
        <f t="shared" ca="1" si="45"/>
        <v>2692.94</v>
      </c>
      <c r="V286" s="80">
        <v>0</v>
      </c>
      <c r="W286" s="80">
        <v>0</v>
      </c>
      <c r="X286" s="60">
        <v>0</v>
      </c>
      <c r="Y286" s="80">
        <f ca="1">X286*Valores!$C$2</f>
        <v>0</v>
      </c>
      <c r="Z286" s="80">
        <v>0</v>
      </c>
      <c r="AA286" s="90">
        <f ca="1">(Valores!$C$32)*D286</f>
        <v>153.12</v>
      </c>
      <c r="AB286" s="80">
        <f t="shared" ca="1" si="49"/>
        <v>0</v>
      </c>
      <c r="AC286" s="80">
        <f ca="1">Valores!$C$33*D286</f>
        <v>127.30999999999999</v>
      </c>
      <c r="AD286" s="115">
        <v>94</v>
      </c>
      <c r="AE286" s="80">
        <f ca="1">INT(((AD286*Valores!$C$2)*100)+0.5)/100</f>
        <v>482.66</v>
      </c>
      <c r="AF286" s="80">
        <f ca="1">Valores!$D$51*D286</f>
        <v>517.88200000000006</v>
      </c>
      <c r="AG286" s="80">
        <f ca="1">Valores!$D$52*D286</f>
        <v>147.97733333333335</v>
      </c>
      <c r="AH286" s="80">
        <f ca="1">SUM(G286,I286,K286,M286,N286,O286,P286,Q286,R286,S286,U286,V286,W286,Y286,Z286,AA286,AB286,AC286,AE286,AF286,AG286)*Valores!$C$54</f>
        <v>0</v>
      </c>
      <c r="AI286" s="142">
        <f t="shared" ca="1" si="52"/>
        <v>35110.739333333331</v>
      </c>
      <c r="AJ286" s="85">
        <f ca="1">Valores!$C$36*D286</f>
        <v>351.77000000000004</v>
      </c>
      <c r="AK286" s="82">
        <f ca="1">Valores!$C$11*D286</f>
        <v>246.79</v>
      </c>
      <c r="AL286" s="90">
        <f ca="1">7.483*D286</f>
        <v>217.00699999999998</v>
      </c>
      <c r="AM286" s="82">
        <f ca="1">IF($G$4="SI",SUM(AK286+AL286),AK286)*Valores!$C$54</f>
        <v>0</v>
      </c>
      <c r="AN286" s="186">
        <f t="shared" ca="1" si="53"/>
        <v>815.56700000000001</v>
      </c>
      <c r="AO286" s="155">
        <f ca="1">AI286*-Valores!$C$56</f>
        <v>-4564.3961133333332</v>
      </c>
      <c r="AP286" s="155">
        <f ca="1">AI286*-Valores!$C$57</f>
        <v>-175.55369666666667</v>
      </c>
      <c r="AQ286" s="81">
        <f ca="1">AI286*-Valores!$C$58</f>
        <v>-1579.9832699999999</v>
      </c>
      <c r="AR286" s="81">
        <f ca="1">AI286*-Valores!$C$59</f>
        <v>-947.98996200000011</v>
      </c>
      <c r="AS286" s="81">
        <f ca="1">AI286*-Valores!$C$60</f>
        <v>-105.332218</v>
      </c>
      <c r="AT286" s="54">
        <f t="shared" ca="1" si="50"/>
        <v>29606.373253333335</v>
      </c>
      <c r="AU286" s="54">
        <f t="shared" ca="1" si="51"/>
        <v>30133.034343333333</v>
      </c>
      <c r="AV286" s="81">
        <f ca="1">AI286*Valores!$C$61</f>
        <v>5617.7182933333333</v>
      </c>
      <c r="AW286" s="81">
        <f ca="1">AI286*Valores!$C$62</f>
        <v>1579.9832699999999</v>
      </c>
      <c r="AX286" s="81">
        <f ca="1">AI286*Valores!$C$64</f>
        <v>351.10739333333333</v>
      </c>
      <c r="AY286" s="81">
        <f ca="1">AI286*Valores!$C$65</f>
        <v>1228.8758766666667</v>
      </c>
      <c r="AZ286" s="81">
        <f ca="1">AI286*Valores!$C$66</f>
        <v>210.66443599999999</v>
      </c>
      <c r="BA286" s="81">
        <f t="shared" ca="1" si="54"/>
        <v>1895.979924</v>
      </c>
      <c r="BB286" s="55"/>
      <c r="BC286" s="55">
        <f t="shared" ca="1" si="47"/>
        <v>116</v>
      </c>
      <c r="BD286" s="52" t="s">
        <v>466</v>
      </c>
    </row>
    <row r="287" spans="1:56" s="9" customFormat="1" ht="11.25" customHeight="1" x14ac:dyDescent="0.15">
      <c r="A287" s="20">
        <v>286</v>
      </c>
      <c r="B287" s="20"/>
      <c r="C287" s="9" t="s">
        <v>355</v>
      </c>
      <c r="D287" s="9">
        <v>30</v>
      </c>
      <c r="E287" s="10" t="str">
        <f ca="1">CONCATENATE("Hora Cátedra Enseñanza Media ",D287," hs")</f>
        <v>Hora Cátedra Enseñanza Media 30 hs</v>
      </c>
      <c r="F287" s="123">
        <f t="shared" ca="1" si="48"/>
        <v>2370</v>
      </c>
      <c r="G287" s="7">
        <f ca="1">INT((F287*Valores!$C$2*100)+0.5)/100</f>
        <v>12169.24</v>
      </c>
      <c r="H287" s="134">
        <v>0</v>
      </c>
      <c r="I287" s="77">
        <f ca="1">INT((H287*Valores!$C$2*100)+0.5)/100</f>
        <v>0</v>
      </c>
      <c r="J287" s="147">
        <v>0</v>
      </c>
      <c r="K287" s="77">
        <f ca="1">INT((J287*Valores!$C$2*100)+0.5)/100</f>
        <v>0</v>
      </c>
      <c r="L287" s="120">
        <v>0</v>
      </c>
      <c r="M287" s="77">
        <f ca="1">INT((L287*Valores!$C$2*100)+0.5)/100</f>
        <v>0</v>
      </c>
      <c r="N287" s="77">
        <f t="shared" ca="1" si="55"/>
        <v>0</v>
      </c>
      <c r="O287" s="77">
        <f t="shared" ca="1" si="56"/>
        <v>13118.44</v>
      </c>
      <c r="P287" s="61">
        <f ca="1">Valores!$C$14*D287</f>
        <v>3444.6</v>
      </c>
      <c r="Q287" s="61">
        <f ca="1">IF(D287&lt;15,(Valores!$E$4*D287),Valores!$D$4)</f>
        <v>2296.75</v>
      </c>
      <c r="R287" s="77">
        <v>0</v>
      </c>
      <c r="S287" s="79">
        <f ca="1">Valores!$C$45*D287</f>
        <v>949.2</v>
      </c>
      <c r="T287" s="61">
        <f ca="1">Valores!$C$22*D287</f>
        <v>1392.9</v>
      </c>
      <c r="U287" s="77">
        <f t="shared" ca="1" si="45"/>
        <v>2785.8</v>
      </c>
      <c r="V287" s="77">
        <v>0</v>
      </c>
      <c r="W287" s="77">
        <v>0</v>
      </c>
      <c r="X287" s="37">
        <v>0</v>
      </c>
      <c r="Y287" s="77">
        <f ca="1">X287*Valores!$C$2</f>
        <v>0</v>
      </c>
      <c r="Z287" s="77">
        <v>0</v>
      </c>
      <c r="AA287" s="89">
        <f ca="1">(Valores!$C$32)*D287</f>
        <v>158.4</v>
      </c>
      <c r="AB287" s="77">
        <f t="shared" ca="1" si="49"/>
        <v>0</v>
      </c>
      <c r="AC287" s="77">
        <v>131.68</v>
      </c>
      <c r="AD287" s="116">
        <v>0</v>
      </c>
      <c r="AE287" s="77">
        <f ca="1">INT(((AD287*Valores!$C$2)*100)+0.5)/100</f>
        <v>0</v>
      </c>
      <c r="AF287" s="77">
        <f ca="1">Valores!$D$51*D287</f>
        <v>535.74</v>
      </c>
      <c r="AG287" s="77">
        <f ca="1">Valores!$D$52*D287</f>
        <v>153.08000000000001</v>
      </c>
      <c r="AH287" s="77">
        <f ca="1">SUM(G287,I287,K287,M287,N287,O287,P287,Q287,R287,S287,U287,V287,W287,Y287,Z287,AA287,AB287,AC287,AE287,AF287,AG287)*Valores!$C$54</f>
        <v>0</v>
      </c>
      <c r="AI287" s="141">
        <f t="shared" ca="1" si="52"/>
        <v>35742.93</v>
      </c>
      <c r="AJ287" s="61">
        <f ca="1">Valores!$C$36*D287</f>
        <v>363.90000000000003</v>
      </c>
      <c r="AK287" s="79">
        <f ca="1">Valores!$C$11*D287</f>
        <v>255.29999999999998</v>
      </c>
      <c r="AL287" s="89">
        <f ca="1">(7.48*D287)+0.1</f>
        <v>224.5</v>
      </c>
      <c r="AM287" s="79">
        <f ca="1">IF($G$4="SI",SUM(AK287+AL287),AK287)*Valores!$C$54</f>
        <v>0</v>
      </c>
      <c r="AN287" s="12">
        <f t="shared" ca="1" si="53"/>
        <v>843.7</v>
      </c>
      <c r="AO287" s="13">
        <f ca="1">AI287*-Valores!$C$56</f>
        <v>-4646.5808999999999</v>
      </c>
      <c r="AP287" s="13">
        <f ca="1">AI287*-Valores!$C$57</f>
        <v>-178.71465000000001</v>
      </c>
      <c r="AQ287" s="78">
        <f ca="1">AI287*-Valores!$C$58</f>
        <v>-1608.4318499999999</v>
      </c>
      <c r="AR287" s="78">
        <f ca="1">AI287*-Valores!$C$59</f>
        <v>-965.05911000000015</v>
      </c>
      <c r="AS287" s="78">
        <f ca="1">AI287*-Valores!$C$60</f>
        <v>-107.22879</v>
      </c>
      <c r="AT287" s="15">
        <f t="shared" ca="1" si="50"/>
        <v>30152.902599999994</v>
      </c>
      <c r="AU287" s="15">
        <f t="shared" ca="1" si="51"/>
        <v>30689.046549999992</v>
      </c>
      <c r="AV287" s="78">
        <f ca="1">AI287*Valores!$C$61</f>
        <v>5718.8688000000002</v>
      </c>
      <c r="AW287" s="78">
        <f ca="1">AI287*Valores!$C$62</f>
        <v>1608.4318499999999</v>
      </c>
      <c r="AX287" s="78">
        <f ca="1">AI287*Valores!$C$64</f>
        <v>357.42930000000001</v>
      </c>
      <c r="AY287" s="78">
        <f ca="1">AI287*Valores!$C$65</f>
        <v>1251.0025500000002</v>
      </c>
      <c r="AZ287" s="78">
        <f ca="1">AI287*Valores!$C$66</f>
        <v>214.45758000000001</v>
      </c>
      <c r="BA287" s="78">
        <f t="shared" ca="1" si="54"/>
        <v>1930.1182200000001</v>
      </c>
      <c r="BB287" s="20"/>
      <c r="BC287" s="20">
        <f t="shared" ca="1" si="47"/>
        <v>120</v>
      </c>
      <c r="BD287" s="9" t="s">
        <v>467</v>
      </c>
    </row>
    <row r="288" spans="1:56" s="9" customFormat="1" ht="11.25" customHeight="1" x14ac:dyDescent="0.15">
      <c r="A288" s="20">
        <v>287</v>
      </c>
      <c r="B288" s="20"/>
      <c r="C288" s="9" t="s">
        <v>355</v>
      </c>
      <c r="D288" s="9">
        <v>30</v>
      </c>
      <c r="E288" s="10" t="str">
        <f ca="1">CONCATENATE("Hora Cátedra Enseñanza Media ",D288," hs Esc Esp")</f>
        <v>Hora Cátedra Enseñanza Media 30 hs Esc Esp</v>
      </c>
      <c r="F288" s="123">
        <f t="shared" ca="1" si="48"/>
        <v>2370</v>
      </c>
      <c r="G288" s="7">
        <f ca="1">INT((F288*Valores!$C$2*100)+0.5)/100</f>
        <v>12169.24</v>
      </c>
      <c r="H288" s="134">
        <v>0</v>
      </c>
      <c r="I288" s="77">
        <f ca="1">INT((H288*Valores!$C$2*100)+0.5)/100</f>
        <v>0</v>
      </c>
      <c r="J288" s="147">
        <v>0</v>
      </c>
      <c r="K288" s="77">
        <f ca="1">INT((J288*Valores!$C$2*100)+0.5)/100</f>
        <v>0</v>
      </c>
      <c r="L288" s="120">
        <v>0</v>
      </c>
      <c r="M288" s="77">
        <f ca="1">INT((L288*Valores!$C$2*100)+0.5)/100</f>
        <v>0</v>
      </c>
      <c r="N288" s="77">
        <f t="shared" ca="1" si="55"/>
        <v>0</v>
      </c>
      <c r="O288" s="77">
        <f t="shared" ca="1" si="56"/>
        <v>13118.44</v>
      </c>
      <c r="P288" s="61">
        <f ca="1">Valores!$C$14*D288</f>
        <v>3444.6</v>
      </c>
      <c r="Q288" s="61">
        <f ca="1">IF(D288&lt;15,(Valores!$E$4*D288),Valores!$D$4)</f>
        <v>2296.75</v>
      </c>
      <c r="R288" s="77">
        <v>0</v>
      </c>
      <c r="S288" s="79">
        <f ca="1">Valores!$C$45*D288</f>
        <v>949.2</v>
      </c>
      <c r="T288" s="61">
        <f ca="1">Valores!$C$22*D288</f>
        <v>1392.9</v>
      </c>
      <c r="U288" s="77">
        <f t="shared" ca="1" si="45"/>
        <v>2785.8</v>
      </c>
      <c r="V288" s="77">
        <v>0</v>
      </c>
      <c r="W288" s="77">
        <v>0</v>
      </c>
      <c r="X288" s="37">
        <v>0</v>
      </c>
      <c r="Y288" s="77">
        <f ca="1">X288*Valores!$C$2</f>
        <v>0</v>
      </c>
      <c r="Z288" s="77">
        <v>0</v>
      </c>
      <c r="AA288" s="89">
        <f ca="1">(Valores!$C$32)*D288</f>
        <v>158.4</v>
      </c>
      <c r="AB288" s="77">
        <f t="shared" ca="1" si="49"/>
        <v>0</v>
      </c>
      <c r="AC288" s="77">
        <v>131.68</v>
      </c>
      <c r="AD288" s="116">
        <v>94</v>
      </c>
      <c r="AE288" s="77">
        <f ca="1">INT(((AD288*Valores!$C$2)*100)+0.5)/100</f>
        <v>482.66</v>
      </c>
      <c r="AF288" s="77">
        <f ca="1">Valores!$D$51*D288</f>
        <v>535.74</v>
      </c>
      <c r="AG288" s="77">
        <f ca="1">Valores!$D$52*D288</f>
        <v>153.08000000000001</v>
      </c>
      <c r="AH288" s="77">
        <f ca="1">SUM(G288,I288,K288,M288,N288,O288,P288,Q288,R288,S288,U288,V288,W288,Y288,Z288,AA288,AB288,AC288,AE288,AF288,AG288)*Valores!$C$54</f>
        <v>0</v>
      </c>
      <c r="AI288" s="141">
        <f t="shared" ca="1" si="52"/>
        <v>36225.590000000004</v>
      </c>
      <c r="AJ288" s="61">
        <f ca="1">Valores!$C$36*D288</f>
        <v>363.90000000000003</v>
      </c>
      <c r="AK288" s="79">
        <f ca="1">Valores!$C$11*D288</f>
        <v>255.29999999999998</v>
      </c>
      <c r="AL288" s="89">
        <v>224.5</v>
      </c>
      <c r="AM288" s="79">
        <f ca="1">IF($G$4="SI",SUM(AK288+AL288),AK288)*Valores!$C$54</f>
        <v>0</v>
      </c>
      <c r="AN288" s="12">
        <f t="shared" ca="1" si="53"/>
        <v>843.7</v>
      </c>
      <c r="AO288" s="13">
        <f ca="1">AI288*-Valores!$C$56</f>
        <v>-4709.3267000000005</v>
      </c>
      <c r="AP288" s="13">
        <f ca="1">AI288*-Valores!$C$57</f>
        <v>-181.12795000000003</v>
      </c>
      <c r="AQ288" s="78">
        <f ca="1">AI288*-Valores!$C$58</f>
        <v>-1630.15155</v>
      </c>
      <c r="AR288" s="78">
        <f ca="1">AI288*-Valores!$C$59</f>
        <v>-978.09093000000018</v>
      </c>
      <c r="AS288" s="78">
        <f ca="1">AI288*-Valores!$C$60</f>
        <v>-108.67677000000002</v>
      </c>
      <c r="AT288" s="15">
        <f t="shared" ca="1" si="50"/>
        <v>30548.683799999995</v>
      </c>
      <c r="AU288" s="15">
        <f t="shared" ca="1" si="51"/>
        <v>31092.067650000001</v>
      </c>
      <c r="AV288" s="78">
        <f ca="1">AI288*Valores!$C$61</f>
        <v>5796.0944000000009</v>
      </c>
      <c r="AW288" s="78">
        <f ca="1">AI288*Valores!$C$62</f>
        <v>1630.15155</v>
      </c>
      <c r="AX288" s="78">
        <f ca="1">AI288*Valores!$C$64</f>
        <v>362.25590000000005</v>
      </c>
      <c r="AY288" s="78">
        <f ca="1">AI288*Valores!$C$65</f>
        <v>1267.8956500000002</v>
      </c>
      <c r="AZ288" s="78">
        <f ca="1">AI288*Valores!$C$66</f>
        <v>217.35354000000004</v>
      </c>
      <c r="BA288" s="78">
        <f t="shared" ca="1" si="54"/>
        <v>1956.1818600000004</v>
      </c>
      <c r="BB288" s="20"/>
      <c r="BC288" s="20">
        <f t="shared" ca="1" si="47"/>
        <v>120</v>
      </c>
      <c r="BD288" s="9" t="s">
        <v>467</v>
      </c>
    </row>
    <row r="289" spans="1:56" s="9" customFormat="1" ht="11.25" customHeight="1" x14ac:dyDescent="0.15">
      <c r="A289" s="20">
        <v>288</v>
      </c>
      <c r="B289" s="20"/>
      <c r="C289" s="9" t="s">
        <v>355</v>
      </c>
      <c r="D289" s="9">
        <v>31</v>
      </c>
      <c r="E289" s="10" t="str">
        <f ca="1">CONCATENATE("Hora Cátedra Enseñanza Media ",D289," hs")</f>
        <v>Hora Cátedra Enseñanza Media 31 hs</v>
      </c>
      <c r="F289" s="123">
        <f t="shared" ca="1" si="48"/>
        <v>2449</v>
      </c>
      <c r="G289" s="7">
        <f ca="1">INT((F289*Valores!$C$2*100)+0.5)/100</f>
        <v>12574.88</v>
      </c>
      <c r="H289" s="134">
        <v>0</v>
      </c>
      <c r="I289" s="77">
        <f ca="1">INT((H289*Valores!$C$2*100)+0.5)/100</f>
        <v>0</v>
      </c>
      <c r="J289" s="147">
        <v>0</v>
      </c>
      <c r="K289" s="77">
        <f ca="1">INT((J289*Valores!$C$2*100)+0.5)/100</f>
        <v>0</v>
      </c>
      <c r="L289" s="120">
        <v>0</v>
      </c>
      <c r="M289" s="77">
        <f ca="1">INT((L289*Valores!$C$2*100)+0.5)/100</f>
        <v>0</v>
      </c>
      <c r="N289" s="77">
        <f t="shared" ca="1" si="55"/>
        <v>0</v>
      </c>
      <c r="O289" s="77">
        <f t="shared" ca="1" si="56"/>
        <v>13555.72</v>
      </c>
      <c r="P289" s="61">
        <f ca="1">Valores!$C$14*D289</f>
        <v>3559.4199999999996</v>
      </c>
      <c r="Q289" s="61">
        <f ca="1">IF(D289&lt;15,(Valores!$E$4*D289),Valores!$D$4)</f>
        <v>2296.75</v>
      </c>
      <c r="R289" s="77">
        <v>0</v>
      </c>
      <c r="S289" s="79">
        <f ca="1">Valores!$C$45*D289</f>
        <v>980.84</v>
      </c>
      <c r="T289" s="61">
        <f ca="1">Valores!$C$22*D289</f>
        <v>1439.33</v>
      </c>
      <c r="U289" s="77">
        <f t="shared" ca="1" si="45"/>
        <v>2878.66</v>
      </c>
      <c r="V289" s="77">
        <v>0</v>
      </c>
      <c r="W289" s="77">
        <v>0</v>
      </c>
      <c r="X289" s="37">
        <v>0</v>
      </c>
      <c r="Y289" s="77">
        <f ca="1">X289*Valores!$C$2</f>
        <v>0</v>
      </c>
      <c r="Z289" s="77">
        <v>0</v>
      </c>
      <c r="AA289" s="89">
        <f ca="1">(Valores!$C$32)*D289</f>
        <v>163.68</v>
      </c>
      <c r="AB289" s="77">
        <f t="shared" ca="1" si="49"/>
        <v>0</v>
      </c>
      <c r="AC289" s="77">
        <v>131.68</v>
      </c>
      <c r="AD289" s="116">
        <v>0</v>
      </c>
      <c r="AE289" s="77">
        <f ca="1">INT(((AD289*Valores!$C$2)*100)+0.5)/100</f>
        <v>0</v>
      </c>
      <c r="AF289" s="77">
        <f ca="1">AF288</f>
        <v>535.74</v>
      </c>
      <c r="AG289" s="77">
        <f ca="1">AG288</f>
        <v>153.08000000000001</v>
      </c>
      <c r="AH289" s="77">
        <f ca="1">SUM(G289,I289,K289,M289,N289,O289,P289,Q289,R289,S289,U289,V289,W289,Y289,Z289,AA289,AB289,AC289,AE289,AF289,AG289)*Valores!$C$54</f>
        <v>0</v>
      </c>
      <c r="AI289" s="141">
        <f t="shared" ca="1" si="52"/>
        <v>36830.44999999999</v>
      </c>
      <c r="AJ289" s="61">
        <f ca="1">(Valores!$C$36*$D$222)+0.04</f>
        <v>363.94000000000005</v>
      </c>
      <c r="AK289" s="79">
        <f ca="1">Valores!$C$11*D289</f>
        <v>263.81</v>
      </c>
      <c r="AL289" s="89">
        <v>224.5</v>
      </c>
      <c r="AM289" s="79">
        <f ca="1">IF($G$4="SI",SUM(AK289+AL289),AK289)*Valores!$C$54</f>
        <v>0</v>
      </c>
      <c r="AN289" s="12">
        <f t="shared" ca="1" si="53"/>
        <v>852.25</v>
      </c>
      <c r="AO289" s="13">
        <f ca="1">AI289*-Valores!$C$56</f>
        <v>-4787.9584999999988</v>
      </c>
      <c r="AP289" s="13">
        <f ca="1">AI289*-Valores!$C$57</f>
        <v>-184.15224999999995</v>
      </c>
      <c r="AQ289" s="78">
        <f ca="1">AI289*-Valores!$C$58</f>
        <v>-1657.3702499999995</v>
      </c>
      <c r="AR289" s="78">
        <f ca="1">AI289*-Valores!$C$59</f>
        <v>-994.42214999999987</v>
      </c>
      <c r="AS289" s="78">
        <f ca="1">AI289*-Valores!$C$60</f>
        <v>-110.49134999999997</v>
      </c>
      <c r="AT289" s="15">
        <f t="shared" ca="1" si="50"/>
        <v>31053.21899999999</v>
      </c>
      <c r="AU289" s="15">
        <f t="shared" ca="1" si="51"/>
        <v>31605.675749999991</v>
      </c>
      <c r="AV289" s="78">
        <f ca="1">AI289*Valores!$C$61</f>
        <v>5892.8719999999985</v>
      </c>
      <c r="AW289" s="78">
        <f ca="1">AI289*Valores!$C$62</f>
        <v>1657.3702499999995</v>
      </c>
      <c r="AX289" s="78">
        <f ca="1">AI289*Valores!$C$64</f>
        <v>368.3044999999999</v>
      </c>
      <c r="AY289" s="78">
        <f ca="1">AI289*Valores!$C$65</f>
        <v>1289.0657499999998</v>
      </c>
      <c r="AZ289" s="78">
        <f ca="1">AI289*Valores!$C$66</f>
        <v>220.98269999999994</v>
      </c>
      <c r="BA289" s="78">
        <f t="shared" ca="1" si="54"/>
        <v>1988.8442999999997</v>
      </c>
      <c r="BB289" s="20"/>
      <c r="BC289" s="55">
        <f t="shared" ref="BC289:BC301" ca="1" si="58">4*D289</f>
        <v>124</v>
      </c>
      <c r="BD289" s="9" t="s">
        <v>466</v>
      </c>
    </row>
    <row r="290" spans="1:56" s="9" customFormat="1" ht="11.25" customHeight="1" x14ac:dyDescent="0.15">
      <c r="A290" s="20">
        <v>289</v>
      </c>
      <c r="B290" s="20"/>
      <c r="C290" s="9" t="s">
        <v>355</v>
      </c>
      <c r="D290" s="9">
        <v>31</v>
      </c>
      <c r="E290" s="10" t="str">
        <f ca="1">CONCATENATE("Hora Cátedra Enseñanza Media ",D290," hs Esc Esp")</f>
        <v>Hora Cátedra Enseñanza Media 31 hs Esc Esp</v>
      </c>
      <c r="F290" s="123">
        <f t="shared" ca="1" si="48"/>
        <v>2449</v>
      </c>
      <c r="G290" s="7">
        <f ca="1">INT((F290*Valores!$C$2*100)+0.5)/100</f>
        <v>12574.88</v>
      </c>
      <c r="H290" s="134">
        <v>0</v>
      </c>
      <c r="I290" s="77">
        <f ca="1">INT((H290*Valores!$C$2*100)+0.5)/100</f>
        <v>0</v>
      </c>
      <c r="J290" s="147">
        <v>0</v>
      </c>
      <c r="K290" s="77">
        <f ca="1">INT((J290*Valores!$C$2*100)+0.5)/100</f>
        <v>0</v>
      </c>
      <c r="L290" s="120">
        <v>0</v>
      </c>
      <c r="M290" s="77">
        <f ca="1">INT((L290*Valores!$C$2*100)+0.5)/100</f>
        <v>0</v>
      </c>
      <c r="N290" s="77">
        <f t="shared" ca="1" si="55"/>
        <v>0</v>
      </c>
      <c r="O290" s="77">
        <f t="shared" ca="1" si="56"/>
        <v>13555.72</v>
      </c>
      <c r="P290" s="61">
        <f ca="1">Valores!$C$14*D290</f>
        <v>3559.4199999999996</v>
      </c>
      <c r="Q290" s="61">
        <f ca="1">IF(D290&lt;15,(Valores!$E$4*D290),Valores!$D$4)</f>
        <v>2296.75</v>
      </c>
      <c r="R290" s="77">
        <v>0</v>
      </c>
      <c r="S290" s="79">
        <f ca="1">Valores!$C$45*D290</f>
        <v>980.84</v>
      </c>
      <c r="T290" s="61">
        <f ca="1">Valores!$C$22*D290</f>
        <v>1439.33</v>
      </c>
      <c r="U290" s="77">
        <f t="shared" ca="1" si="45"/>
        <v>2878.66</v>
      </c>
      <c r="V290" s="77">
        <v>0</v>
      </c>
      <c r="W290" s="77">
        <v>0</v>
      </c>
      <c r="X290" s="37">
        <v>0</v>
      </c>
      <c r="Y290" s="77">
        <f ca="1">X290*Valores!$C$2</f>
        <v>0</v>
      </c>
      <c r="Z290" s="77">
        <v>0</v>
      </c>
      <c r="AA290" s="89">
        <f ca="1">(Valores!$C$32)*D290</f>
        <v>163.68</v>
      </c>
      <c r="AB290" s="77">
        <f t="shared" ca="1" si="49"/>
        <v>0</v>
      </c>
      <c r="AC290" s="77">
        <v>131.68</v>
      </c>
      <c r="AD290" s="116">
        <v>94</v>
      </c>
      <c r="AE290" s="77">
        <f ca="1">INT(((AD290*Valores!$C$2)*100)+0.5)/100</f>
        <v>482.66</v>
      </c>
      <c r="AF290" s="77">
        <f t="shared" ref="AF290:AF300" ca="1" si="59">AF289</f>
        <v>535.74</v>
      </c>
      <c r="AG290" s="77">
        <f t="shared" ref="AG290:AG300" ca="1" si="60">AG289</f>
        <v>153.08000000000001</v>
      </c>
      <c r="AH290" s="77">
        <f ca="1">SUM(G290,I290,K290,M290,N290,O290,P290,Q290,R290,S290,U290,V290,W290,Y290,Z290,AA290,AB290,AC290,AE290,AF290,AG290)*Valores!$C$54</f>
        <v>0</v>
      </c>
      <c r="AI290" s="141">
        <f t="shared" ca="1" si="52"/>
        <v>37313.109999999993</v>
      </c>
      <c r="AJ290" s="61">
        <f ca="1">(Valores!$C$36*$D$222)+0.04</f>
        <v>363.94000000000005</v>
      </c>
      <c r="AK290" s="79">
        <f ca="1">Valores!$C$11*D290</f>
        <v>263.81</v>
      </c>
      <c r="AL290" s="89">
        <v>224.5</v>
      </c>
      <c r="AM290" s="79">
        <f ca="1">IF($G$4="SI",SUM(AK290+AL290),AK290)*Valores!$C$54</f>
        <v>0</v>
      </c>
      <c r="AN290" s="12">
        <f t="shared" ca="1" si="53"/>
        <v>852.25</v>
      </c>
      <c r="AO290" s="13">
        <f ca="1">AI290*-Valores!$C$56</f>
        <v>-4850.7042999999994</v>
      </c>
      <c r="AP290" s="13">
        <f ca="1">AI290*-Valores!$C$57</f>
        <v>-186.56554999999997</v>
      </c>
      <c r="AQ290" s="78">
        <f ca="1">AI290*-Valores!$C$58</f>
        <v>-1679.0899499999996</v>
      </c>
      <c r="AR290" s="78">
        <f ca="1">AI290*-Valores!$C$59</f>
        <v>-1007.4539699999999</v>
      </c>
      <c r="AS290" s="78">
        <f ca="1">AI290*-Valores!$C$60</f>
        <v>-111.93932999999998</v>
      </c>
      <c r="AT290" s="15">
        <f t="shared" ca="1" si="50"/>
        <v>31449.000199999995</v>
      </c>
      <c r="AU290" s="15">
        <f t="shared" ca="1" si="51"/>
        <v>32008.696849999993</v>
      </c>
      <c r="AV290" s="78">
        <f ca="1">AI290*Valores!$C$61</f>
        <v>5970.0975999999991</v>
      </c>
      <c r="AW290" s="78">
        <f ca="1">AI290*Valores!$C$62</f>
        <v>1679.0899499999996</v>
      </c>
      <c r="AX290" s="78">
        <f ca="1">AI290*Valores!$C$64</f>
        <v>373.13109999999995</v>
      </c>
      <c r="AY290" s="78">
        <f ca="1">AI290*Valores!$C$65</f>
        <v>1305.95885</v>
      </c>
      <c r="AZ290" s="78">
        <f ca="1">AI290*Valores!$C$66</f>
        <v>223.87865999999997</v>
      </c>
      <c r="BA290" s="78">
        <f t="shared" ca="1" si="54"/>
        <v>2014.9079399999996</v>
      </c>
      <c r="BB290" s="20"/>
      <c r="BC290" s="20">
        <f t="shared" ca="1" si="58"/>
        <v>124</v>
      </c>
      <c r="BD290" s="9" t="s">
        <v>466</v>
      </c>
    </row>
    <row r="291" spans="1:56" s="9" customFormat="1" ht="11.25" customHeight="1" x14ac:dyDescent="0.15">
      <c r="A291" s="55">
        <v>290</v>
      </c>
      <c r="B291" s="55" t="s">
        <v>462</v>
      </c>
      <c r="C291" s="52" t="s">
        <v>355</v>
      </c>
      <c r="D291" s="52">
        <v>32</v>
      </c>
      <c r="E291" s="53" t="str">
        <f ca="1">CONCATENATE("Hora Cátedra Enseñanza Media ",D291," hs")</f>
        <v>Hora Cátedra Enseñanza Media 32 hs</v>
      </c>
      <c r="F291" s="124">
        <f t="shared" ca="1" si="48"/>
        <v>2528</v>
      </c>
      <c r="G291" s="129">
        <f ca="1">INT((F291*Valores!$C$2*100)+0.5)/100</f>
        <v>12980.52</v>
      </c>
      <c r="H291" s="133">
        <v>0</v>
      </c>
      <c r="I291" s="80">
        <f ca="1">INT((H291*Valores!$C$2*100)+0.5)/100</f>
        <v>0</v>
      </c>
      <c r="J291" s="148">
        <v>0</v>
      </c>
      <c r="K291" s="80">
        <f ca="1">INT((J291*Valores!$C$2*100)+0.5)/100</f>
        <v>0</v>
      </c>
      <c r="L291" s="121">
        <v>0</v>
      </c>
      <c r="M291" s="80">
        <f ca="1">INT((L291*Valores!$C$2*100)+0.5)/100</f>
        <v>0</v>
      </c>
      <c r="N291" s="80">
        <f t="shared" ca="1" si="55"/>
        <v>0</v>
      </c>
      <c r="O291" s="80">
        <f t="shared" ca="1" si="56"/>
        <v>13993</v>
      </c>
      <c r="P291" s="85">
        <f ca="1">Valores!$C$14*D291</f>
        <v>3674.24</v>
      </c>
      <c r="Q291" s="85">
        <f ca="1">IF(D291&lt;15,(Valores!$E$4*D291),Valores!$D$4)</f>
        <v>2296.75</v>
      </c>
      <c r="R291" s="80">
        <v>0</v>
      </c>
      <c r="S291" s="82">
        <f ca="1">Valores!$C$45*D291</f>
        <v>1012.48</v>
      </c>
      <c r="T291" s="85">
        <f ca="1">Valores!$C$22*D291</f>
        <v>1485.76</v>
      </c>
      <c r="U291" s="80">
        <f t="shared" ca="1" si="45"/>
        <v>2971.52</v>
      </c>
      <c r="V291" s="80">
        <v>0</v>
      </c>
      <c r="W291" s="80">
        <v>0</v>
      </c>
      <c r="X291" s="60">
        <v>0</v>
      </c>
      <c r="Y291" s="80">
        <f ca="1">X291*Valores!$C$2</f>
        <v>0</v>
      </c>
      <c r="Z291" s="80">
        <v>0</v>
      </c>
      <c r="AA291" s="90">
        <f ca="1">(Valores!$C$32)*D291</f>
        <v>168.96</v>
      </c>
      <c r="AB291" s="80">
        <f t="shared" ca="1" si="49"/>
        <v>0</v>
      </c>
      <c r="AC291" s="80">
        <v>131.68</v>
      </c>
      <c r="AD291" s="115">
        <v>0</v>
      </c>
      <c r="AE291" s="80">
        <f ca="1">INT(((AD291*Valores!$C$2)*100)+0.5)/100</f>
        <v>0</v>
      </c>
      <c r="AF291" s="80">
        <f t="shared" ca="1" si="59"/>
        <v>535.74</v>
      </c>
      <c r="AG291" s="80">
        <f t="shared" ca="1" si="60"/>
        <v>153.08000000000001</v>
      </c>
      <c r="AH291" s="80">
        <f ca="1">SUM(G291,I291,K291,M291,N291,O291,P291,Q291,R291,S291,U291,V291,W291,Y291,Z291,AA291,AB291,AC291,AE291,AF291,AG291)*Valores!$C$54</f>
        <v>0</v>
      </c>
      <c r="AI291" s="142">
        <f t="shared" ca="1" si="52"/>
        <v>37917.97</v>
      </c>
      <c r="AJ291" s="85">
        <f ca="1">(Valores!$C$36*$D$222)+0.04</f>
        <v>363.94000000000005</v>
      </c>
      <c r="AK291" s="82">
        <f ca="1">Valores!$C$11*D291</f>
        <v>272.32</v>
      </c>
      <c r="AL291" s="90">
        <v>224.5</v>
      </c>
      <c r="AM291" s="82">
        <f ca="1">IF($G$4="SI",SUM(AK291+AL291),AK291)*Valores!$C$54</f>
        <v>0</v>
      </c>
      <c r="AN291" s="186">
        <f t="shared" ca="1" si="53"/>
        <v>860.76</v>
      </c>
      <c r="AO291" s="155">
        <f ca="1">AI291*-Valores!$C$56</f>
        <v>-4929.3361000000004</v>
      </c>
      <c r="AP291" s="155">
        <f ca="1">AI291*-Valores!$C$57</f>
        <v>-189.58985000000001</v>
      </c>
      <c r="AQ291" s="81">
        <f ca="1">AI291*-Valores!$C$58</f>
        <v>-1706.3086499999999</v>
      </c>
      <c r="AR291" s="81">
        <f ca="1">AI291*-Valores!$C$59</f>
        <v>-1023.7851900000002</v>
      </c>
      <c r="AS291" s="81">
        <f ca="1">AI291*-Valores!$C$60</f>
        <v>-113.75391</v>
      </c>
      <c r="AT291" s="54">
        <f t="shared" ca="1" si="50"/>
        <v>31953.495400000007</v>
      </c>
      <c r="AU291" s="54">
        <f t="shared" ca="1" si="51"/>
        <v>32522.264950000004</v>
      </c>
      <c r="AV291" s="81">
        <f ca="1">AI291*Valores!$C$61</f>
        <v>6066.8752000000004</v>
      </c>
      <c r="AW291" s="81">
        <f ca="1">AI291*Valores!$C$62</f>
        <v>1706.3086499999999</v>
      </c>
      <c r="AX291" s="81">
        <f ca="1">AI291*Valores!$C$64</f>
        <v>379.17970000000003</v>
      </c>
      <c r="AY291" s="81">
        <f ca="1">AI291*Valores!$C$65</f>
        <v>1327.1289500000003</v>
      </c>
      <c r="AZ291" s="81">
        <f ca="1">AI291*Valores!$C$66</f>
        <v>227.50782000000001</v>
      </c>
      <c r="BA291" s="81">
        <f t="shared" ca="1" si="54"/>
        <v>2047.5703800000003</v>
      </c>
      <c r="BB291" s="55"/>
      <c r="BC291" s="55">
        <f t="shared" ca="1" si="58"/>
        <v>128</v>
      </c>
      <c r="BD291" s="52" t="s">
        <v>466</v>
      </c>
    </row>
    <row r="292" spans="1:56" s="9" customFormat="1" ht="11.25" customHeight="1" x14ac:dyDescent="0.15">
      <c r="A292" s="20">
        <v>291</v>
      </c>
      <c r="B292" s="20"/>
      <c r="C292" s="9" t="s">
        <v>355</v>
      </c>
      <c r="D292" s="9">
        <v>32</v>
      </c>
      <c r="E292" s="10" t="str">
        <f ca="1">CONCATENATE("Hora Cátedra Enseñanza Media ",D292," hs Esc Esp")</f>
        <v>Hora Cátedra Enseñanza Media 32 hs Esc Esp</v>
      </c>
      <c r="F292" s="123">
        <f t="shared" ca="1" si="48"/>
        <v>2528</v>
      </c>
      <c r="G292" s="7">
        <f ca="1">INT((F292*Valores!$C$2*100)+0.5)/100</f>
        <v>12980.52</v>
      </c>
      <c r="H292" s="134">
        <v>0</v>
      </c>
      <c r="I292" s="77">
        <f ca="1">INT((H292*Valores!$C$2*100)+0.5)/100</f>
        <v>0</v>
      </c>
      <c r="J292" s="147">
        <v>0</v>
      </c>
      <c r="K292" s="77">
        <f ca="1">INT((J292*Valores!$C$2*100)+0.5)/100</f>
        <v>0</v>
      </c>
      <c r="L292" s="120">
        <v>0</v>
      </c>
      <c r="M292" s="77">
        <f ca="1">INT((L292*Valores!$C$2*100)+0.5)/100</f>
        <v>0</v>
      </c>
      <c r="N292" s="77">
        <f t="shared" ca="1" si="55"/>
        <v>0</v>
      </c>
      <c r="O292" s="77">
        <f t="shared" ca="1" si="56"/>
        <v>13993</v>
      </c>
      <c r="P292" s="61">
        <f ca="1">Valores!$C$14*D292</f>
        <v>3674.24</v>
      </c>
      <c r="Q292" s="61">
        <f ca="1">IF(D292&lt;15,(Valores!$E$4*D292),Valores!$D$4)</f>
        <v>2296.75</v>
      </c>
      <c r="R292" s="77">
        <v>0</v>
      </c>
      <c r="S292" s="79">
        <f ca="1">Valores!$C$45*D292</f>
        <v>1012.48</v>
      </c>
      <c r="T292" s="61">
        <f ca="1">Valores!$C$22*D292</f>
        <v>1485.76</v>
      </c>
      <c r="U292" s="77">
        <f t="shared" ca="1" si="45"/>
        <v>2971.52</v>
      </c>
      <c r="V292" s="77">
        <v>0</v>
      </c>
      <c r="W292" s="77">
        <v>0</v>
      </c>
      <c r="X292" s="37">
        <v>0</v>
      </c>
      <c r="Y292" s="77">
        <f ca="1">X292*Valores!$C$2</f>
        <v>0</v>
      </c>
      <c r="Z292" s="77">
        <v>0</v>
      </c>
      <c r="AA292" s="89">
        <f ca="1">(Valores!$C$32)*D292</f>
        <v>168.96</v>
      </c>
      <c r="AB292" s="77">
        <f t="shared" ca="1" si="49"/>
        <v>0</v>
      </c>
      <c r="AC292" s="77">
        <v>131.68</v>
      </c>
      <c r="AD292" s="116">
        <v>94</v>
      </c>
      <c r="AE292" s="77">
        <f ca="1">INT(((AD292*Valores!$C$2)*100)+0.5)/100</f>
        <v>482.66</v>
      </c>
      <c r="AF292" s="77">
        <f t="shared" ca="1" si="59"/>
        <v>535.74</v>
      </c>
      <c r="AG292" s="77">
        <f t="shared" ca="1" si="60"/>
        <v>153.08000000000001</v>
      </c>
      <c r="AH292" s="77">
        <f ca="1">SUM(G292,I292,K292,M292,N292,O292,P292,Q292,R292,S292,U292,V292,W292,Y292,Z292,AA292,AB292,AC292,AE292,AF292,AG292)*Valores!$C$54</f>
        <v>0</v>
      </c>
      <c r="AI292" s="141">
        <f t="shared" ca="1" si="52"/>
        <v>38400.630000000005</v>
      </c>
      <c r="AJ292" s="61">
        <f ca="1">(Valores!$C$36*$D$222)+0.04</f>
        <v>363.94000000000005</v>
      </c>
      <c r="AK292" s="79">
        <f ca="1">Valores!$C$11*D292</f>
        <v>272.32</v>
      </c>
      <c r="AL292" s="89">
        <v>224.5</v>
      </c>
      <c r="AM292" s="79">
        <f ca="1">IF($G$4="SI",SUM(AK292+AL292),AK292)*Valores!$C$54</f>
        <v>0</v>
      </c>
      <c r="AN292" s="12">
        <f t="shared" ca="1" si="53"/>
        <v>860.76</v>
      </c>
      <c r="AO292" s="13">
        <f ca="1">AI292*-Valores!$C$56</f>
        <v>-4992.081900000001</v>
      </c>
      <c r="AP292" s="13">
        <f ca="1">AI292*-Valores!$C$57</f>
        <v>-192.00315000000003</v>
      </c>
      <c r="AQ292" s="78">
        <f ca="1">AI292*-Valores!$C$58</f>
        <v>-1728.02835</v>
      </c>
      <c r="AR292" s="78">
        <f ca="1">AI292*-Valores!$C$59</f>
        <v>-1036.8170100000002</v>
      </c>
      <c r="AS292" s="78">
        <f ca="1">AI292*-Valores!$C$60</f>
        <v>-115.20189000000002</v>
      </c>
      <c r="AT292" s="15">
        <f t="shared" ca="1" si="50"/>
        <v>32349.276600000008</v>
      </c>
      <c r="AU292" s="15">
        <f t="shared" ca="1" si="51"/>
        <v>32925.28605000001</v>
      </c>
      <c r="AV292" s="78">
        <f ca="1">AI292*Valores!$C$61</f>
        <v>6144.1008000000011</v>
      </c>
      <c r="AW292" s="78">
        <f ca="1">AI292*Valores!$C$62</f>
        <v>1728.02835</v>
      </c>
      <c r="AX292" s="78">
        <f ca="1">AI292*Valores!$C$64</f>
        <v>384.00630000000007</v>
      </c>
      <c r="AY292" s="78">
        <f ca="1">AI292*Valores!$C$65</f>
        <v>1344.0220500000003</v>
      </c>
      <c r="AZ292" s="78">
        <f ca="1">AI292*Valores!$C$66</f>
        <v>230.40378000000004</v>
      </c>
      <c r="BA292" s="78">
        <f t="shared" ca="1" si="54"/>
        <v>2073.6340200000004</v>
      </c>
      <c r="BB292" s="20"/>
      <c r="BC292" s="20">
        <f t="shared" ca="1" si="58"/>
        <v>128</v>
      </c>
      <c r="BD292" s="9" t="s">
        <v>466</v>
      </c>
    </row>
    <row r="293" spans="1:56" s="9" customFormat="1" ht="11.25" customHeight="1" x14ac:dyDescent="0.15">
      <c r="A293" s="20">
        <v>292</v>
      </c>
      <c r="B293" s="20"/>
      <c r="C293" s="9" t="s">
        <v>355</v>
      </c>
      <c r="D293" s="9">
        <v>33</v>
      </c>
      <c r="E293" s="10" t="str">
        <f ca="1">CONCATENATE("Hora Cátedra Enseñanza Media ",D293," hs")</f>
        <v>Hora Cátedra Enseñanza Media 33 hs</v>
      </c>
      <c r="F293" s="123">
        <f t="shared" ref="F293:F300" ca="1" si="61">79*D293</f>
        <v>2607</v>
      </c>
      <c r="G293" s="7">
        <f ca="1">INT((F293*Valores!$C$2*100)+0.5)/100</f>
        <v>13386.16</v>
      </c>
      <c r="H293" s="134">
        <v>0</v>
      </c>
      <c r="I293" s="77">
        <f ca="1">INT((H293*Valores!$C$2*100)+0.5)/100</f>
        <v>0</v>
      </c>
      <c r="J293" s="147">
        <v>0</v>
      </c>
      <c r="K293" s="77">
        <f ca="1">INT((J293*Valores!$C$2*100)+0.5)/100</f>
        <v>0</v>
      </c>
      <c r="L293" s="120">
        <v>0</v>
      </c>
      <c r="M293" s="77">
        <f ca="1">INT((L293*Valores!$C$2*100)+0.5)/100</f>
        <v>0</v>
      </c>
      <c r="N293" s="77">
        <f t="shared" ca="1" si="55"/>
        <v>0</v>
      </c>
      <c r="O293" s="77">
        <f t="shared" ca="1" si="56"/>
        <v>14430.28</v>
      </c>
      <c r="P293" s="61">
        <f ca="1">Valores!$C$14*D293</f>
        <v>3789.06</v>
      </c>
      <c r="Q293" s="61">
        <f ca="1">IF(D293&lt;15,(Valores!$E$4*D293),Valores!$D$4)</f>
        <v>2296.75</v>
      </c>
      <c r="R293" s="77">
        <v>0</v>
      </c>
      <c r="S293" s="79">
        <f ca="1">Valores!$C$45*D293</f>
        <v>1044.1200000000001</v>
      </c>
      <c r="T293" s="61">
        <f ca="1">Valores!$C$22*D293</f>
        <v>1532.19</v>
      </c>
      <c r="U293" s="77">
        <f t="shared" ca="1" si="45"/>
        <v>3064.38</v>
      </c>
      <c r="V293" s="77">
        <v>0</v>
      </c>
      <c r="W293" s="77">
        <v>0</v>
      </c>
      <c r="X293" s="37">
        <v>0</v>
      </c>
      <c r="Y293" s="77">
        <f ca="1">X293*Valores!$C$2</f>
        <v>0</v>
      </c>
      <c r="Z293" s="77">
        <v>0</v>
      </c>
      <c r="AA293" s="89">
        <f ca="1">(Valores!$C$32)*D293</f>
        <v>174.24</v>
      </c>
      <c r="AB293" s="77">
        <f t="shared" ca="1" si="49"/>
        <v>0</v>
      </c>
      <c r="AC293" s="77">
        <v>131.68</v>
      </c>
      <c r="AD293" s="116">
        <v>0</v>
      </c>
      <c r="AE293" s="77">
        <f ca="1">INT(((AD293*Valores!$C$2)*100)+0.5)/100</f>
        <v>0</v>
      </c>
      <c r="AF293" s="77">
        <f t="shared" ca="1" si="59"/>
        <v>535.74</v>
      </c>
      <c r="AG293" s="77">
        <f t="shared" ca="1" si="60"/>
        <v>153.08000000000001</v>
      </c>
      <c r="AH293" s="77">
        <f ca="1">SUM(G293,I293,K293,M293,N293,O293,P293,Q293,R293,S293,U293,V293,W293,Y293,Z293,AA293,AB293,AC293,AE293,AF293,AG293)*Valores!$C$54</f>
        <v>0</v>
      </c>
      <c r="AI293" s="141">
        <f t="shared" ca="1" si="52"/>
        <v>39005.49</v>
      </c>
      <c r="AJ293" s="61">
        <f ca="1">(Valores!$C$36*$D$222)+0.04</f>
        <v>363.94000000000005</v>
      </c>
      <c r="AK293" s="79">
        <f ca="1">Valores!$C$11*D293</f>
        <v>280.83</v>
      </c>
      <c r="AL293" s="89">
        <v>224.5</v>
      </c>
      <c r="AM293" s="79">
        <f ca="1">IF($G$4="SI",SUM(AK293+AL293),AK293)*Valores!$C$54</f>
        <v>0</v>
      </c>
      <c r="AN293" s="12">
        <f t="shared" ca="1" si="53"/>
        <v>869.27</v>
      </c>
      <c r="AO293" s="13">
        <f ca="1">AI293*-Valores!$C$56</f>
        <v>-5070.7137000000002</v>
      </c>
      <c r="AP293" s="13">
        <f ca="1">AI293*-Valores!$C$57</f>
        <v>-195.02744999999999</v>
      </c>
      <c r="AQ293" s="78">
        <f ca="1">AI293*-Valores!$C$58</f>
        <v>-1755.2470499999999</v>
      </c>
      <c r="AR293" s="78">
        <f ca="1">AI293*-Valores!$C$59</f>
        <v>-1053.14823</v>
      </c>
      <c r="AS293" s="78">
        <f ca="1">AI293*-Valores!$C$60</f>
        <v>-117.01647</v>
      </c>
      <c r="AT293" s="15">
        <f t="shared" ca="1" si="50"/>
        <v>32853.771799999995</v>
      </c>
      <c r="AU293" s="15">
        <f t="shared" ca="1" si="51"/>
        <v>33438.854149999992</v>
      </c>
      <c r="AV293" s="78">
        <f ca="1">AI293*Valores!$C$61</f>
        <v>6240.8783999999996</v>
      </c>
      <c r="AW293" s="78">
        <f ca="1">AI293*Valores!$C$62</f>
        <v>1755.2470499999999</v>
      </c>
      <c r="AX293" s="78">
        <f ca="1">AI293*Valores!$C$64</f>
        <v>390.05489999999998</v>
      </c>
      <c r="AY293" s="78">
        <f ca="1">AI293*Valores!$C$65</f>
        <v>1365.1921500000001</v>
      </c>
      <c r="AZ293" s="78">
        <f ca="1">AI293*Valores!$C$66</f>
        <v>234.03294</v>
      </c>
      <c r="BA293" s="78">
        <f t="shared" ca="1" si="54"/>
        <v>2106.29646</v>
      </c>
      <c r="BB293" s="20"/>
      <c r="BC293" s="20">
        <f t="shared" ca="1" si="58"/>
        <v>132</v>
      </c>
      <c r="BD293" s="9" t="s">
        <v>466</v>
      </c>
    </row>
    <row r="294" spans="1:56" s="9" customFormat="1" ht="11.25" customHeight="1" x14ac:dyDescent="0.15">
      <c r="A294" s="20">
        <v>293</v>
      </c>
      <c r="B294" s="20"/>
      <c r="C294" s="9" t="s">
        <v>355</v>
      </c>
      <c r="D294" s="9">
        <v>33</v>
      </c>
      <c r="E294" s="9" t="str">
        <f ca="1">CONCATENATE("Hora Cátedra Enseñanza Media ",D294," hs Esc Esp")</f>
        <v>Hora Cátedra Enseñanza Media 33 hs Esc Esp</v>
      </c>
      <c r="F294" s="127">
        <f t="shared" ca="1" si="61"/>
        <v>2607</v>
      </c>
      <c r="G294" s="13">
        <f ca="1">INT((F294*Valores!$C$2*100)+0.5)/100</f>
        <v>13386.16</v>
      </c>
      <c r="H294" s="135">
        <v>0</v>
      </c>
      <c r="I294" s="61">
        <f ca="1">INT((H294*Valores!$C$2*100)+0.5)/100</f>
        <v>0</v>
      </c>
      <c r="J294" s="149">
        <v>0</v>
      </c>
      <c r="K294" s="61">
        <f ca="1">INT((J294*Valores!$C$2*100)+0.5)/100</f>
        <v>0</v>
      </c>
      <c r="L294" s="122">
        <v>0</v>
      </c>
      <c r="M294" s="61">
        <f ca="1">INT((L294*Valores!$C$2*100)+0.5)/100</f>
        <v>0</v>
      </c>
      <c r="N294" s="61">
        <f t="shared" ca="1" si="55"/>
        <v>0</v>
      </c>
      <c r="O294" s="61">
        <f t="shared" ca="1" si="56"/>
        <v>14430.28</v>
      </c>
      <c r="P294" s="61">
        <f ca="1">Valores!$C$14*D294</f>
        <v>3789.06</v>
      </c>
      <c r="Q294" s="61">
        <f ca="1">IF(D294&lt;15,(Valores!$E$4*D294),Valores!$D$4)</f>
        <v>2296.75</v>
      </c>
      <c r="R294" s="61">
        <v>0</v>
      </c>
      <c r="S294" s="61">
        <f ca="1">Valores!$C$45*D294</f>
        <v>1044.1200000000001</v>
      </c>
      <c r="T294" s="61">
        <f ca="1">Valores!$C$22*D294</f>
        <v>1532.19</v>
      </c>
      <c r="U294" s="61">
        <f t="shared" ca="1" si="45"/>
        <v>3064.38</v>
      </c>
      <c r="V294" s="61">
        <v>0</v>
      </c>
      <c r="W294" s="61">
        <v>0</v>
      </c>
      <c r="X294" s="61">
        <v>0</v>
      </c>
      <c r="Y294" s="61">
        <f ca="1">X294*Valores!$C$2</f>
        <v>0</v>
      </c>
      <c r="Z294" s="61">
        <v>0</v>
      </c>
      <c r="AA294" s="61">
        <f ca="1">(Valores!$C$32)*D294</f>
        <v>174.24</v>
      </c>
      <c r="AB294" s="61">
        <f t="shared" ca="1" si="49"/>
        <v>0</v>
      </c>
      <c r="AC294" s="61">
        <v>131.68</v>
      </c>
      <c r="AD294" s="117">
        <v>94</v>
      </c>
      <c r="AE294" s="61">
        <f ca="1">INT(((AD294*Valores!$C$2)*100)+0.5)/100</f>
        <v>482.66</v>
      </c>
      <c r="AF294" s="61">
        <f t="shared" ca="1" si="59"/>
        <v>535.74</v>
      </c>
      <c r="AG294" s="61">
        <f t="shared" ca="1" si="60"/>
        <v>153.08000000000001</v>
      </c>
      <c r="AH294" s="61">
        <f ca="1">SUM(G294,I294,K294,M294,N294,O294,P294,Q294,R294,S294,U294,V294,W294,Y294,Z294,AA294,AB294,AC294,AE294,AF294,AG294)*Valores!$C$54</f>
        <v>0</v>
      </c>
      <c r="AI294" s="13">
        <f t="shared" ca="1" si="52"/>
        <v>39488.15</v>
      </c>
      <c r="AJ294" s="13">
        <f ca="1">(Valores!$C$36*$D$222)+0.04</f>
        <v>363.94000000000005</v>
      </c>
      <c r="AK294" s="79">
        <f ca="1">Valores!$C$11*D294</f>
        <v>280.83</v>
      </c>
      <c r="AL294" s="89">
        <v>224.5</v>
      </c>
      <c r="AM294" s="79">
        <f ca="1">IF($G$4="SI",SUM(AK294+AL294),AK294)*Valores!$C$54</f>
        <v>0</v>
      </c>
      <c r="AN294" s="12">
        <f t="shared" ca="1" si="53"/>
        <v>869.27</v>
      </c>
      <c r="AO294" s="13">
        <f ca="1">AI294*-Valores!$C$56</f>
        <v>-5133.4594999999999</v>
      </c>
      <c r="AP294" s="13">
        <f ca="1">AI294*-Valores!$C$57</f>
        <v>-197.44075000000001</v>
      </c>
      <c r="AQ294" s="61">
        <f ca="1">AI294*-Valores!$C$58</f>
        <v>-1776.96675</v>
      </c>
      <c r="AR294" s="61">
        <f ca="1">AI294*-Valores!$C$59</f>
        <v>-1066.1800500000002</v>
      </c>
      <c r="AS294" s="61">
        <f ca="1">AI294*-Valores!$C$60</f>
        <v>-118.46445000000001</v>
      </c>
      <c r="AT294" s="141">
        <f t="shared" ca="1" si="50"/>
        <v>33249.553</v>
      </c>
      <c r="AU294" s="141">
        <f t="shared" ca="1" si="51"/>
        <v>33841.875249999997</v>
      </c>
      <c r="AV294" s="78">
        <f ca="1">AI294*Valores!$C$61</f>
        <v>6318.1040000000003</v>
      </c>
      <c r="AW294" s="78">
        <f ca="1">AI294*Valores!$C$62</f>
        <v>1776.96675</v>
      </c>
      <c r="AX294" s="78">
        <f ca="1">AI294*Valores!$C$64</f>
        <v>394.88150000000002</v>
      </c>
      <c r="AY294" s="78">
        <f ca="1">AI294*Valores!$C$65</f>
        <v>1382.0852500000001</v>
      </c>
      <c r="AZ294" s="78">
        <f ca="1">AI294*Valores!$C$66</f>
        <v>236.92890000000003</v>
      </c>
      <c r="BA294" s="78">
        <f t="shared" ca="1" si="54"/>
        <v>2132.3600999999999</v>
      </c>
      <c r="BC294" s="52">
        <f t="shared" ca="1" si="58"/>
        <v>132</v>
      </c>
      <c r="BD294" s="9" t="s">
        <v>466</v>
      </c>
    </row>
    <row r="295" spans="1:56" s="9" customFormat="1" ht="11.25" customHeight="1" x14ac:dyDescent="0.15">
      <c r="A295" s="20">
        <v>294</v>
      </c>
      <c r="B295" s="20"/>
      <c r="C295" s="9" t="s">
        <v>355</v>
      </c>
      <c r="D295" s="9">
        <v>34</v>
      </c>
      <c r="E295" s="10" t="str">
        <f ca="1">CONCATENATE("Hora Cátedra Enseñanza Media ",D295," hs")</f>
        <v>Hora Cátedra Enseñanza Media 34 hs</v>
      </c>
      <c r="F295" s="123">
        <f t="shared" ca="1" si="61"/>
        <v>2686</v>
      </c>
      <c r="G295" s="7">
        <f ca="1">INT((F295*Valores!$C$2*100)+0.5)/100</f>
        <v>13791.8</v>
      </c>
      <c r="H295" s="134">
        <v>0</v>
      </c>
      <c r="I295" s="77">
        <f ca="1">INT((H295*Valores!$C$2*100)+0.5)/100</f>
        <v>0</v>
      </c>
      <c r="J295" s="147">
        <v>0</v>
      </c>
      <c r="K295" s="77">
        <f ca="1">INT((J295*Valores!$C$2*100)+0.5)/100</f>
        <v>0</v>
      </c>
      <c r="L295" s="120">
        <v>0</v>
      </c>
      <c r="M295" s="77">
        <f ca="1">INT((L295*Valores!$C$2*100)+0.5)/100</f>
        <v>0</v>
      </c>
      <c r="N295" s="77">
        <f t="shared" ca="1" si="55"/>
        <v>0</v>
      </c>
      <c r="O295" s="77">
        <f t="shared" ca="1" si="56"/>
        <v>14867.56</v>
      </c>
      <c r="P295" s="61">
        <f ca="1">Valores!$C$14*D295</f>
        <v>3903.8799999999997</v>
      </c>
      <c r="Q295" s="61">
        <f ca="1">IF(D295&lt;15,(Valores!$E$4*D295),Valores!$D$4)</f>
        <v>2296.75</v>
      </c>
      <c r="R295" s="77">
        <v>0</v>
      </c>
      <c r="S295" s="79">
        <f ca="1">Valores!$C$45*D295</f>
        <v>1075.76</v>
      </c>
      <c r="T295" s="61">
        <f ca="1">Valores!$C$22*D295</f>
        <v>1578.62</v>
      </c>
      <c r="U295" s="77">
        <f t="shared" ca="1" si="45"/>
        <v>3157.24</v>
      </c>
      <c r="V295" s="77">
        <v>0</v>
      </c>
      <c r="W295" s="77">
        <v>0</v>
      </c>
      <c r="X295" s="37">
        <v>0</v>
      </c>
      <c r="Y295" s="77">
        <f ca="1">X295*Valores!$C$2</f>
        <v>0</v>
      </c>
      <c r="Z295" s="77">
        <v>0</v>
      </c>
      <c r="AA295" s="89">
        <f ca="1">(Valores!$C$32)*D295</f>
        <v>179.52</v>
      </c>
      <c r="AB295" s="77">
        <f t="shared" ca="1" si="49"/>
        <v>0</v>
      </c>
      <c r="AC295" s="77">
        <v>131.68</v>
      </c>
      <c r="AD295" s="116">
        <v>0</v>
      </c>
      <c r="AE295" s="77">
        <f ca="1">INT(((AD295*Valores!$C$2)*100)+0.5)/100</f>
        <v>0</v>
      </c>
      <c r="AF295" s="77">
        <f t="shared" ca="1" si="59"/>
        <v>535.74</v>
      </c>
      <c r="AG295" s="77">
        <f t="shared" ca="1" si="60"/>
        <v>153.08000000000001</v>
      </c>
      <c r="AH295" s="77">
        <f ca="1">SUM(G295,I295,K295,M295,N295,O295,P295,Q295,R295,S295,U295,V295,W295,Y295,Z295,AA295,AB295,AC295,AE295,AF295,AG295)*Valores!$C$54</f>
        <v>0</v>
      </c>
      <c r="AI295" s="141">
        <f t="shared" ca="1" si="52"/>
        <v>40093.01</v>
      </c>
      <c r="AJ295" s="61">
        <f ca="1">(Valores!$C$36*$D$222)+0.04</f>
        <v>363.94000000000005</v>
      </c>
      <c r="AK295" s="79">
        <f ca="1">Valores!$C$11*D295</f>
        <v>289.33999999999997</v>
      </c>
      <c r="AL295" s="89">
        <v>224.5</v>
      </c>
      <c r="AM295" s="79">
        <f ca="1">IF($G$4="SI",SUM(AK295+AL295),AK295)*Valores!$C$54</f>
        <v>0</v>
      </c>
      <c r="AN295" s="12">
        <f t="shared" ca="1" si="53"/>
        <v>877.78</v>
      </c>
      <c r="AO295" s="13">
        <f ca="1">AI295*-Valores!$C$56</f>
        <v>-5212.0913</v>
      </c>
      <c r="AP295" s="13">
        <f ca="1">AI295*-Valores!$C$57</f>
        <v>-200.46505000000002</v>
      </c>
      <c r="AQ295" s="78">
        <f ca="1">AI295*-Valores!$C$58</f>
        <v>-1804.1854499999999</v>
      </c>
      <c r="AR295" s="78">
        <f ca="1">AI295*-Valores!$C$59</f>
        <v>-1082.5112700000002</v>
      </c>
      <c r="AS295" s="78">
        <f ca="1">AI295*-Valores!$C$60</f>
        <v>-120.27903000000001</v>
      </c>
      <c r="AT295" s="15">
        <f t="shared" ca="1" si="50"/>
        <v>33754.048200000005</v>
      </c>
      <c r="AU295" s="15">
        <f t="shared" ca="1" si="51"/>
        <v>34355.443350000001</v>
      </c>
      <c r="AV295" s="78">
        <f ca="1">AI295*Valores!$C$61</f>
        <v>6414.8816000000006</v>
      </c>
      <c r="AW295" s="78">
        <f ca="1">AI295*Valores!$C$62</f>
        <v>1804.1854499999999</v>
      </c>
      <c r="AX295" s="78">
        <f ca="1">AI295*Valores!$C$64</f>
        <v>400.93010000000004</v>
      </c>
      <c r="AY295" s="78">
        <f ca="1">AI295*Valores!$C$65</f>
        <v>1403.2553500000001</v>
      </c>
      <c r="AZ295" s="78">
        <f ca="1">AI295*Valores!$C$66</f>
        <v>240.55806000000001</v>
      </c>
      <c r="BA295" s="78">
        <f t="shared" ca="1" si="54"/>
        <v>2165.0225399999999</v>
      </c>
      <c r="BB295" s="20"/>
      <c r="BC295" s="20">
        <f t="shared" ca="1" si="58"/>
        <v>136</v>
      </c>
      <c r="BD295" s="9" t="s">
        <v>466</v>
      </c>
    </row>
    <row r="296" spans="1:56" s="9" customFormat="1" ht="11.25" customHeight="1" x14ac:dyDescent="0.15">
      <c r="A296" s="55">
        <v>295</v>
      </c>
      <c r="B296" s="55" t="s">
        <v>462</v>
      </c>
      <c r="C296" s="52" t="s">
        <v>355</v>
      </c>
      <c r="D296" s="52">
        <v>34</v>
      </c>
      <c r="E296" s="53" t="str">
        <f ca="1">CONCATENATE("Hora Cátedra Enseñanza Media ",D296," hs Esc Esp")</f>
        <v>Hora Cátedra Enseñanza Media 34 hs Esc Esp</v>
      </c>
      <c r="F296" s="124">
        <f t="shared" ca="1" si="61"/>
        <v>2686</v>
      </c>
      <c r="G296" s="129">
        <f ca="1">INT((F296*Valores!$C$2*100)+0.5)/100</f>
        <v>13791.8</v>
      </c>
      <c r="H296" s="133">
        <v>0</v>
      </c>
      <c r="I296" s="80">
        <f ca="1">INT((H296*Valores!$C$2*100)+0.5)/100</f>
        <v>0</v>
      </c>
      <c r="J296" s="148">
        <v>0</v>
      </c>
      <c r="K296" s="80">
        <f ca="1">INT((J296*Valores!$C$2*100)+0.5)/100</f>
        <v>0</v>
      </c>
      <c r="L296" s="121">
        <v>0</v>
      </c>
      <c r="M296" s="80">
        <f ca="1">INT((L296*Valores!$C$2*100)+0.5)/100</f>
        <v>0</v>
      </c>
      <c r="N296" s="80">
        <f t="shared" ca="1" si="55"/>
        <v>0</v>
      </c>
      <c r="O296" s="80">
        <f t="shared" ca="1" si="56"/>
        <v>14867.56</v>
      </c>
      <c r="P296" s="85">
        <f ca="1">Valores!$C$14*D296</f>
        <v>3903.8799999999997</v>
      </c>
      <c r="Q296" s="85">
        <f ca="1">IF(D296&lt;15,(Valores!$E$4*D296),Valores!$D$4)</f>
        <v>2296.75</v>
      </c>
      <c r="R296" s="80">
        <v>0</v>
      </c>
      <c r="S296" s="82">
        <f ca="1">Valores!$C$45*D296</f>
        <v>1075.76</v>
      </c>
      <c r="T296" s="85">
        <f ca="1">Valores!$C$22*D296</f>
        <v>1578.62</v>
      </c>
      <c r="U296" s="80">
        <f t="shared" ca="1" si="45"/>
        <v>3157.24</v>
      </c>
      <c r="V296" s="80">
        <v>0</v>
      </c>
      <c r="W296" s="80">
        <v>0</v>
      </c>
      <c r="X296" s="60">
        <v>0</v>
      </c>
      <c r="Y296" s="80">
        <f ca="1">X296*Valores!$C$2</f>
        <v>0</v>
      </c>
      <c r="Z296" s="80">
        <v>0</v>
      </c>
      <c r="AA296" s="90">
        <f ca="1">(Valores!$C$32)*D296</f>
        <v>179.52</v>
      </c>
      <c r="AB296" s="80">
        <f t="shared" ca="1" si="49"/>
        <v>0</v>
      </c>
      <c r="AC296" s="80">
        <v>131.68</v>
      </c>
      <c r="AD296" s="115">
        <v>94</v>
      </c>
      <c r="AE296" s="80">
        <f ca="1">INT(((AD296*Valores!$C$2)*100)+0.5)/100</f>
        <v>482.66</v>
      </c>
      <c r="AF296" s="80">
        <f t="shared" ca="1" si="59"/>
        <v>535.74</v>
      </c>
      <c r="AG296" s="80">
        <f t="shared" ca="1" si="60"/>
        <v>153.08000000000001</v>
      </c>
      <c r="AH296" s="80">
        <f ca="1">SUM(G296,I296,K296,M296,N296,O296,P296,Q296,R296,S296,U296,V296,W296,Y296,Z296,AA296,AB296,AC296,AE296,AF296,AG296)*Valores!$C$54</f>
        <v>0</v>
      </c>
      <c r="AI296" s="142">
        <f t="shared" ca="1" si="52"/>
        <v>40575.670000000006</v>
      </c>
      <c r="AJ296" s="85">
        <f ca="1">(Valores!$C$36*$D$222)+0.04</f>
        <v>363.94000000000005</v>
      </c>
      <c r="AK296" s="82">
        <f ca="1">Valores!$C$11*D296</f>
        <v>289.33999999999997</v>
      </c>
      <c r="AL296" s="90">
        <v>224.5</v>
      </c>
      <c r="AM296" s="82">
        <f ca="1">IF($G$4="SI",SUM(AK296+AL296),AK296)*Valores!$C$54</f>
        <v>0</v>
      </c>
      <c r="AN296" s="186">
        <f t="shared" ca="1" si="53"/>
        <v>877.78</v>
      </c>
      <c r="AO296" s="155">
        <f ca="1">AI296*-Valores!$C$56</f>
        <v>-5274.8371000000006</v>
      </c>
      <c r="AP296" s="155">
        <f ca="1">AI296*-Valores!$C$57</f>
        <v>-202.87835000000004</v>
      </c>
      <c r="AQ296" s="81">
        <f ca="1">AI296*-Valores!$C$58</f>
        <v>-1825.9051500000003</v>
      </c>
      <c r="AR296" s="81">
        <f ca="1">AI296*-Valores!$C$59</f>
        <v>-1095.5430900000003</v>
      </c>
      <c r="AS296" s="81">
        <f ca="1">AI296*-Valores!$C$60</f>
        <v>-121.72701000000002</v>
      </c>
      <c r="AT296" s="54">
        <f t="shared" ca="1" si="50"/>
        <v>34149.829400000002</v>
      </c>
      <c r="AU296" s="54">
        <f t="shared" ca="1" si="51"/>
        <v>34758.464449999999</v>
      </c>
      <c r="AV296" s="81">
        <f ca="1">AI296*Valores!$C$61</f>
        <v>6492.1072000000013</v>
      </c>
      <c r="AW296" s="81">
        <f ca="1">AI296*Valores!$C$62</f>
        <v>1825.9051500000003</v>
      </c>
      <c r="AX296" s="81">
        <f ca="1">AI296*Valores!$C$64</f>
        <v>405.75670000000008</v>
      </c>
      <c r="AY296" s="81">
        <f ca="1">AI296*Valores!$C$65</f>
        <v>1420.1484500000004</v>
      </c>
      <c r="AZ296" s="81">
        <f ca="1">AI296*Valores!$C$66</f>
        <v>243.45402000000004</v>
      </c>
      <c r="BA296" s="81">
        <f t="shared" ca="1" si="54"/>
        <v>2191.0861800000002</v>
      </c>
      <c r="BB296" s="55"/>
      <c r="BC296" s="55">
        <f t="shared" ca="1" si="58"/>
        <v>136</v>
      </c>
      <c r="BD296" s="52" t="s">
        <v>466</v>
      </c>
    </row>
    <row r="297" spans="1:56" s="9" customFormat="1" ht="11.25" customHeight="1" x14ac:dyDescent="0.15">
      <c r="A297" s="20">
        <v>296</v>
      </c>
      <c r="B297" s="20"/>
      <c r="C297" s="9" t="s">
        <v>355</v>
      </c>
      <c r="D297" s="9">
        <v>35</v>
      </c>
      <c r="E297" s="10" t="str">
        <f ca="1">CONCATENATE("Hora Cátedra Enseñanza Media ",D297," hs")</f>
        <v>Hora Cátedra Enseñanza Media 35 hs</v>
      </c>
      <c r="F297" s="123">
        <f t="shared" ca="1" si="61"/>
        <v>2765</v>
      </c>
      <c r="G297" s="7">
        <f ca="1">INT((F297*Valores!$C$2*100)+0.5)/100</f>
        <v>14197.45</v>
      </c>
      <c r="H297" s="134">
        <v>0</v>
      </c>
      <c r="I297" s="77">
        <f ca="1">INT((H297*Valores!$C$2*100)+0.5)/100</f>
        <v>0</v>
      </c>
      <c r="J297" s="147">
        <v>0</v>
      </c>
      <c r="K297" s="77">
        <f ca="1">INT((J297*Valores!$C$2*100)+0.5)/100</f>
        <v>0</v>
      </c>
      <c r="L297" s="120">
        <v>0</v>
      </c>
      <c r="M297" s="77">
        <f ca="1">INT((L297*Valores!$C$2*100)+0.5)/100</f>
        <v>0</v>
      </c>
      <c r="N297" s="77">
        <f t="shared" ca="1" si="55"/>
        <v>0</v>
      </c>
      <c r="O297" s="77">
        <f t="shared" ca="1" si="56"/>
        <v>15304.85</v>
      </c>
      <c r="P297" s="61">
        <f ca="1">Valores!$C$14*D297</f>
        <v>4018.7</v>
      </c>
      <c r="Q297" s="61">
        <f ca="1">IF(D297&lt;15,(Valores!$E$4*D297),Valores!$D$4)</f>
        <v>2296.75</v>
      </c>
      <c r="R297" s="77">
        <v>0</v>
      </c>
      <c r="S297" s="79">
        <f ca="1">Valores!$C$45*D297</f>
        <v>1107.4000000000001</v>
      </c>
      <c r="T297" s="61">
        <f ca="1">Valores!$C$22*D297</f>
        <v>1625.05</v>
      </c>
      <c r="U297" s="77">
        <f t="shared" ca="1" si="45"/>
        <v>3250.1</v>
      </c>
      <c r="V297" s="77">
        <v>0</v>
      </c>
      <c r="W297" s="77">
        <v>0</v>
      </c>
      <c r="X297" s="37">
        <v>0</v>
      </c>
      <c r="Y297" s="77">
        <f ca="1">X297*Valores!$C$2</f>
        <v>0</v>
      </c>
      <c r="Z297" s="77">
        <v>0</v>
      </c>
      <c r="AA297" s="89">
        <f ca="1">(Valores!$C$32)*D297</f>
        <v>184.8</v>
      </c>
      <c r="AB297" s="77">
        <f t="shared" ca="1" si="49"/>
        <v>0</v>
      </c>
      <c r="AC297" s="77">
        <v>131.68</v>
      </c>
      <c r="AD297" s="116">
        <v>0</v>
      </c>
      <c r="AE297" s="77">
        <f ca="1">INT(((AD297*Valores!$C$2)*100)+0.5)/100</f>
        <v>0</v>
      </c>
      <c r="AF297" s="77">
        <f t="shared" ca="1" si="59"/>
        <v>535.74</v>
      </c>
      <c r="AG297" s="77">
        <f t="shared" ca="1" si="60"/>
        <v>153.08000000000001</v>
      </c>
      <c r="AH297" s="77">
        <f ca="1">SUM(G297,I297,K297,M297,N297,O297,P297,Q297,R297,S297,U297,V297,W297,Y297,Z297,AA297,AB297,AC297,AE297,AF297,AG297)*Valores!$C$54</f>
        <v>0</v>
      </c>
      <c r="AI297" s="141">
        <f t="shared" ca="1" si="52"/>
        <v>41180.550000000003</v>
      </c>
      <c r="AJ297" s="61">
        <f ca="1">(Valores!$C$36*$D$222)+0.04</f>
        <v>363.94000000000005</v>
      </c>
      <c r="AK297" s="79">
        <f ca="1">Valores!$C$11*D297</f>
        <v>297.84999999999997</v>
      </c>
      <c r="AL297" s="89">
        <v>224.5</v>
      </c>
      <c r="AM297" s="79">
        <f ca="1">IF($G$4="SI",SUM(AK297+AL297),AK297)*Valores!$C$54</f>
        <v>0</v>
      </c>
      <c r="AN297" s="12">
        <f t="shared" ca="1" si="53"/>
        <v>886.29</v>
      </c>
      <c r="AO297" s="13">
        <f ca="1">AI297*-Valores!$C$56</f>
        <v>-5353.4715000000006</v>
      </c>
      <c r="AP297" s="13">
        <f ca="1">AI297*-Valores!$C$57</f>
        <v>-205.90275000000003</v>
      </c>
      <c r="AQ297" s="78">
        <f ca="1">AI297*-Valores!$C$58</f>
        <v>-1853.1247499999999</v>
      </c>
      <c r="AR297" s="78">
        <f ca="1">AI297*-Valores!$C$59</f>
        <v>-1111.8748500000002</v>
      </c>
      <c r="AS297" s="78">
        <f ca="1">AI297*-Valores!$C$60</f>
        <v>-123.54165000000002</v>
      </c>
      <c r="AT297" s="15">
        <f t="shared" ca="1" si="50"/>
        <v>34654.341</v>
      </c>
      <c r="AU297" s="15">
        <f t="shared" ca="1" si="51"/>
        <v>35272.049250000004</v>
      </c>
      <c r="AV297" s="78">
        <f ca="1">AI297*Valores!$C$61</f>
        <v>6588.8880000000008</v>
      </c>
      <c r="AW297" s="78">
        <f ca="1">AI297*Valores!$C$62</f>
        <v>1853.1247499999999</v>
      </c>
      <c r="AX297" s="78">
        <f ca="1">AI297*Valores!$C$64</f>
        <v>411.80550000000005</v>
      </c>
      <c r="AY297" s="78">
        <f ca="1">AI297*Valores!$C$65</f>
        <v>1441.3192500000002</v>
      </c>
      <c r="AZ297" s="78">
        <f ca="1">AI297*Valores!$C$66</f>
        <v>247.08330000000004</v>
      </c>
      <c r="BA297" s="78">
        <f t="shared" ca="1" si="54"/>
        <v>2223.7497000000003</v>
      </c>
      <c r="BB297" s="20"/>
      <c r="BC297" s="20">
        <f t="shared" ca="1" si="58"/>
        <v>140</v>
      </c>
      <c r="BD297" s="9" t="s">
        <v>466</v>
      </c>
    </row>
    <row r="298" spans="1:56" s="9" customFormat="1" ht="11.25" customHeight="1" x14ac:dyDescent="0.15">
      <c r="A298" s="20">
        <v>297</v>
      </c>
      <c r="B298" s="20"/>
      <c r="C298" s="9" t="s">
        <v>355</v>
      </c>
      <c r="D298" s="9">
        <v>35</v>
      </c>
      <c r="E298" s="10" t="str">
        <f ca="1">CONCATENATE("Hora Cátedra Enseñanza Media ",D298," hs Esc Esp")</f>
        <v>Hora Cátedra Enseñanza Media 35 hs Esc Esp</v>
      </c>
      <c r="F298" s="123">
        <f t="shared" ca="1" si="61"/>
        <v>2765</v>
      </c>
      <c r="G298" s="7">
        <f ca="1">INT((F298*Valores!$C$2*100)+0.5)/100</f>
        <v>14197.45</v>
      </c>
      <c r="H298" s="134">
        <v>0</v>
      </c>
      <c r="I298" s="77">
        <f ca="1">INT((H298*Valores!$C$2*100)+0.5)/100</f>
        <v>0</v>
      </c>
      <c r="J298" s="147">
        <v>0</v>
      </c>
      <c r="K298" s="77">
        <f ca="1">INT((J298*Valores!$C$2*100)+0.5)/100</f>
        <v>0</v>
      </c>
      <c r="L298" s="120">
        <v>0</v>
      </c>
      <c r="M298" s="77">
        <f ca="1">INT((L298*Valores!$C$2*100)+0.5)/100</f>
        <v>0</v>
      </c>
      <c r="N298" s="77">
        <f t="shared" ca="1" si="55"/>
        <v>0</v>
      </c>
      <c r="O298" s="77">
        <f t="shared" ca="1" si="56"/>
        <v>15304.85</v>
      </c>
      <c r="P298" s="61">
        <f ca="1">Valores!$C$14*D298</f>
        <v>4018.7</v>
      </c>
      <c r="Q298" s="61">
        <f ca="1">IF(D298&lt;15,(Valores!$E$4*D298),Valores!$D$4)</f>
        <v>2296.75</v>
      </c>
      <c r="R298" s="77">
        <v>0</v>
      </c>
      <c r="S298" s="79">
        <f ca="1">Valores!$C$45*D298</f>
        <v>1107.4000000000001</v>
      </c>
      <c r="T298" s="61">
        <f ca="1">Valores!$C$22*D298</f>
        <v>1625.05</v>
      </c>
      <c r="U298" s="77">
        <f t="shared" ca="1" si="45"/>
        <v>3250.1</v>
      </c>
      <c r="V298" s="77">
        <v>0</v>
      </c>
      <c r="W298" s="77">
        <v>0</v>
      </c>
      <c r="X298" s="37">
        <v>0</v>
      </c>
      <c r="Y298" s="77">
        <f ca="1">X298*Valores!$C$2</f>
        <v>0</v>
      </c>
      <c r="Z298" s="77">
        <v>0</v>
      </c>
      <c r="AA298" s="89">
        <f ca="1">(Valores!$C$32)*D298</f>
        <v>184.8</v>
      </c>
      <c r="AB298" s="77">
        <f t="shared" ca="1" si="49"/>
        <v>0</v>
      </c>
      <c r="AC298" s="77">
        <v>131.68</v>
      </c>
      <c r="AD298" s="116">
        <v>94</v>
      </c>
      <c r="AE298" s="77">
        <f ca="1">INT(((AD298*Valores!$C$2)*100)+0.5)/100</f>
        <v>482.66</v>
      </c>
      <c r="AF298" s="77">
        <f t="shared" ca="1" si="59"/>
        <v>535.74</v>
      </c>
      <c r="AG298" s="77">
        <f t="shared" ca="1" si="60"/>
        <v>153.08000000000001</v>
      </c>
      <c r="AH298" s="77">
        <f ca="1">SUM(G298,I298,K298,M298,N298,O298,P298,Q298,R298,S298,U298,V298,W298,Y298,Z298,AA298,AB298,AC298,AE298,AF298,AG298)*Valores!$C$54</f>
        <v>0</v>
      </c>
      <c r="AI298" s="141">
        <f t="shared" ca="1" si="52"/>
        <v>41663.210000000006</v>
      </c>
      <c r="AJ298" s="61">
        <f ca="1">(Valores!$C$36*$D$222)+0.04</f>
        <v>363.94000000000005</v>
      </c>
      <c r="AK298" s="79">
        <f ca="1">Valores!$C$11*D298</f>
        <v>297.84999999999997</v>
      </c>
      <c r="AL298" s="89">
        <v>224.5</v>
      </c>
      <c r="AM298" s="79">
        <f ca="1">IF($G$4="SI",SUM(AK298+AL298),AK298)*Valores!$C$54</f>
        <v>0</v>
      </c>
      <c r="AN298" s="12">
        <f t="shared" ca="1" si="53"/>
        <v>886.29</v>
      </c>
      <c r="AO298" s="13">
        <f ca="1">AI298*-Valores!$C$56</f>
        <v>-5416.2173000000012</v>
      </c>
      <c r="AP298" s="13">
        <f ca="1">AI298*-Valores!$C$57</f>
        <v>-208.31605000000005</v>
      </c>
      <c r="AQ298" s="78">
        <f ca="1">AI298*-Valores!$C$58</f>
        <v>-1874.8444500000003</v>
      </c>
      <c r="AR298" s="78">
        <f ca="1">AI298*-Valores!$C$59</f>
        <v>-1124.9066700000003</v>
      </c>
      <c r="AS298" s="78">
        <f ca="1">AI298*-Valores!$C$60</f>
        <v>-124.98963000000002</v>
      </c>
      <c r="AT298" s="15">
        <f t="shared" ca="1" si="50"/>
        <v>35050.122200000005</v>
      </c>
      <c r="AU298" s="15">
        <f t="shared" ca="1" si="51"/>
        <v>35675.070350000009</v>
      </c>
      <c r="AV298" s="78">
        <f ca="1">AI298*Valores!$C$61</f>
        <v>6666.1136000000015</v>
      </c>
      <c r="AW298" s="78">
        <f ca="1">AI298*Valores!$C$62</f>
        <v>1874.8444500000003</v>
      </c>
      <c r="AX298" s="78">
        <f ca="1">AI298*Valores!$C$64</f>
        <v>416.63210000000009</v>
      </c>
      <c r="AY298" s="78">
        <f ca="1">AI298*Valores!$C$65</f>
        <v>1458.2123500000005</v>
      </c>
      <c r="AZ298" s="78">
        <f ca="1">AI298*Valores!$C$66</f>
        <v>249.97926000000004</v>
      </c>
      <c r="BA298" s="78">
        <f t="shared" ca="1" si="54"/>
        <v>2249.8133400000006</v>
      </c>
      <c r="BB298" s="20"/>
      <c r="BC298" s="20">
        <f t="shared" ca="1" si="58"/>
        <v>140</v>
      </c>
      <c r="BD298" s="9" t="s">
        <v>466</v>
      </c>
    </row>
    <row r="299" spans="1:56" s="9" customFormat="1" ht="11.25" customHeight="1" x14ac:dyDescent="0.15">
      <c r="A299" s="20">
        <v>298</v>
      </c>
      <c r="B299" s="20"/>
      <c r="C299" s="9" t="s">
        <v>355</v>
      </c>
      <c r="D299" s="9">
        <v>36</v>
      </c>
      <c r="E299" s="10" t="str">
        <f ca="1">CONCATENATE("Hora Cátedra Enseñanza Media ",D299," hs")</f>
        <v>Hora Cátedra Enseñanza Media 36 hs</v>
      </c>
      <c r="F299" s="123">
        <f t="shared" ca="1" si="61"/>
        <v>2844</v>
      </c>
      <c r="G299" s="7">
        <f ca="1">INT((F299*Valores!$C$2*100)+0.5)/100</f>
        <v>14603.09</v>
      </c>
      <c r="H299" s="134">
        <v>0</v>
      </c>
      <c r="I299" s="77">
        <f ca="1">INT((H299*Valores!$C$2*100)+0.5)/100</f>
        <v>0</v>
      </c>
      <c r="J299" s="147">
        <v>0</v>
      </c>
      <c r="K299" s="77">
        <f ca="1">INT((J299*Valores!$C$2*100)+0.5)/100</f>
        <v>0</v>
      </c>
      <c r="L299" s="120">
        <v>0</v>
      </c>
      <c r="M299" s="77">
        <f ca="1">INT((L299*Valores!$C$2*100)+0.5)/100</f>
        <v>0</v>
      </c>
      <c r="N299" s="77">
        <f t="shared" ca="1" si="55"/>
        <v>0</v>
      </c>
      <c r="O299" s="77">
        <f t="shared" ca="1" si="56"/>
        <v>15742.130000000001</v>
      </c>
      <c r="P299" s="61">
        <f ca="1">Valores!$C$14*D299</f>
        <v>4133.5199999999995</v>
      </c>
      <c r="Q299" s="61">
        <f ca="1">IF(D299&lt;15,(Valores!$E$4*D299),Valores!$D$4)</f>
        <v>2296.75</v>
      </c>
      <c r="R299" s="77">
        <v>0</v>
      </c>
      <c r="S299" s="79">
        <f ca="1">Valores!$C$45*D299</f>
        <v>1139.04</v>
      </c>
      <c r="T299" s="61">
        <f ca="1">Valores!$C$22*D299</f>
        <v>1671.48</v>
      </c>
      <c r="U299" s="77">
        <f t="shared" ca="1" si="45"/>
        <v>3342.96</v>
      </c>
      <c r="V299" s="77">
        <v>0</v>
      </c>
      <c r="W299" s="77">
        <v>0</v>
      </c>
      <c r="X299" s="37">
        <v>0</v>
      </c>
      <c r="Y299" s="77">
        <f ca="1">X299*Valores!$C$2</f>
        <v>0</v>
      </c>
      <c r="Z299" s="77">
        <v>0</v>
      </c>
      <c r="AA299" s="89">
        <f ca="1">(Valores!$C$32)*D299</f>
        <v>190.08</v>
      </c>
      <c r="AB299" s="77">
        <f t="shared" ca="1" si="49"/>
        <v>0</v>
      </c>
      <c r="AC299" s="77">
        <v>131.68</v>
      </c>
      <c r="AD299" s="116">
        <v>0</v>
      </c>
      <c r="AE299" s="77">
        <f ca="1">INT(((AD299*Valores!$C$2)*100)+0.5)/100</f>
        <v>0</v>
      </c>
      <c r="AF299" s="77">
        <f t="shared" ca="1" si="59"/>
        <v>535.74</v>
      </c>
      <c r="AG299" s="77">
        <f t="shared" ca="1" si="60"/>
        <v>153.08000000000001</v>
      </c>
      <c r="AH299" s="77">
        <f ca="1">SUM(G299,I299,K299,M299,N299,O299,P299,Q299,R299,S299,U299,V299,W299,Y299,Z299,AA299,AB299,AC299,AE299,AF299,AG299)*Valores!$C$54</f>
        <v>0</v>
      </c>
      <c r="AI299" s="141">
        <f t="shared" ca="1" si="52"/>
        <v>42268.07</v>
      </c>
      <c r="AJ299" s="61">
        <f ca="1">(Valores!$C$36*$D$222)+0.04</f>
        <v>363.94000000000005</v>
      </c>
      <c r="AK299" s="79">
        <f ca="1">(Valores!$C$11*D299)-0.22</f>
        <v>306.14</v>
      </c>
      <c r="AL299" s="89">
        <v>224.5</v>
      </c>
      <c r="AM299" s="79">
        <f ca="1">IF($G$4="SI",SUM(AK299+AL299),AK299)*Valores!$C$54</f>
        <v>0</v>
      </c>
      <c r="AN299" s="12">
        <f t="shared" ca="1" si="53"/>
        <v>894.58</v>
      </c>
      <c r="AO299" s="13">
        <f ca="1">AI299*-Valores!$C$56</f>
        <v>-5494.8491000000004</v>
      </c>
      <c r="AP299" s="13">
        <f ca="1">AI299*-Valores!$C$57</f>
        <v>-211.34035</v>
      </c>
      <c r="AQ299" s="78">
        <f ca="1">AI299*-Valores!$C$58</f>
        <v>-1902.06315</v>
      </c>
      <c r="AR299" s="78">
        <f ca="1">AI299*-Valores!$C$59</f>
        <v>-1141.2378900000001</v>
      </c>
      <c r="AS299" s="78">
        <f ca="1">AI299*-Valores!$C$60</f>
        <v>-126.80421</v>
      </c>
      <c r="AT299" s="15">
        <f t="shared" ca="1" si="50"/>
        <v>35554.397400000002</v>
      </c>
      <c r="AU299" s="15">
        <f t="shared" ca="1" si="51"/>
        <v>36188.418450000005</v>
      </c>
      <c r="AV299" s="78">
        <f ca="1">AI299*Valores!$C$61</f>
        <v>6762.8912</v>
      </c>
      <c r="AW299" s="78">
        <f ca="1">AI299*Valores!$C$62</f>
        <v>1902.06315</v>
      </c>
      <c r="AX299" s="78">
        <f ca="1">AI299*Valores!$C$64</f>
        <v>422.6807</v>
      </c>
      <c r="AY299" s="78">
        <f ca="1">AI299*Valores!$C$65</f>
        <v>1479.3824500000001</v>
      </c>
      <c r="AZ299" s="78">
        <f ca="1">AI299*Valores!$C$66</f>
        <v>253.60842</v>
      </c>
      <c r="BA299" s="78">
        <f t="shared" ca="1" si="54"/>
        <v>2282.4757800000002</v>
      </c>
      <c r="BB299" s="20"/>
      <c r="BC299" s="55">
        <f t="shared" ca="1" si="58"/>
        <v>144</v>
      </c>
      <c r="BD299" s="9" t="s">
        <v>466</v>
      </c>
    </row>
    <row r="300" spans="1:56" s="9" customFormat="1" ht="11.25" customHeight="1" x14ac:dyDescent="0.15">
      <c r="A300" s="20">
        <v>299</v>
      </c>
      <c r="B300" s="20"/>
      <c r="C300" s="9" t="s">
        <v>355</v>
      </c>
      <c r="D300" s="9">
        <v>36</v>
      </c>
      <c r="E300" s="10" t="str">
        <f ca="1">CONCATENATE("Hora Cátedra Enseñanza Media ",D300," hs Esc Esp")</f>
        <v>Hora Cátedra Enseñanza Media 36 hs Esc Esp</v>
      </c>
      <c r="F300" s="123">
        <f t="shared" ca="1" si="61"/>
        <v>2844</v>
      </c>
      <c r="G300" s="7">
        <f ca="1">INT((F300*Valores!$C$2*100)+0.5)/100</f>
        <v>14603.09</v>
      </c>
      <c r="H300" s="134">
        <v>0</v>
      </c>
      <c r="I300" s="77">
        <f ca="1">INT((H300*Valores!$C$2*100)+0.5)/100</f>
        <v>0</v>
      </c>
      <c r="J300" s="147">
        <v>0</v>
      </c>
      <c r="K300" s="77">
        <f ca="1">INT((J300*Valores!$C$2*100)+0.5)/100</f>
        <v>0</v>
      </c>
      <c r="L300" s="120">
        <v>0</v>
      </c>
      <c r="M300" s="77">
        <f ca="1">INT((L300*Valores!$C$2*100)+0.5)/100</f>
        <v>0</v>
      </c>
      <c r="N300" s="77">
        <f t="shared" ca="1" si="55"/>
        <v>0</v>
      </c>
      <c r="O300" s="77">
        <f t="shared" ca="1" si="56"/>
        <v>15742.130000000001</v>
      </c>
      <c r="P300" s="61">
        <f ca="1">Valores!$C$14*D300</f>
        <v>4133.5199999999995</v>
      </c>
      <c r="Q300" s="61">
        <f ca="1">IF(D300&lt;15,(Valores!$E$4*D300),Valores!$D$4)</f>
        <v>2296.75</v>
      </c>
      <c r="R300" s="77">
        <v>0</v>
      </c>
      <c r="S300" s="79">
        <f ca="1">Valores!$C$45*D300</f>
        <v>1139.04</v>
      </c>
      <c r="T300" s="61">
        <f ca="1">Valores!$C$22*D300</f>
        <v>1671.48</v>
      </c>
      <c r="U300" s="77">
        <f t="shared" ca="1" si="45"/>
        <v>3342.96</v>
      </c>
      <c r="V300" s="77">
        <v>0</v>
      </c>
      <c r="W300" s="77">
        <v>0</v>
      </c>
      <c r="X300" s="37">
        <v>0</v>
      </c>
      <c r="Y300" s="77">
        <f ca="1">X300*Valores!$C$2</f>
        <v>0</v>
      </c>
      <c r="Z300" s="77">
        <v>0</v>
      </c>
      <c r="AA300" s="89">
        <f ca="1">(Valores!$C$32)*D300</f>
        <v>190.08</v>
      </c>
      <c r="AB300" s="77">
        <f t="shared" ca="1" si="49"/>
        <v>0</v>
      </c>
      <c r="AC300" s="77">
        <v>131.68</v>
      </c>
      <c r="AD300" s="116">
        <v>94</v>
      </c>
      <c r="AE300" s="77">
        <f ca="1">INT(((AD300*Valores!$C$2)*100)+0.5)/100</f>
        <v>482.66</v>
      </c>
      <c r="AF300" s="77">
        <f t="shared" ca="1" si="59"/>
        <v>535.74</v>
      </c>
      <c r="AG300" s="77">
        <f t="shared" ca="1" si="60"/>
        <v>153.08000000000001</v>
      </c>
      <c r="AH300" s="77">
        <f ca="1">SUM(G300,I300,K300,M300,N300,O300,P300,Q300,R300,S300,U300,V300,W300,Y300,Z300,AA300,AB300,AC300,AE300,AF300,AG300)*Valores!$C$54</f>
        <v>0</v>
      </c>
      <c r="AI300" s="141">
        <f t="shared" ca="1" si="52"/>
        <v>42750.73</v>
      </c>
      <c r="AJ300" s="61">
        <f ca="1">(Valores!$C$36*$D$222)+0.04</f>
        <v>363.94000000000005</v>
      </c>
      <c r="AK300" s="79">
        <f ca="1">(Valores!$C$11*D300)-0.22</f>
        <v>306.14</v>
      </c>
      <c r="AL300" s="89">
        <v>224.5</v>
      </c>
      <c r="AM300" s="79">
        <f ca="1">IF($G$4="SI",SUM(AK300+AL300),AK300)*Valores!$C$54</f>
        <v>0</v>
      </c>
      <c r="AN300" s="12">
        <f t="shared" ca="1" si="53"/>
        <v>894.58</v>
      </c>
      <c r="AO300" s="13">
        <f ca="1">AI300*-Valores!$C$56</f>
        <v>-5557.594900000001</v>
      </c>
      <c r="AP300" s="13">
        <f ca="1">AI300*-Valores!$C$57</f>
        <v>-213.75365000000002</v>
      </c>
      <c r="AQ300" s="78">
        <f ca="1">AI300*-Valores!$C$58</f>
        <v>-1923.7828500000001</v>
      </c>
      <c r="AR300" s="78">
        <f ca="1">AI300*-Valores!$C$59</f>
        <v>-1154.2697100000003</v>
      </c>
      <c r="AS300" s="78">
        <f ca="1">AI300*-Valores!$C$60</f>
        <v>-128.25219000000001</v>
      </c>
      <c r="AT300" s="15">
        <f t="shared" ca="1" si="50"/>
        <v>35950.178599999999</v>
      </c>
      <c r="AU300" s="15">
        <f t="shared" ca="1" si="51"/>
        <v>36591.439550000003</v>
      </c>
      <c r="AV300" s="78">
        <f ca="1">AI300*Valores!$C$61</f>
        <v>6840.1168000000007</v>
      </c>
      <c r="AW300" s="78">
        <f ca="1">AI300*Valores!$C$62</f>
        <v>1923.7828500000001</v>
      </c>
      <c r="AX300" s="78">
        <f ca="1">AI300*Valores!$C$64</f>
        <v>427.50730000000004</v>
      </c>
      <c r="AY300" s="78">
        <f ca="1">AI300*Valores!$C$65</f>
        <v>1496.2755500000003</v>
      </c>
      <c r="AZ300" s="78">
        <f ca="1">AI300*Valores!$C$66</f>
        <v>256.50438000000003</v>
      </c>
      <c r="BA300" s="78">
        <f t="shared" ca="1" si="54"/>
        <v>2308.5394200000005</v>
      </c>
      <c r="BB300" s="20"/>
      <c r="BC300" s="20">
        <f t="shared" ca="1" si="58"/>
        <v>144</v>
      </c>
      <c r="BD300" s="9" t="s">
        <v>466</v>
      </c>
    </row>
    <row r="301" spans="1:56" s="9" customFormat="1" ht="11.25" customHeight="1" x14ac:dyDescent="0.15">
      <c r="A301" s="55">
        <v>300</v>
      </c>
      <c r="B301" s="55" t="s">
        <v>462</v>
      </c>
      <c r="C301" s="52" t="s">
        <v>356</v>
      </c>
      <c r="D301" s="52">
        <v>1</v>
      </c>
      <c r="E301" s="53" t="s">
        <v>357</v>
      </c>
      <c r="F301" s="124">
        <v>79</v>
      </c>
      <c r="G301" s="129">
        <f ca="1">INT((F301*Valores!$C$2*100)+0.5)/100</f>
        <v>405.64</v>
      </c>
      <c r="H301" s="133">
        <v>0</v>
      </c>
      <c r="I301" s="80">
        <f ca="1">INT((H301*Valores!$C$2*100)+0.5)/100</f>
        <v>0</v>
      </c>
      <c r="J301" s="148">
        <v>0</v>
      </c>
      <c r="K301" s="80">
        <f ca="1">INT((J301*Valores!$C$2*100)+0.5)/100</f>
        <v>0</v>
      </c>
      <c r="L301" s="121">
        <v>0</v>
      </c>
      <c r="M301" s="80">
        <f ca="1">INT((L301*Valores!$C$2*100)+0.5)/100</f>
        <v>0</v>
      </c>
      <c r="N301" s="80">
        <f t="shared" ca="1" si="55"/>
        <v>0</v>
      </c>
      <c r="O301" s="80">
        <f t="shared" ca="1" si="56"/>
        <v>437.28</v>
      </c>
      <c r="P301" s="85">
        <f ca="1">Valores!$C$14*D301</f>
        <v>114.82</v>
      </c>
      <c r="Q301" s="85">
        <f ca="1">IF(D301&lt;15,(Valores!$E$4*D301),Valores!$D$4)</f>
        <v>153.12</v>
      </c>
      <c r="R301" s="80">
        <v>0</v>
      </c>
      <c r="S301" s="82">
        <f ca="1">Valores!$C$45*D301</f>
        <v>31.64</v>
      </c>
      <c r="T301" s="85">
        <f ca="1">Valores!$C$22*D301</f>
        <v>46.43</v>
      </c>
      <c r="U301" s="80">
        <f t="shared" ca="1" si="45"/>
        <v>92.86</v>
      </c>
      <c r="V301" s="80">
        <v>0</v>
      </c>
      <c r="W301" s="80">
        <v>0</v>
      </c>
      <c r="X301" s="60">
        <v>0</v>
      </c>
      <c r="Y301" s="80">
        <f ca="1">X301*Valores!$C$2</f>
        <v>0</v>
      </c>
      <c r="Z301" s="80">
        <v>0</v>
      </c>
      <c r="AA301" s="90">
        <f ca="1">(Valores!$C$32)*D301</f>
        <v>5.28</v>
      </c>
      <c r="AB301" s="80">
        <f t="shared" ca="1" si="49"/>
        <v>0</v>
      </c>
      <c r="AC301" s="80">
        <f ca="1">Valores!$C$33*D301</f>
        <v>4.3899999999999997</v>
      </c>
      <c r="AD301" s="115">
        <v>0</v>
      </c>
      <c r="AE301" s="80">
        <f ca="1">INT(((AD301*Valores!$C$2)*100)+0.5)/100</f>
        <v>0</v>
      </c>
      <c r="AF301" s="80">
        <f ca="1">Valores!$D$51*D301</f>
        <v>17.858000000000001</v>
      </c>
      <c r="AG301" s="80">
        <f ca="1">Valores!$D$52*D301</f>
        <v>5.1026666666666669</v>
      </c>
      <c r="AH301" s="80">
        <f ca="1">SUM(G301,I301,K301,M301,N301,O301,P301,Q301,R301,S301,U301,V301,W301,Y301,Z301,AA301,AB301,AC301,AE301,AF301,AG301)*Valores!$C$54</f>
        <v>0</v>
      </c>
      <c r="AI301" s="142">
        <f t="shared" ca="1" si="52"/>
        <v>1267.9906666666668</v>
      </c>
      <c r="AJ301" s="85">
        <f ca="1">Valores!$C$36*D301</f>
        <v>12.13</v>
      </c>
      <c r="AK301" s="82">
        <f ca="1">Valores!$C$11*D301</f>
        <v>8.51</v>
      </c>
      <c r="AL301" s="90">
        <f ca="1">7.48*D301</f>
        <v>7.48</v>
      </c>
      <c r="AM301" s="82">
        <f ca="1">IF($G$4="SI",SUM(AK301+AL301),AK301)*Valores!$C$54</f>
        <v>0</v>
      </c>
      <c r="AN301" s="186">
        <f t="shared" ca="1" si="53"/>
        <v>28.12</v>
      </c>
      <c r="AO301" s="155">
        <f ca="1">AI301*-Valores!$C$56</f>
        <v>-164.83878666666669</v>
      </c>
      <c r="AP301" s="155">
        <f ca="1">AI301*-Valores!$C$57</f>
        <v>-6.3399533333333338</v>
      </c>
      <c r="AQ301" s="81">
        <f ca="1">AI301*-Valores!$C$58</f>
        <v>-57.059580000000004</v>
      </c>
      <c r="AR301" s="81">
        <f ca="1">AI301*-Valores!$C$59</f>
        <v>-34.235748000000008</v>
      </c>
      <c r="AS301" s="81">
        <f ca="1">AI301*-Valores!$C$60</f>
        <v>-3.8039720000000004</v>
      </c>
      <c r="AT301" s="54">
        <f t="shared" ca="1" si="50"/>
        <v>1067.8723466666665</v>
      </c>
      <c r="AU301" s="54">
        <f t="shared" ca="1" si="51"/>
        <v>1086.8922066666667</v>
      </c>
      <c r="AV301" s="81">
        <f ca="1">AI301*Valores!$C$61</f>
        <v>202.87850666666668</v>
      </c>
      <c r="AW301" s="81">
        <f ca="1">AI301*Valores!$C$62</f>
        <v>57.059580000000004</v>
      </c>
      <c r="AX301" s="81">
        <f ca="1">AI301*Valores!$C$64</f>
        <v>12.679906666666668</v>
      </c>
      <c r="AY301" s="81">
        <f ca="1">AI301*Valores!$C$65</f>
        <v>44.379673333333344</v>
      </c>
      <c r="AZ301" s="81">
        <f ca="1">AI301*Valores!$C$66</f>
        <v>7.6079440000000007</v>
      </c>
      <c r="BA301" s="81">
        <f t="shared" ca="1" si="54"/>
        <v>68.471496000000016</v>
      </c>
      <c r="BB301" s="55"/>
      <c r="BC301" s="55">
        <f t="shared" ca="1" si="58"/>
        <v>4</v>
      </c>
      <c r="BD301" s="52" t="s">
        <v>467</v>
      </c>
    </row>
    <row r="302" spans="1:56" s="9" customFormat="1" ht="11.25" customHeight="1" x14ac:dyDescent="0.15">
      <c r="A302" s="20">
        <v>301</v>
      </c>
      <c r="B302" s="20"/>
      <c r="C302" s="9" t="s">
        <v>443</v>
      </c>
      <c r="E302" s="10" t="s">
        <v>447</v>
      </c>
      <c r="F302" s="36">
        <v>192</v>
      </c>
      <c r="G302" s="7">
        <f ca="1">INT((F302*Valores!$C$2*100)+0.5)/100</f>
        <v>985.86</v>
      </c>
      <c r="H302" s="134">
        <v>0</v>
      </c>
      <c r="I302" s="77">
        <f ca="1">INT((H302*Valores!$C$2*100)+0.5)/100</f>
        <v>0</v>
      </c>
      <c r="J302" s="147">
        <v>0</v>
      </c>
      <c r="K302" s="77">
        <f ca="1">INT((J302*Valores!$C$2*100)+0.5)/100</f>
        <v>0</v>
      </c>
      <c r="L302" s="120">
        <v>0</v>
      </c>
      <c r="M302" s="77">
        <f ca="1">INT((L302*Valores!$C$2*100)+0.5)/100</f>
        <v>0</v>
      </c>
      <c r="N302" s="77">
        <f t="shared" ca="1" si="55"/>
        <v>0</v>
      </c>
      <c r="O302" s="77">
        <f t="shared" ca="1" si="56"/>
        <v>1061.76</v>
      </c>
      <c r="P302" s="61">
        <v>0</v>
      </c>
      <c r="Q302" s="61">
        <v>0</v>
      </c>
      <c r="R302" s="77">
        <v>0</v>
      </c>
      <c r="S302" s="79">
        <f>Valores!C46</f>
        <v>75.900000000000006</v>
      </c>
      <c r="T302" s="61">
        <v>0</v>
      </c>
      <c r="U302" s="77">
        <f t="shared" ca="1" si="45"/>
        <v>0</v>
      </c>
      <c r="V302" s="77">
        <v>0</v>
      </c>
      <c r="W302" s="77">
        <v>0</v>
      </c>
      <c r="X302" s="37">
        <v>0</v>
      </c>
      <c r="Y302" s="77">
        <v>0</v>
      </c>
      <c r="Z302" s="77">
        <v>0</v>
      </c>
      <c r="AA302" s="89">
        <v>0</v>
      </c>
      <c r="AB302" s="77">
        <f t="shared" ca="1" si="49"/>
        <v>0</v>
      </c>
      <c r="AC302" s="77">
        <v>0</v>
      </c>
      <c r="AD302" s="116">
        <v>0</v>
      </c>
      <c r="AE302" s="77">
        <f ca="1">INT(((AD302*Valores!$C$2)*100)+0.5)/100</f>
        <v>0</v>
      </c>
      <c r="AF302" s="77">
        <f>Valores!E51</f>
        <v>35.72</v>
      </c>
      <c r="AG302" s="77">
        <f>Valores!E52</f>
        <v>10.210000000000001</v>
      </c>
      <c r="AH302" s="77">
        <f ca="1">SUM(G302,I302,K302,M302,N302,O302,P302,Q302,R302,S302,U302,V302,W302,Y302,Z302,AA302,AB302,AC302,AE302,AF302,AG302)*Valores!$C$54</f>
        <v>0</v>
      </c>
      <c r="AI302" s="141">
        <f t="shared" ca="1" si="52"/>
        <v>2169.4499999999998</v>
      </c>
      <c r="AJ302" s="141"/>
      <c r="AK302" s="79">
        <f>Valores!C12</f>
        <v>20.420000000000002</v>
      </c>
      <c r="AL302" s="89">
        <v>0</v>
      </c>
      <c r="AM302" s="79">
        <f ca="1">IF($G$4="SI",SUM(AK302+AL302),AK302)*Valores!$C$54</f>
        <v>0</v>
      </c>
      <c r="AN302" s="12">
        <f t="shared" ca="1" si="53"/>
        <v>20.420000000000002</v>
      </c>
      <c r="AO302" s="13">
        <f ca="1">AI302*-Valores!$C$56</f>
        <v>-282.02850000000001</v>
      </c>
      <c r="AP302" s="13">
        <f ca="1">AI302*-Valores!$C$57</f>
        <v>-10.847249999999999</v>
      </c>
      <c r="AQ302" s="78">
        <f ca="1">AI302*-Valores!$C$58</f>
        <v>-97.625249999999994</v>
      </c>
      <c r="AR302" s="78">
        <f ca="1">AI302*-Valores!$C$59</f>
        <v>-58.575150000000001</v>
      </c>
      <c r="AS302" s="78">
        <f ca="1">AI302*-Valores!$C$60</f>
        <v>-6.5083499999999992</v>
      </c>
      <c r="AT302" s="15">
        <f t="shared" ca="1" si="50"/>
        <v>1799.3690000000001</v>
      </c>
      <c r="AU302" s="15">
        <f t="shared" ca="1" si="51"/>
        <v>1831.91075</v>
      </c>
      <c r="AV302" s="78">
        <f ca="1">AI302*Valores!$C$61</f>
        <v>347.11199999999997</v>
      </c>
      <c r="AW302" s="78">
        <f ca="1">AI302*Valores!$C$62</f>
        <v>97.625249999999994</v>
      </c>
      <c r="AX302" s="78">
        <f ca="1">AI302*Valores!$C$64</f>
        <v>21.694499999999998</v>
      </c>
      <c r="AY302" s="78">
        <f ca="1">AI302*Valores!$C$65</f>
        <v>75.930750000000003</v>
      </c>
      <c r="AZ302" s="78">
        <f ca="1">AI302*Valores!$C$66</f>
        <v>13.016699999999998</v>
      </c>
      <c r="BA302" s="78">
        <f t="shared" ca="1" si="54"/>
        <v>117.1503</v>
      </c>
      <c r="BB302" s="20"/>
      <c r="BC302" s="20"/>
      <c r="BD302" s="9" t="s">
        <v>467</v>
      </c>
    </row>
    <row r="303" spans="1:56" ht="11.25" customHeight="1" x14ac:dyDescent="0.2">
      <c r="A303" s="20">
        <v>302</v>
      </c>
      <c r="B303" s="20"/>
      <c r="C303" s="23"/>
      <c r="D303" s="24">
        <v>1</v>
      </c>
      <c r="E303" s="8" t="s">
        <v>415</v>
      </c>
      <c r="F303" s="36">
        <v>700</v>
      </c>
      <c r="G303" s="7">
        <f ca="1">INT((F303*Valores!$C$2*100)+0.5)/100</f>
        <v>3594.29</v>
      </c>
      <c r="H303" s="134">
        <v>0</v>
      </c>
      <c r="I303" s="77">
        <f ca="1">INT((H303*Valores!$C$2*100)+0.5)/100</f>
        <v>0</v>
      </c>
      <c r="J303" s="147">
        <v>0</v>
      </c>
      <c r="K303" s="77">
        <f ca="1">INT((J303*Valores!$C$2*100)+0.5)/100</f>
        <v>0</v>
      </c>
      <c r="L303" s="120">
        <v>0</v>
      </c>
      <c r="M303" s="77">
        <f ca="1">INT((L303*Valores!$C$2*100)+0.5)/100</f>
        <v>0</v>
      </c>
      <c r="N303" s="77">
        <f t="shared" ref="N303:N327" ca="1" si="62">IF($I$2=0,IF(C303&lt;&gt;"13-930",(SUM(G303,I303,K303,M303,Y303,T303,S303)*$N$2),0),0)</f>
        <v>0</v>
      </c>
      <c r="O303" s="77">
        <f t="shared" ref="O303:O327" ca="1" si="63">SUM(G303,I303,K303,M303,Y303,S303)*$I$2</f>
        <v>4068.89</v>
      </c>
      <c r="P303" s="61">
        <v>0</v>
      </c>
      <c r="Q303" s="61">
        <v>0</v>
      </c>
      <c r="R303" s="77">
        <v>0</v>
      </c>
      <c r="S303" s="79">
        <f>Valores!$C$45*15</f>
        <v>474.6</v>
      </c>
      <c r="T303" s="61">
        <v>0</v>
      </c>
      <c r="U303" s="77">
        <f t="shared" ref="U303:U327" ca="1" si="64">T303*(1+$I$2)</f>
        <v>0</v>
      </c>
      <c r="V303" s="77">
        <v>0</v>
      </c>
      <c r="W303" s="77">
        <v>0</v>
      </c>
      <c r="X303" s="37">
        <v>0</v>
      </c>
      <c r="Y303" s="77">
        <v>0</v>
      </c>
      <c r="Z303" s="77">
        <v>0</v>
      </c>
      <c r="AA303" s="89">
        <v>0</v>
      </c>
      <c r="AB303" s="77">
        <f t="shared" ca="1" si="49"/>
        <v>0</v>
      </c>
      <c r="AC303" s="77">
        <v>0</v>
      </c>
      <c r="AD303" s="116">
        <v>0</v>
      </c>
      <c r="AE303" s="77">
        <f ca="1">INT(((AD303*Valores!$C$2)*100)+0.5)/100</f>
        <v>0</v>
      </c>
      <c r="AF303" s="77"/>
      <c r="AG303" s="77"/>
      <c r="AH303" s="77">
        <f ca="1">SUM(G303,I303,K303,M303,N303,O303,P303,Q303,R303,S303,U303,V303,W303,Y303,Z303,AA303,AB303,AC303,AE303,AF303,AG303)*Valores!$C$54</f>
        <v>0</v>
      </c>
      <c r="AI303" s="141">
        <f t="shared" ca="1" si="52"/>
        <v>8137.7800000000007</v>
      </c>
      <c r="AJ303" s="141"/>
      <c r="AK303" s="79">
        <f>Valores!$C$11*15</f>
        <v>127.64999999999999</v>
      </c>
      <c r="AL303" s="89">
        <v>0</v>
      </c>
      <c r="AM303" s="79">
        <f ca="1">IF($G$4="SI",SUM(AK303+AL303),AK303)*Valores!$C$54</f>
        <v>0</v>
      </c>
      <c r="AN303" s="12">
        <f t="shared" ca="1" si="53"/>
        <v>127.64999999999999</v>
      </c>
      <c r="AO303" s="13">
        <f ca="1">AI303*-Valores!$C$56</f>
        <v>-1057.9114000000002</v>
      </c>
      <c r="AP303" s="13">
        <f ca="1">AI303*-Valores!$C$57</f>
        <v>-40.688900000000004</v>
      </c>
      <c r="AQ303" s="78">
        <f ca="1">AI303*-Valores!$C$58</f>
        <v>-366.20010000000002</v>
      </c>
      <c r="AR303" s="78">
        <f ca="1">AI303*-Valores!$C$59</f>
        <v>-219.72006000000005</v>
      </c>
      <c r="AS303" s="78">
        <f ca="1">AI303*-Valores!$C$60</f>
        <v>-24.413340000000002</v>
      </c>
      <c r="AT303" s="15">
        <f t="shared" ca="1" si="50"/>
        <v>6800.6296000000011</v>
      </c>
      <c r="AU303" s="15">
        <f t="shared" ca="1" si="51"/>
        <v>6922.6963000000014</v>
      </c>
      <c r="AV303" s="78">
        <f ca="1">AI303*Valores!$C$61</f>
        <v>1302.0448000000001</v>
      </c>
      <c r="AW303" s="78">
        <f ca="1">AI303*Valores!$C$62</f>
        <v>366.20010000000002</v>
      </c>
      <c r="AX303" s="78">
        <f ca="1">AI303*Valores!$C$64</f>
        <v>81.377800000000008</v>
      </c>
      <c r="AY303" s="78">
        <f ca="1">AI303*Valores!$C$65</f>
        <v>284.82230000000004</v>
      </c>
      <c r="AZ303" s="78">
        <f ca="1">AI303*Valores!$C$66</f>
        <v>48.826680000000003</v>
      </c>
      <c r="BA303" s="78">
        <f t="shared" ca="1" si="54"/>
        <v>439.44012000000009</v>
      </c>
      <c r="BD303" s="9" t="s">
        <v>467</v>
      </c>
    </row>
    <row r="304" spans="1:56" ht="11.25" customHeight="1" x14ac:dyDescent="0.2">
      <c r="A304" s="20">
        <v>303</v>
      </c>
      <c r="B304" s="20"/>
      <c r="C304" s="11"/>
      <c r="D304" s="24">
        <v>1</v>
      </c>
      <c r="E304" s="8" t="s">
        <v>416</v>
      </c>
      <c r="F304" s="36">
        <v>500</v>
      </c>
      <c r="G304" s="7">
        <f ca="1">INT((F304*Valores!$C$2*100)+0.5)/100</f>
        <v>2567.35</v>
      </c>
      <c r="H304" s="134">
        <v>0</v>
      </c>
      <c r="I304" s="77">
        <f ca="1">INT((H304*Valores!$C$2*100)+0.5)/100</f>
        <v>0</v>
      </c>
      <c r="J304" s="147">
        <v>0</v>
      </c>
      <c r="K304" s="77">
        <f ca="1">INT((J304*Valores!$C$2*100)+0.5)/100</f>
        <v>0</v>
      </c>
      <c r="L304" s="120">
        <v>0</v>
      </c>
      <c r="M304" s="77">
        <f ca="1">INT((L304*Valores!$C$2*100)+0.5)/100</f>
        <v>0</v>
      </c>
      <c r="N304" s="77">
        <f t="shared" ca="1" si="62"/>
        <v>0</v>
      </c>
      <c r="O304" s="77">
        <f t="shared" ca="1" si="63"/>
        <v>2883.75</v>
      </c>
      <c r="P304" s="61">
        <v>0</v>
      </c>
      <c r="Q304" s="61">
        <v>0</v>
      </c>
      <c r="R304" s="77">
        <v>0</v>
      </c>
      <c r="S304" s="79">
        <f>Valores!$C$45*10</f>
        <v>316.39999999999998</v>
      </c>
      <c r="T304" s="79">
        <v>0</v>
      </c>
      <c r="U304" s="77">
        <f t="shared" ca="1" si="64"/>
        <v>0</v>
      </c>
      <c r="V304" s="77">
        <v>0</v>
      </c>
      <c r="W304" s="77">
        <v>0</v>
      </c>
      <c r="X304" s="37">
        <v>0</v>
      </c>
      <c r="Y304" s="77">
        <v>0</v>
      </c>
      <c r="Z304" s="77">
        <v>0</v>
      </c>
      <c r="AA304" s="89">
        <v>0</v>
      </c>
      <c r="AB304" s="77">
        <f t="shared" ca="1" si="49"/>
        <v>0</v>
      </c>
      <c r="AC304" s="77">
        <v>0</v>
      </c>
      <c r="AD304" s="116">
        <v>0</v>
      </c>
      <c r="AE304" s="77">
        <f ca="1">INT(((AD304*Valores!$C$2)*100)+0.5)/100</f>
        <v>0</v>
      </c>
      <c r="AF304" s="77"/>
      <c r="AG304" s="77"/>
      <c r="AH304" s="77">
        <f ca="1">SUM(G304,I304,K304,M304,N304,O304,P304,Q304,R304,S304,U304,V304,W304,Y304,Z304,AA304,AB304,AC304,AE304,AF304,AG304)*Valores!$C$54</f>
        <v>0</v>
      </c>
      <c r="AI304" s="141">
        <f t="shared" ca="1" si="52"/>
        <v>5767.5</v>
      </c>
      <c r="AJ304" s="141"/>
      <c r="AK304" s="79">
        <f>Valores!$C$11*10</f>
        <v>85.1</v>
      </c>
      <c r="AL304" s="89">
        <v>0</v>
      </c>
      <c r="AM304" s="79">
        <f ca="1">IF($G$4="SI",SUM(AK304+AL304),AK304)*Valores!$C$54</f>
        <v>0</v>
      </c>
      <c r="AN304" s="12">
        <f t="shared" ca="1" si="53"/>
        <v>85.1</v>
      </c>
      <c r="AO304" s="13">
        <f ca="1">AI304*-Valores!$C$56</f>
        <v>-749.77499999999998</v>
      </c>
      <c r="AP304" s="13">
        <f ca="1">AI304*-Valores!$C$57</f>
        <v>-28.837500000000002</v>
      </c>
      <c r="AQ304" s="78">
        <f ca="1">AI304*-Valores!$C$58</f>
        <v>-259.53749999999997</v>
      </c>
      <c r="AR304" s="78">
        <f ca="1">AI304*-Valores!$C$59</f>
        <v>-155.72250000000003</v>
      </c>
      <c r="AS304" s="78">
        <f ca="1">AI304*-Valores!$C$60</f>
        <v>-17.302500000000002</v>
      </c>
      <c r="AT304" s="15">
        <f t="shared" ca="1" si="50"/>
        <v>4814.4500000000007</v>
      </c>
      <c r="AU304" s="15">
        <f t="shared" ca="1" si="51"/>
        <v>4900.9625000000015</v>
      </c>
      <c r="AV304" s="78">
        <f ca="1">AI304*Valores!$C$61</f>
        <v>922.80000000000007</v>
      </c>
      <c r="AW304" s="78">
        <f ca="1">AI304*Valores!$C$62</f>
        <v>259.53749999999997</v>
      </c>
      <c r="AX304" s="78">
        <f ca="1">AI304*Valores!$C$64</f>
        <v>57.675000000000004</v>
      </c>
      <c r="AY304" s="78">
        <f ca="1">AI304*Valores!$C$65</f>
        <v>201.86250000000001</v>
      </c>
      <c r="AZ304" s="78">
        <f ca="1">AI304*Valores!$C$66</f>
        <v>34.605000000000004</v>
      </c>
      <c r="BA304" s="78">
        <f t="shared" ca="1" si="54"/>
        <v>311.44500000000005</v>
      </c>
      <c r="BC304" s="56"/>
      <c r="BD304" s="9" t="s">
        <v>467</v>
      </c>
    </row>
    <row r="305" spans="1:56" ht="11.25" customHeight="1" x14ac:dyDescent="0.2">
      <c r="A305" s="20">
        <v>304</v>
      </c>
      <c r="B305" s="20"/>
      <c r="D305" s="24">
        <v>1</v>
      </c>
      <c r="E305" s="8" t="s">
        <v>417</v>
      </c>
      <c r="F305" s="36">
        <v>300</v>
      </c>
      <c r="G305" s="7">
        <f ca="1">INT((F305*Valores!$C$2*100)+0.5)/100</f>
        <v>1540.41</v>
      </c>
      <c r="H305" s="134">
        <v>0</v>
      </c>
      <c r="I305" s="77">
        <f ca="1">INT((H305*Valores!$C$2*100)+0.5)/100</f>
        <v>0</v>
      </c>
      <c r="J305" s="147">
        <v>0</v>
      </c>
      <c r="K305" s="77">
        <f ca="1">INT((J305*Valores!$C$2*100)+0.5)/100</f>
        <v>0</v>
      </c>
      <c r="L305" s="120">
        <v>0</v>
      </c>
      <c r="M305" s="77">
        <f ca="1">INT((L305*Valores!$C$2*100)+0.5)/100</f>
        <v>0</v>
      </c>
      <c r="N305" s="77">
        <f t="shared" ca="1" si="62"/>
        <v>0</v>
      </c>
      <c r="O305" s="77">
        <f t="shared" ca="1" si="63"/>
        <v>1698.6100000000001</v>
      </c>
      <c r="P305" s="61">
        <v>0</v>
      </c>
      <c r="Q305" s="61">
        <v>0</v>
      </c>
      <c r="R305" s="77">
        <v>0</v>
      </c>
      <c r="S305" s="79">
        <f>Valores!$C$45*5</f>
        <v>158.19999999999999</v>
      </c>
      <c r="T305" s="61">
        <v>0</v>
      </c>
      <c r="U305" s="77">
        <f t="shared" ca="1" si="64"/>
        <v>0</v>
      </c>
      <c r="V305" s="77">
        <v>0</v>
      </c>
      <c r="W305" s="77">
        <v>0</v>
      </c>
      <c r="X305" s="37">
        <v>0</v>
      </c>
      <c r="Y305" s="77">
        <v>0</v>
      </c>
      <c r="Z305" s="77">
        <v>0</v>
      </c>
      <c r="AA305" s="89">
        <v>0</v>
      </c>
      <c r="AB305" s="77">
        <f t="shared" ca="1" si="49"/>
        <v>0</v>
      </c>
      <c r="AC305" s="77">
        <v>0</v>
      </c>
      <c r="AD305" s="116">
        <v>0</v>
      </c>
      <c r="AE305" s="77">
        <f ca="1">INT(((AD305*Valores!$C$2)*100)+0.5)/100</f>
        <v>0</v>
      </c>
      <c r="AF305" s="77"/>
      <c r="AG305" s="77"/>
      <c r="AH305" s="77">
        <f ca="1">SUM(G305,I305,K305,M305,N305,O305,P305,Q305,R305,S305,U305,V305,W305,Y305,Z305,AA305,AB305,AC305,AE305,AF305,AG305)*Valores!$C$54</f>
        <v>0</v>
      </c>
      <c r="AI305" s="141">
        <f t="shared" ca="1" si="52"/>
        <v>3397.2200000000003</v>
      </c>
      <c r="AJ305" s="141"/>
      <c r="AK305" s="79">
        <f>Valores!$C$11*5</f>
        <v>42.55</v>
      </c>
      <c r="AL305" s="89">
        <v>0</v>
      </c>
      <c r="AM305" s="79">
        <f ca="1">IF($G$4="SI",SUM(AK305+AL305),AK305)*Valores!$C$54</f>
        <v>0</v>
      </c>
      <c r="AN305" s="12">
        <f t="shared" ca="1" si="53"/>
        <v>42.55</v>
      </c>
      <c r="AO305" s="13">
        <f ca="1">AI305*-Valores!$C$56</f>
        <v>-441.63860000000005</v>
      </c>
      <c r="AP305" s="13">
        <f ca="1">AI305*-Valores!$C$57</f>
        <v>-16.9861</v>
      </c>
      <c r="AQ305" s="78">
        <f ca="1">AI305*-Valores!$C$58</f>
        <v>-152.8749</v>
      </c>
      <c r="AR305" s="78">
        <f ca="1">AI305*-Valores!$C$59</f>
        <v>-91.724940000000018</v>
      </c>
      <c r="AS305" s="78">
        <f ca="1">AI305*-Valores!$C$60</f>
        <v>-10.191660000000001</v>
      </c>
      <c r="AT305" s="15">
        <f t="shared" ca="1" si="50"/>
        <v>2828.2704000000003</v>
      </c>
      <c r="AU305" s="15">
        <f t="shared" ca="1" si="51"/>
        <v>2879.2287000000001</v>
      </c>
      <c r="AV305" s="78">
        <f ca="1">AI305*Valores!$C$61</f>
        <v>543.55520000000001</v>
      </c>
      <c r="AW305" s="78">
        <f ca="1">AI305*Valores!$C$62</f>
        <v>152.8749</v>
      </c>
      <c r="AX305" s="78">
        <f ca="1">AI305*Valores!$C$64</f>
        <v>33.972200000000001</v>
      </c>
      <c r="AY305" s="78">
        <f ca="1">AI305*Valores!$C$65</f>
        <v>118.90270000000002</v>
      </c>
      <c r="AZ305" s="78">
        <f ca="1">AI305*Valores!$C$66</f>
        <v>20.383320000000001</v>
      </c>
      <c r="BA305" s="78">
        <f t="shared" ca="1" si="54"/>
        <v>183.44988000000001</v>
      </c>
      <c r="BD305" s="9" t="s">
        <v>467</v>
      </c>
    </row>
    <row r="306" spans="1:56" ht="11.25" customHeight="1" x14ac:dyDescent="0.2">
      <c r="A306" s="55">
        <v>305</v>
      </c>
      <c r="B306" s="55" t="s">
        <v>462</v>
      </c>
      <c r="C306" s="56"/>
      <c r="D306" s="57">
        <v>1</v>
      </c>
      <c r="E306" s="58" t="s">
        <v>418</v>
      </c>
      <c r="F306" s="67">
        <v>155</v>
      </c>
      <c r="G306" s="129">
        <f ca="1">INT((F306*Valores!$C$2*100)+0.5)/100</f>
        <v>795.88</v>
      </c>
      <c r="H306" s="133">
        <v>0</v>
      </c>
      <c r="I306" s="80">
        <f ca="1">INT((H306*Valores!$C$2*100)+0.5)/100</f>
        <v>0</v>
      </c>
      <c r="J306" s="148">
        <v>0</v>
      </c>
      <c r="K306" s="80">
        <f ca="1">INT((J306*Valores!$C$2*100)+0.5)/100</f>
        <v>0</v>
      </c>
      <c r="L306" s="121">
        <v>0</v>
      </c>
      <c r="M306" s="80">
        <f ca="1">INT((L306*Valores!$C$2*100)+0.5)/100</f>
        <v>0</v>
      </c>
      <c r="N306" s="80">
        <f t="shared" ca="1" si="62"/>
        <v>0</v>
      </c>
      <c r="O306" s="80">
        <f t="shared" ca="1" si="63"/>
        <v>827.52</v>
      </c>
      <c r="P306" s="85">
        <v>0</v>
      </c>
      <c r="Q306" s="85">
        <v>0</v>
      </c>
      <c r="R306" s="80">
        <v>0</v>
      </c>
      <c r="S306" s="82">
        <f>Valores!$C$45</f>
        <v>31.64</v>
      </c>
      <c r="T306" s="85">
        <v>0</v>
      </c>
      <c r="U306" s="80">
        <f t="shared" ca="1" si="64"/>
        <v>0</v>
      </c>
      <c r="V306" s="80">
        <v>0</v>
      </c>
      <c r="W306" s="80">
        <v>0</v>
      </c>
      <c r="X306" s="60">
        <v>0</v>
      </c>
      <c r="Y306" s="80">
        <v>0</v>
      </c>
      <c r="Z306" s="80">
        <v>0</v>
      </c>
      <c r="AA306" s="90">
        <v>0</v>
      </c>
      <c r="AB306" s="80">
        <f t="shared" ca="1" si="49"/>
        <v>0</v>
      </c>
      <c r="AC306" s="80">
        <v>0</v>
      </c>
      <c r="AD306" s="115">
        <v>0</v>
      </c>
      <c r="AE306" s="80">
        <f ca="1">INT(((AD306*Valores!$C$2)*100)+0.5)/100</f>
        <v>0</v>
      </c>
      <c r="AF306" s="80"/>
      <c r="AG306" s="80"/>
      <c r="AH306" s="80">
        <f ca="1">SUM(G306,I306,K306,M306,N306,O306,P306,Q306,R306,S306,U306,V306,W306,Y306,Z306,AA306,AB306,AC306,AE306,AF306,AG306)*Valores!$C$54</f>
        <v>0</v>
      </c>
      <c r="AI306" s="142">
        <f t="shared" ca="1" si="52"/>
        <v>1655.0400000000002</v>
      </c>
      <c r="AJ306" s="142"/>
      <c r="AK306" s="82">
        <f>Valores!$C$11*1</f>
        <v>8.51</v>
      </c>
      <c r="AL306" s="90">
        <v>0</v>
      </c>
      <c r="AM306" s="82">
        <f ca="1">IF($G$4="SI",SUM(AK306+AL306),AK306)*Valores!$C$54</f>
        <v>0</v>
      </c>
      <c r="AN306" s="186">
        <f t="shared" ca="1" si="53"/>
        <v>8.51</v>
      </c>
      <c r="AO306" s="155">
        <f ca="1">AI306*-Valores!$C$56</f>
        <v>-215.15520000000004</v>
      </c>
      <c r="AP306" s="155">
        <f ca="1">AI306*-Valores!$C$57</f>
        <v>-8.2752000000000017</v>
      </c>
      <c r="AQ306" s="81">
        <f ca="1">AI306*-Valores!$C$58</f>
        <v>-74.476800000000011</v>
      </c>
      <c r="AR306" s="81">
        <f ca="1">AI306*-Valores!$C$59</f>
        <v>-44.686080000000011</v>
      </c>
      <c r="AS306" s="81">
        <f ca="1">AI306*-Valores!$C$60</f>
        <v>-4.9651200000000006</v>
      </c>
      <c r="AT306" s="54">
        <f t="shared" ca="1" si="50"/>
        <v>1365.6428000000001</v>
      </c>
      <c r="AU306" s="54">
        <f t="shared" ca="1" si="51"/>
        <v>1390.4684</v>
      </c>
      <c r="AV306" s="81">
        <f ca="1">AI306*Valores!$C$61</f>
        <v>264.80640000000005</v>
      </c>
      <c r="AW306" s="81">
        <f ca="1">AI306*Valores!$C$62</f>
        <v>74.476800000000011</v>
      </c>
      <c r="AX306" s="81">
        <f ca="1">AI306*Valores!$C$64</f>
        <v>16.550400000000003</v>
      </c>
      <c r="AY306" s="81">
        <f ca="1">AI306*Valores!$C$65</f>
        <v>57.926400000000015</v>
      </c>
      <c r="AZ306" s="81">
        <f ca="1">AI306*Valores!$C$66</f>
        <v>9.9302400000000013</v>
      </c>
      <c r="BA306" s="81">
        <f t="shared" ca="1" si="54"/>
        <v>89.372160000000022</v>
      </c>
      <c r="BB306" s="56"/>
      <c r="BC306" s="56"/>
      <c r="BD306" s="52"/>
    </row>
    <row r="307" spans="1:56" ht="11.25" customHeight="1" x14ac:dyDescent="0.2">
      <c r="A307" s="20">
        <v>306</v>
      </c>
      <c r="B307" s="20"/>
      <c r="D307" s="24">
        <v>1</v>
      </c>
      <c r="E307" s="8" t="s">
        <v>419</v>
      </c>
      <c r="F307" s="36">
        <f ca="1">155+F306</f>
        <v>310</v>
      </c>
      <c r="G307" s="7">
        <f ca="1">INT((F307*Valores!$C$2*100)+0.5)/100</f>
        <v>1591.76</v>
      </c>
      <c r="H307" s="134">
        <v>0</v>
      </c>
      <c r="I307" s="77">
        <f ca="1">INT((H307*Valores!$C$2*100)+0.5)/100</f>
        <v>0</v>
      </c>
      <c r="J307" s="147">
        <v>0</v>
      </c>
      <c r="K307" s="77">
        <f ca="1">INT((J307*Valores!$C$2*100)+0.5)/100</f>
        <v>0</v>
      </c>
      <c r="L307" s="120">
        <v>0</v>
      </c>
      <c r="M307" s="77">
        <f ca="1">INT((L307*Valores!$C$2*100)+0.5)/100</f>
        <v>0</v>
      </c>
      <c r="N307" s="77">
        <f t="shared" ca="1" si="62"/>
        <v>0</v>
      </c>
      <c r="O307" s="77">
        <f t="shared" ca="1" si="63"/>
        <v>1655.04</v>
      </c>
      <c r="P307" s="61">
        <v>0</v>
      </c>
      <c r="Q307" s="61">
        <v>0</v>
      </c>
      <c r="R307" s="77">
        <v>0</v>
      </c>
      <c r="S307" s="79">
        <f ca="1">Valores!$C$45+S306</f>
        <v>63.28</v>
      </c>
      <c r="T307" s="61">
        <v>0</v>
      </c>
      <c r="U307" s="77">
        <f t="shared" ca="1" si="64"/>
        <v>0</v>
      </c>
      <c r="V307" s="77">
        <v>0</v>
      </c>
      <c r="W307" s="77">
        <v>0</v>
      </c>
      <c r="X307" s="37">
        <v>0</v>
      </c>
      <c r="Y307" s="77">
        <v>0</v>
      </c>
      <c r="Z307" s="77">
        <v>0</v>
      </c>
      <c r="AA307" s="89">
        <v>0</v>
      </c>
      <c r="AB307" s="77">
        <f t="shared" ca="1" si="49"/>
        <v>0</v>
      </c>
      <c r="AC307" s="77">
        <v>0</v>
      </c>
      <c r="AD307" s="116">
        <v>0</v>
      </c>
      <c r="AE307" s="77">
        <f ca="1">INT(((AD307*Valores!$C$2)*100)+0.5)/100</f>
        <v>0</v>
      </c>
      <c r="AF307" s="77"/>
      <c r="AG307" s="77"/>
      <c r="AH307" s="77">
        <f ca="1">SUM(G307,I307,K307,M307,N307,O307,P307,Q307,R307,S307,U307,V307,W307,Y307,Z307,AA307,AB307,AC307,AE307,AF307,AG307)*Valores!$C$54</f>
        <v>0</v>
      </c>
      <c r="AI307" s="141">
        <f t="shared" ca="1" si="52"/>
        <v>3310.0800000000004</v>
      </c>
      <c r="AJ307" s="141"/>
      <c r="AK307" s="79">
        <f ca="1">Valores!$C$11+AK306</f>
        <v>17.02</v>
      </c>
      <c r="AL307" s="89">
        <v>0</v>
      </c>
      <c r="AM307" s="79">
        <f ca="1">IF($G$4="SI",SUM(AK307+AL307),AK307)*Valores!$C$54</f>
        <v>0</v>
      </c>
      <c r="AN307" s="12">
        <f t="shared" ca="1" si="53"/>
        <v>17.02</v>
      </c>
      <c r="AO307" s="13">
        <f ca="1">AI307*-Valores!$C$56</f>
        <v>-430.31040000000007</v>
      </c>
      <c r="AP307" s="13">
        <f ca="1">AI307*-Valores!$C$57</f>
        <v>-16.550400000000003</v>
      </c>
      <c r="AQ307" s="78">
        <f ca="1">AI307*-Valores!$C$58</f>
        <v>-148.95360000000002</v>
      </c>
      <c r="AR307" s="78">
        <f ca="1">AI307*-Valores!$C$59</f>
        <v>-89.372160000000022</v>
      </c>
      <c r="AS307" s="78">
        <f ca="1">AI307*-Valores!$C$60</f>
        <v>-9.9302400000000013</v>
      </c>
      <c r="AT307" s="15">
        <f t="shared" ca="1" si="50"/>
        <v>2731.2856000000002</v>
      </c>
      <c r="AU307" s="15">
        <f t="shared" ca="1" si="51"/>
        <v>2780.9367999999999</v>
      </c>
      <c r="AV307" s="78">
        <f ca="1">AI307*Valores!$C$61</f>
        <v>529.61280000000011</v>
      </c>
      <c r="AW307" s="78">
        <f ca="1">AI307*Valores!$C$62</f>
        <v>148.95360000000002</v>
      </c>
      <c r="AX307" s="78">
        <f ca="1">AI307*Valores!$C$64</f>
        <v>33.100800000000007</v>
      </c>
      <c r="AY307" s="78">
        <f ca="1">AI307*Valores!$C$65</f>
        <v>115.85280000000003</v>
      </c>
      <c r="AZ307" s="78">
        <f ca="1">AI307*Valores!$C$66</f>
        <v>19.860480000000003</v>
      </c>
      <c r="BA307" s="78">
        <f t="shared" ca="1" si="54"/>
        <v>178.74432000000004</v>
      </c>
    </row>
    <row r="308" spans="1:56" ht="11.25" customHeight="1" x14ac:dyDescent="0.2">
      <c r="A308" s="20">
        <v>307</v>
      </c>
      <c r="B308" s="20"/>
      <c r="D308" s="24">
        <v>1</v>
      </c>
      <c r="E308" s="8" t="s">
        <v>420</v>
      </c>
      <c r="F308" s="36">
        <f ca="1">155+F307</f>
        <v>465</v>
      </c>
      <c r="G308" s="7">
        <f ca="1">INT((F308*Valores!$C$2*100)+0.5)/100</f>
        <v>2387.64</v>
      </c>
      <c r="H308" s="134">
        <v>0</v>
      </c>
      <c r="I308" s="77">
        <f ca="1">INT((H308*Valores!$C$2*100)+0.5)/100</f>
        <v>0</v>
      </c>
      <c r="J308" s="147">
        <v>0</v>
      </c>
      <c r="K308" s="77">
        <f ca="1">INT((J308*Valores!$C$2*100)+0.5)/100</f>
        <v>0</v>
      </c>
      <c r="L308" s="120">
        <v>0</v>
      </c>
      <c r="M308" s="77">
        <f ca="1">INT((L308*Valores!$C$2*100)+0.5)/100</f>
        <v>0</v>
      </c>
      <c r="N308" s="77">
        <f t="shared" ca="1" si="62"/>
        <v>0</v>
      </c>
      <c r="O308" s="77">
        <f t="shared" ca="1" si="63"/>
        <v>2482.56</v>
      </c>
      <c r="P308" s="61">
        <v>0</v>
      </c>
      <c r="Q308" s="61">
        <v>0</v>
      </c>
      <c r="R308" s="77">
        <v>0</v>
      </c>
      <c r="S308" s="79">
        <f ca="1">Valores!$C$45+S307</f>
        <v>94.92</v>
      </c>
      <c r="T308" s="61">
        <v>0</v>
      </c>
      <c r="U308" s="77">
        <f t="shared" ca="1" si="64"/>
        <v>0</v>
      </c>
      <c r="V308" s="77">
        <v>0</v>
      </c>
      <c r="W308" s="77">
        <v>0</v>
      </c>
      <c r="X308" s="37">
        <v>0</v>
      </c>
      <c r="Y308" s="77">
        <v>0</v>
      </c>
      <c r="Z308" s="77">
        <v>0</v>
      </c>
      <c r="AA308" s="89">
        <v>0</v>
      </c>
      <c r="AB308" s="77">
        <f t="shared" ca="1" si="49"/>
        <v>0</v>
      </c>
      <c r="AC308" s="77">
        <v>0</v>
      </c>
      <c r="AD308" s="116">
        <v>0</v>
      </c>
      <c r="AE308" s="77">
        <f ca="1">INT(((AD308*Valores!$C$2)*100)+0.5)/100</f>
        <v>0</v>
      </c>
      <c r="AF308" s="77"/>
      <c r="AG308" s="77"/>
      <c r="AH308" s="77">
        <f ca="1">SUM(G308,I308,K308,M308,N308,O308,P308,Q308,R308,S308,U308,V308,W308,Y308,Z308,AA308,AB308,AC308,AE308,AF308,AG308)*Valores!$C$54</f>
        <v>0</v>
      </c>
      <c r="AI308" s="141">
        <f t="shared" ca="1" si="52"/>
        <v>4965.12</v>
      </c>
      <c r="AJ308" s="141"/>
      <c r="AK308" s="79">
        <f ca="1">Valores!$C$11+AK307</f>
        <v>25.53</v>
      </c>
      <c r="AL308" s="89">
        <v>0</v>
      </c>
      <c r="AM308" s="79">
        <f ca="1">IF($G$4="SI",SUM(AK308+AL308),AK308)*Valores!$C$54</f>
        <v>0</v>
      </c>
      <c r="AN308" s="12">
        <f t="shared" ca="1" si="53"/>
        <v>25.53</v>
      </c>
      <c r="AO308" s="13">
        <f ca="1">AI308*-Valores!$C$56</f>
        <v>-645.46559999999999</v>
      </c>
      <c r="AP308" s="13">
        <f ca="1">AI308*-Valores!$C$57</f>
        <v>-24.825600000000001</v>
      </c>
      <c r="AQ308" s="78">
        <f ca="1">AI308*-Valores!$C$58</f>
        <v>-223.43039999999999</v>
      </c>
      <c r="AR308" s="78">
        <f ca="1">AI308*-Valores!$C$59</f>
        <v>-134.05824000000001</v>
      </c>
      <c r="AS308" s="78">
        <f ca="1">AI308*-Valores!$C$60</f>
        <v>-14.89536</v>
      </c>
      <c r="AT308" s="15">
        <f t="shared" ca="1" si="50"/>
        <v>4096.9283999999989</v>
      </c>
      <c r="AU308" s="15">
        <f t="shared" ca="1" si="51"/>
        <v>4171.4051999999992</v>
      </c>
      <c r="AV308" s="78">
        <f ca="1">AI308*Valores!$C$61</f>
        <v>794.41920000000005</v>
      </c>
      <c r="AW308" s="78">
        <f ca="1">AI308*Valores!$C$62</f>
        <v>223.43039999999999</v>
      </c>
      <c r="AX308" s="78">
        <f ca="1">AI308*Valores!$C$64</f>
        <v>49.651200000000003</v>
      </c>
      <c r="AY308" s="78">
        <f ca="1">AI308*Valores!$C$65</f>
        <v>173.7792</v>
      </c>
      <c r="AZ308" s="78">
        <f ca="1">AI308*Valores!$C$66</f>
        <v>29.79072</v>
      </c>
      <c r="BA308" s="78">
        <f t="shared" ca="1" si="54"/>
        <v>268.11648000000002</v>
      </c>
    </row>
    <row r="309" spans="1:56" ht="11.25" customHeight="1" x14ac:dyDescent="0.2">
      <c r="A309" s="20">
        <v>308</v>
      </c>
      <c r="B309" s="20"/>
      <c r="D309" s="24">
        <v>1</v>
      </c>
      <c r="E309" s="8" t="s">
        <v>421</v>
      </c>
      <c r="F309" s="36">
        <f t="shared" ref="F309:F320" ca="1" si="65">155+F308</f>
        <v>620</v>
      </c>
      <c r="G309" s="7">
        <f ca="1">INT((F309*Valores!$C$2*100)+0.5)/100</f>
        <v>3183.51</v>
      </c>
      <c r="H309" s="134">
        <v>0</v>
      </c>
      <c r="I309" s="77">
        <f ca="1">INT((H309*Valores!$C$2*100)+0.5)/100</f>
        <v>0</v>
      </c>
      <c r="J309" s="147">
        <v>0</v>
      </c>
      <c r="K309" s="77">
        <f ca="1">INT((J309*Valores!$C$2*100)+0.5)/100</f>
        <v>0</v>
      </c>
      <c r="L309" s="120">
        <v>0</v>
      </c>
      <c r="M309" s="77">
        <f ca="1">INT((L309*Valores!$C$2*100)+0.5)/100</f>
        <v>0</v>
      </c>
      <c r="N309" s="77">
        <f t="shared" ca="1" si="62"/>
        <v>0</v>
      </c>
      <c r="O309" s="77">
        <f t="shared" ca="1" si="63"/>
        <v>3310.07</v>
      </c>
      <c r="P309" s="61">
        <v>0</v>
      </c>
      <c r="Q309" s="61">
        <v>0</v>
      </c>
      <c r="R309" s="77">
        <v>0</v>
      </c>
      <c r="S309" s="79">
        <f ca="1">Valores!$C$45+S308</f>
        <v>126.56</v>
      </c>
      <c r="T309" s="79">
        <v>0</v>
      </c>
      <c r="U309" s="77">
        <f t="shared" ca="1" si="64"/>
        <v>0</v>
      </c>
      <c r="V309" s="77">
        <v>0</v>
      </c>
      <c r="W309" s="77">
        <v>0</v>
      </c>
      <c r="X309" s="37">
        <v>0</v>
      </c>
      <c r="Y309" s="77">
        <v>0</v>
      </c>
      <c r="Z309" s="77">
        <v>0</v>
      </c>
      <c r="AA309" s="89">
        <v>0</v>
      </c>
      <c r="AB309" s="77">
        <f t="shared" ca="1" si="49"/>
        <v>0</v>
      </c>
      <c r="AC309" s="77">
        <v>0</v>
      </c>
      <c r="AD309" s="116">
        <v>0</v>
      </c>
      <c r="AE309" s="77">
        <f ca="1">INT(((AD309*Valores!$C$2)*100)+0.5)/100</f>
        <v>0</v>
      </c>
      <c r="AF309" s="77"/>
      <c r="AG309" s="77"/>
      <c r="AH309" s="77">
        <f ca="1">SUM(G309,I309,K309,M309,N309,O309,P309,Q309,R309,S309,U309,V309,W309,Y309,Z309,AA309,AB309,AC309,AE309,AF309,AG309)*Valores!$C$54</f>
        <v>0</v>
      </c>
      <c r="AI309" s="141">
        <f t="shared" ca="1" si="52"/>
        <v>6620.14</v>
      </c>
      <c r="AJ309" s="141"/>
      <c r="AK309" s="79">
        <f ca="1">Valores!$C$11+AK308</f>
        <v>34.04</v>
      </c>
      <c r="AL309" s="89">
        <v>0</v>
      </c>
      <c r="AM309" s="79">
        <f ca="1">IF($G$4="SI",SUM(AK309+AL309),AK309)*Valores!$C$54</f>
        <v>0</v>
      </c>
      <c r="AN309" s="12">
        <f t="shared" ca="1" si="53"/>
        <v>34.04</v>
      </c>
      <c r="AO309" s="13">
        <f ca="1">AI309*-Valores!$C$56</f>
        <v>-860.61820000000012</v>
      </c>
      <c r="AP309" s="13">
        <f ca="1">AI309*-Valores!$C$57</f>
        <v>-33.100700000000003</v>
      </c>
      <c r="AQ309" s="78">
        <f ca="1">AI309*-Valores!$C$58</f>
        <v>-297.90629999999999</v>
      </c>
      <c r="AR309" s="78">
        <f ca="1">AI309*-Valores!$C$59</f>
        <v>-178.74378000000004</v>
      </c>
      <c r="AS309" s="78">
        <f ca="1">AI309*-Valores!$C$60</f>
        <v>-19.860420000000001</v>
      </c>
      <c r="AT309" s="15">
        <f t="shared" ca="1" si="50"/>
        <v>5462.5548000000008</v>
      </c>
      <c r="AU309" s="15">
        <f t="shared" ca="1" si="51"/>
        <v>5561.8569000000007</v>
      </c>
      <c r="AV309" s="78">
        <f ca="1">AI309*Valores!$C$61</f>
        <v>1059.2224000000001</v>
      </c>
      <c r="AW309" s="78">
        <f ca="1">AI309*Valores!$C$62</f>
        <v>297.90629999999999</v>
      </c>
      <c r="AX309" s="78">
        <f ca="1">AI309*Valores!$C$64</f>
        <v>66.201400000000007</v>
      </c>
      <c r="AY309" s="78">
        <f ca="1">AI309*Valores!$C$65</f>
        <v>231.70490000000004</v>
      </c>
      <c r="AZ309" s="78">
        <f ca="1">AI309*Valores!$C$66</f>
        <v>39.720840000000003</v>
      </c>
      <c r="BA309" s="78">
        <f t="shared" ca="1" si="54"/>
        <v>357.48756000000003</v>
      </c>
      <c r="BC309" s="56"/>
    </row>
    <row r="310" spans="1:56" ht="11.25" customHeight="1" x14ac:dyDescent="0.2">
      <c r="A310" s="20">
        <v>309</v>
      </c>
      <c r="B310" s="20"/>
      <c r="D310" s="24">
        <v>1</v>
      </c>
      <c r="E310" s="8" t="s">
        <v>422</v>
      </c>
      <c r="F310" s="36">
        <f t="shared" ca="1" si="65"/>
        <v>775</v>
      </c>
      <c r="G310" s="7">
        <f ca="1">INT((F310*Valores!$C$2*100)+0.5)/100</f>
        <v>3979.39</v>
      </c>
      <c r="H310" s="134">
        <v>0</v>
      </c>
      <c r="I310" s="77">
        <f ca="1">INT((H310*Valores!$C$2*100)+0.5)/100</f>
        <v>0</v>
      </c>
      <c r="J310" s="147">
        <v>0</v>
      </c>
      <c r="K310" s="77">
        <f ca="1">INT((J310*Valores!$C$2*100)+0.5)/100</f>
        <v>0</v>
      </c>
      <c r="L310" s="120">
        <v>0</v>
      </c>
      <c r="M310" s="77">
        <f ca="1">INT((L310*Valores!$C$2*100)+0.5)/100</f>
        <v>0</v>
      </c>
      <c r="N310" s="77">
        <f t="shared" ca="1" si="62"/>
        <v>0</v>
      </c>
      <c r="O310" s="77">
        <f t="shared" ca="1" si="63"/>
        <v>4137.59</v>
      </c>
      <c r="P310" s="61">
        <v>0</v>
      </c>
      <c r="Q310" s="61">
        <v>0</v>
      </c>
      <c r="R310" s="77">
        <v>0</v>
      </c>
      <c r="S310" s="79">
        <f ca="1">Valores!$C$45+S309</f>
        <v>158.19999999999999</v>
      </c>
      <c r="T310" s="61">
        <v>0</v>
      </c>
      <c r="U310" s="77">
        <f t="shared" ca="1" si="64"/>
        <v>0</v>
      </c>
      <c r="V310" s="77">
        <v>0</v>
      </c>
      <c r="W310" s="77">
        <v>0</v>
      </c>
      <c r="X310" s="37">
        <v>0</v>
      </c>
      <c r="Y310" s="77">
        <v>0</v>
      </c>
      <c r="Z310" s="77">
        <v>0</v>
      </c>
      <c r="AA310" s="89">
        <v>0</v>
      </c>
      <c r="AB310" s="77">
        <f t="shared" ca="1" si="49"/>
        <v>0</v>
      </c>
      <c r="AC310" s="77">
        <v>0</v>
      </c>
      <c r="AD310" s="116">
        <v>0</v>
      </c>
      <c r="AE310" s="77">
        <f ca="1">INT(((AD310*Valores!$C$2)*100)+0.5)/100</f>
        <v>0</v>
      </c>
      <c r="AF310" s="77"/>
      <c r="AG310" s="77"/>
      <c r="AH310" s="77">
        <f ca="1">SUM(G310,I310,K310,M310,N310,O310,P310,Q310,R310,S310,U310,V310,W310,Y310,Z310,AA310,AB310,AC310,AE310,AF310,AG310)*Valores!$C$54</f>
        <v>0</v>
      </c>
      <c r="AI310" s="141">
        <f t="shared" ca="1" si="52"/>
        <v>8275.18</v>
      </c>
      <c r="AJ310" s="141"/>
      <c r="AK310" s="79">
        <f ca="1">Valores!$C$11+AK309</f>
        <v>42.55</v>
      </c>
      <c r="AL310" s="89">
        <v>0</v>
      </c>
      <c r="AM310" s="79">
        <f ca="1">IF($G$4="SI",SUM(AK310+AL310),AK310)*Valores!$C$54</f>
        <v>0</v>
      </c>
      <c r="AN310" s="12">
        <f t="shared" ca="1" si="53"/>
        <v>42.55</v>
      </c>
      <c r="AO310" s="13">
        <f ca="1">AI310*-Valores!$C$56</f>
        <v>-1075.7734</v>
      </c>
      <c r="AP310" s="13">
        <f ca="1">AI310*-Valores!$C$57</f>
        <v>-41.375900000000001</v>
      </c>
      <c r="AQ310" s="78">
        <f ca="1">AI310*-Valores!$C$58</f>
        <v>-372.38310000000001</v>
      </c>
      <c r="AR310" s="78">
        <f ca="1">AI310*-Valores!$C$59</f>
        <v>-223.42986000000005</v>
      </c>
      <c r="AS310" s="78">
        <f ca="1">AI310*-Valores!$C$60</f>
        <v>-24.82554</v>
      </c>
      <c r="AT310" s="15">
        <f t="shared" ca="1" si="50"/>
        <v>6828.1976000000004</v>
      </c>
      <c r="AU310" s="15">
        <f t="shared" ca="1" si="51"/>
        <v>6952.3253000000004</v>
      </c>
      <c r="AV310" s="78">
        <f ca="1">AI310*Valores!$C$61</f>
        <v>1324.0288</v>
      </c>
      <c r="AW310" s="78">
        <f ca="1">AI310*Valores!$C$62</f>
        <v>372.38310000000001</v>
      </c>
      <c r="AX310" s="78">
        <f ca="1">AI310*Valores!$C$64</f>
        <v>82.751800000000003</v>
      </c>
      <c r="AY310" s="78">
        <f ca="1">AI310*Valores!$C$65</f>
        <v>289.63130000000001</v>
      </c>
      <c r="AZ310" s="78">
        <f ca="1">AI310*Valores!$C$66</f>
        <v>49.65108</v>
      </c>
      <c r="BA310" s="78">
        <f t="shared" ca="1" si="54"/>
        <v>446.85972000000004</v>
      </c>
    </row>
    <row r="311" spans="1:56" ht="11.25" customHeight="1" x14ac:dyDescent="0.2">
      <c r="A311" s="55">
        <v>310</v>
      </c>
      <c r="B311" s="55" t="s">
        <v>462</v>
      </c>
      <c r="C311" s="59"/>
      <c r="D311" s="57">
        <v>1</v>
      </c>
      <c r="E311" s="58" t="s">
        <v>423</v>
      </c>
      <c r="F311" s="67">
        <f t="shared" ca="1" si="65"/>
        <v>930</v>
      </c>
      <c r="G311" s="129">
        <f ca="1">INT((F311*Valores!$C$2*100)+0.5)/100</f>
        <v>4775.2700000000004</v>
      </c>
      <c r="H311" s="133">
        <v>0</v>
      </c>
      <c r="I311" s="80">
        <f ca="1">INT((H311*Valores!$C$2*100)+0.5)/100</f>
        <v>0</v>
      </c>
      <c r="J311" s="148">
        <v>0</v>
      </c>
      <c r="K311" s="80">
        <f ca="1">INT((J311*Valores!$C$2*100)+0.5)/100</f>
        <v>0</v>
      </c>
      <c r="L311" s="121">
        <v>0</v>
      </c>
      <c r="M311" s="80">
        <f ca="1">INT((L311*Valores!$C$2*100)+0.5)/100</f>
        <v>0</v>
      </c>
      <c r="N311" s="80">
        <f t="shared" ca="1" si="62"/>
        <v>0</v>
      </c>
      <c r="O311" s="80">
        <f t="shared" ca="1" si="63"/>
        <v>4965.1100000000006</v>
      </c>
      <c r="P311" s="85">
        <v>0</v>
      </c>
      <c r="Q311" s="85">
        <v>0</v>
      </c>
      <c r="R311" s="80">
        <v>0</v>
      </c>
      <c r="S311" s="82">
        <f ca="1">Valores!$C$45+S310</f>
        <v>189.83999999999997</v>
      </c>
      <c r="T311" s="85">
        <v>0</v>
      </c>
      <c r="U311" s="80">
        <f t="shared" ca="1" si="64"/>
        <v>0</v>
      </c>
      <c r="V311" s="80">
        <v>0</v>
      </c>
      <c r="W311" s="80">
        <v>0</v>
      </c>
      <c r="X311" s="60">
        <v>0</v>
      </c>
      <c r="Y311" s="80">
        <v>0</v>
      </c>
      <c r="Z311" s="80">
        <v>0</v>
      </c>
      <c r="AA311" s="90">
        <v>0</v>
      </c>
      <c r="AB311" s="80">
        <f t="shared" ca="1" si="49"/>
        <v>0</v>
      </c>
      <c r="AC311" s="80">
        <v>0</v>
      </c>
      <c r="AD311" s="115">
        <v>0</v>
      </c>
      <c r="AE311" s="80">
        <f ca="1">INT(((AD311*Valores!$C$2)*100)+0.5)/100</f>
        <v>0</v>
      </c>
      <c r="AF311" s="80"/>
      <c r="AG311" s="80"/>
      <c r="AH311" s="80">
        <f ca="1">SUM(G311,I311,K311,M311,N311,O311,P311,Q311,R311,S311,U311,V311,W311,Y311,Z311,AA311,AB311,AC311,AE311,AF311,AG311)*Valores!$C$54</f>
        <v>0</v>
      </c>
      <c r="AI311" s="142">
        <f t="shared" ca="1" si="52"/>
        <v>9930.2200000000012</v>
      </c>
      <c r="AJ311" s="142"/>
      <c r="AK311" s="82">
        <f ca="1">Valores!$C$11+AK310</f>
        <v>51.059999999999995</v>
      </c>
      <c r="AL311" s="90">
        <v>0</v>
      </c>
      <c r="AM311" s="82">
        <f ca="1">IF($G$4="SI",SUM(AK311+AL311),AK311)*Valores!$C$54</f>
        <v>0</v>
      </c>
      <c r="AN311" s="186">
        <f t="shared" ca="1" si="53"/>
        <v>51.059999999999995</v>
      </c>
      <c r="AO311" s="155">
        <f ca="1">AI311*-Valores!$C$56</f>
        <v>-1290.9286000000002</v>
      </c>
      <c r="AP311" s="155">
        <f ca="1">AI311*-Valores!$C$57</f>
        <v>-49.651100000000007</v>
      </c>
      <c r="AQ311" s="81">
        <f ca="1">AI311*-Valores!$C$58</f>
        <v>-446.85990000000004</v>
      </c>
      <c r="AR311" s="81">
        <f ca="1">AI311*-Valores!$C$59</f>
        <v>-268.11594000000008</v>
      </c>
      <c r="AS311" s="81">
        <f ca="1">AI311*-Valores!$C$60</f>
        <v>-29.790660000000003</v>
      </c>
      <c r="AT311" s="54">
        <f t="shared" ca="1" si="50"/>
        <v>8193.840400000001</v>
      </c>
      <c r="AU311" s="54">
        <f t="shared" ca="1" si="51"/>
        <v>8342.7937000000002</v>
      </c>
      <c r="AV311" s="81">
        <f ca="1">AI311*Valores!$C$61</f>
        <v>1588.8352000000002</v>
      </c>
      <c r="AW311" s="81">
        <f ca="1">AI311*Valores!$C$62</f>
        <v>446.85990000000004</v>
      </c>
      <c r="AX311" s="81">
        <f ca="1">AI311*Valores!$C$64</f>
        <v>99.302200000000013</v>
      </c>
      <c r="AY311" s="81">
        <f ca="1">AI311*Valores!$C$65</f>
        <v>347.55770000000007</v>
      </c>
      <c r="AZ311" s="81">
        <f ca="1">AI311*Valores!$C$66</f>
        <v>59.581320000000005</v>
      </c>
      <c r="BA311" s="81">
        <f t="shared" ca="1" si="54"/>
        <v>536.23188000000005</v>
      </c>
      <c r="BB311" s="56"/>
      <c r="BC311" s="56"/>
      <c r="BD311" s="52"/>
    </row>
    <row r="312" spans="1:56" ht="11.25" customHeight="1" x14ac:dyDescent="0.2">
      <c r="A312" s="20">
        <v>311</v>
      </c>
      <c r="B312" s="20"/>
      <c r="D312" s="24">
        <v>1</v>
      </c>
      <c r="E312" s="8" t="s">
        <v>424</v>
      </c>
      <c r="F312" s="36">
        <f t="shared" ca="1" si="65"/>
        <v>1085</v>
      </c>
      <c r="G312" s="7">
        <f ca="1">INT((F312*Valores!$C$2*100)+0.5)/100</f>
        <v>5571.15</v>
      </c>
      <c r="H312" s="134">
        <v>0</v>
      </c>
      <c r="I312" s="77">
        <f ca="1">INT((H312*Valores!$C$2*100)+0.5)/100</f>
        <v>0</v>
      </c>
      <c r="J312" s="147">
        <v>0</v>
      </c>
      <c r="K312" s="77">
        <f ca="1">INT((J312*Valores!$C$2*100)+0.5)/100</f>
        <v>0</v>
      </c>
      <c r="L312" s="120">
        <v>0</v>
      </c>
      <c r="M312" s="77">
        <f ca="1">INT((L312*Valores!$C$2*100)+0.5)/100</f>
        <v>0</v>
      </c>
      <c r="N312" s="77">
        <f t="shared" ca="1" si="62"/>
        <v>0</v>
      </c>
      <c r="O312" s="77">
        <f t="shared" ca="1" si="63"/>
        <v>5792.6299999999992</v>
      </c>
      <c r="P312" s="61">
        <v>0</v>
      </c>
      <c r="Q312" s="61">
        <v>0</v>
      </c>
      <c r="R312" s="77">
        <v>0</v>
      </c>
      <c r="S312" s="79">
        <f ca="1">Valores!$C$45+S311</f>
        <v>221.47999999999996</v>
      </c>
      <c r="T312" s="61">
        <v>0</v>
      </c>
      <c r="U312" s="77">
        <f t="shared" ca="1" si="64"/>
        <v>0</v>
      </c>
      <c r="V312" s="77">
        <v>0</v>
      </c>
      <c r="W312" s="77">
        <v>0</v>
      </c>
      <c r="X312" s="37">
        <v>0</v>
      </c>
      <c r="Y312" s="77">
        <v>0</v>
      </c>
      <c r="Z312" s="77">
        <v>0</v>
      </c>
      <c r="AA312" s="89">
        <v>0</v>
      </c>
      <c r="AB312" s="77">
        <f t="shared" ca="1" si="49"/>
        <v>0</v>
      </c>
      <c r="AC312" s="77">
        <v>0</v>
      </c>
      <c r="AD312" s="116">
        <v>0</v>
      </c>
      <c r="AE312" s="77">
        <f ca="1">INT(((AD312*Valores!$C$2)*100)+0.5)/100</f>
        <v>0</v>
      </c>
      <c r="AF312" s="77"/>
      <c r="AG312" s="77"/>
      <c r="AH312" s="77">
        <f ca="1">SUM(G312,I312,K312,M312,N312,O312,P312,Q312,R312,S312,U312,V312,W312,Y312,Z312,AA312,AB312,AC312,AE312,AF312,AG312)*Valores!$C$54</f>
        <v>0</v>
      </c>
      <c r="AI312" s="141">
        <f t="shared" ca="1" si="52"/>
        <v>11585.259999999998</v>
      </c>
      <c r="AJ312" s="141"/>
      <c r="AK312" s="79">
        <f ca="1">Valores!$C$11+AK311</f>
        <v>59.569999999999993</v>
      </c>
      <c r="AL312" s="89">
        <v>0</v>
      </c>
      <c r="AM312" s="79">
        <f ca="1">IF($G$4="SI",SUM(AK312+AL312),AK312)*Valores!$C$54</f>
        <v>0</v>
      </c>
      <c r="AN312" s="12">
        <f t="shared" ca="1" si="53"/>
        <v>59.569999999999993</v>
      </c>
      <c r="AO312" s="13">
        <f ca="1">AI312*-Valores!$C$56</f>
        <v>-1506.0837999999999</v>
      </c>
      <c r="AP312" s="13">
        <f ca="1">AI312*-Valores!$C$57</f>
        <v>-57.926299999999991</v>
      </c>
      <c r="AQ312" s="78">
        <f ca="1">AI312*-Valores!$C$58</f>
        <v>-521.33669999999995</v>
      </c>
      <c r="AR312" s="78">
        <f ca="1">AI312*-Valores!$C$59</f>
        <v>-312.80201999999997</v>
      </c>
      <c r="AS312" s="78">
        <f ca="1">AI312*-Valores!$C$60</f>
        <v>-34.755779999999994</v>
      </c>
      <c r="AT312" s="15">
        <f t="shared" ca="1" si="50"/>
        <v>9559.4831999999988</v>
      </c>
      <c r="AU312" s="15">
        <f t="shared" ca="1" si="51"/>
        <v>9733.2620999999999</v>
      </c>
      <c r="AV312" s="78">
        <f ca="1">AI312*Valores!$C$61</f>
        <v>1853.6415999999997</v>
      </c>
      <c r="AW312" s="78">
        <f ca="1">AI312*Valores!$C$62</f>
        <v>521.33669999999995</v>
      </c>
      <c r="AX312" s="78">
        <f ca="1">AI312*Valores!$C$64</f>
        <v>115.85259999999998</v>
      </c>
      <c r="AY312" s="78">
        <f ca="1">AI312*Valores!$C$65</f>
        <v>405.48409999999996</v>
      </c>
      <c r="AZ312" s="78">
        <f ca="1">AI312*Valores!$C$66</f>
        <v>69.511559999999989</v>
      </c>
      <c r="BA312" s="78">
        <f t="shared" ca="1" si="54"/>
        <v>625.60403999999994</v>
      </c>
    </row>
    <row r="313" spans="1:56" ht="11.25" customHeight="1" x14ac:dyDescent="0.2">
      <c r="A313" s="20">
        <v>312</v>
      </c>
      <c r="B313" s="20"/>
      <c r="D313" s="24">
        <v>1</v>
      </c>
      <c r="E313" s="8" t="s">
        <v>425</v>
      </c>
      <c r="F313" s="36">
        <f t="shared" ca="1" si="65"/>
        <v>1240</v>
      </c>
      <c r="G313" s="7">
        <f ca="1">INT((F313*Valores!$C$2*100)+0.5)/100</f>
        <v>6367.03</v>
      </c>
      <c r="H313" s="134">
        <v>0</v>
      </c>
      <c r="I313" s="77">
        <f ca="1">INT((H313*Valores!$C$2*100)+0.5)/100</f>
        <v>0</v>
      </c>
      <c r="J313" s="147">
        <v>0</v>
      </c>
      <c r="K313" s="77">
        <f ca="1">INT((J313*Valores!$C$2*100)+0.5)/100</f>
        <v>0</v>
      </c>
      <c r="L313" s="120">
        <v>0</v>
      </c>
      <c r="M313" s="77">
        <f ca="1">INT((L313*Valores!$C$2*100)+0.5)/100</f>
        <v>0</v>
      </c>
      <c r="N313" s="77">
        <f t="shared" ca="1" si="62"/>
        <v>0</v>
      </c>
      <c r="O313" s="77">
        <f t="shared" ca="1" si="63"/>
        <v>6620.15</v>
      </c>
      <c r="P313" s="61">
        <v>0</v>
      </c>
      <c r="Q313" s="61">
        <v>0</v>
      </c>
      <c r="R313" s="77">
        <v>0</v>
      </c>
      <c r="S313" s="79">
        <f ca="1">Valores!$C$45+S312</f>
        <v>253.11999999999995</v>
      </c>
      <c r="T313" s="61">
        <v>0</v>
      </c>
      <c r="U313" s="77">
        <f t="shared" ca="1" si="64"/>
        <v>0</v>
      </c>
      <c r="V313" s="77">
        <v>0</v>
      </c>
      <c r="W313" s="77">
        <v>0</v>
      </c>
      <c r="X313" s="37">
        <v>0</v>
      </c>
      <c r="Y313" s="77">
        <v>0</v>
      </c>
      <c r="Z313" s="77">
        <v>0</v>
      </c>
      <c r="AA313" s="89">
        <v>0</v>
      </c>
      <c r="AB313" s="77">
        <f t="shared" ca="1" si="49"/>
        <v>0</v>
      </c>
      <c r="AC313" s="77">
        <v>0</v>
      </c>
      <c r="AD313" s="116">
        <v>0</v>
      </c>
      <c r="AE313" s="77">
        <f ca="1">INT(((AD313*Valores!$C$2)*100)+0.5)/100</f>
        <v>0</v>
      </c>
      <c r="AF313" s="77"/>
      <c r="AG313" s="77"/>
      <c r="AH313" s="77">
        <f ca="1">SUM(G313,I313,K313,M313,N313,O313,P313,Q313,R313,S313,U313,V313,W313,Y313,Z313,AA313,AB313,AC313,AE313,AF313,AG313)*Valores!$C$54</f>
        <v>0</v>
      </c>
      <c r="AI313" s="141">
        <f t="shared" ca="1" si="52"/>
        <v>13240.300000000001</v>
      </c>
      <c r="AJ313" s="141"/>
      <c r="AK313" s="79">
        <f ca="1">Valores!$C$11+AK312</f>
        <v>68.08</v>
      </c>
      <c r="AL313" s="89">
        <v>0</v>
      </c>
      <c r="AM313" s="79">
        <f ca="1">IF($G$4="SI",SUM(AK313+AL313),AK313)*Valores!$C$54</f>
        <v>0</v>
      </c>
      <c r="AN313" s="12">
        <f t="shared" ca="1" si="53"/>
        <v>68.08</v>
      </c>
      <c r="AO313" s="13">
        <f ca="1">AI313*-Valores!$C$56</f>
        <v>-1721.2390000000003</v>
      </c>
      <c r="AP313" s="13">
        <f ca="1">AI313*-Valores!$C$57</f>
        <v>-66.20150000000001</v>
      </c>
      <c r="AQ313" s="78">
        <f ca="1">AI313*-Valores!$C$58</f>
        <v>-595.81349999999998</v>
      </c>
      <c r="AR313" s="78">
        <f ca="1">AI313*-Valores!$C$59</f>
        <v>-357.48810000000009</v>
      </c>
      <c r="AS313" s="78">
        <f ca="1">AI313*-Valores!$C$60</f>
        <v>-39.720900000000007</v>
      </c>
      <c r="AT313" s="15">
        <f t="shared" ca="1" si="50"/>
        <v>10925.126000000002</v>
      </c>
      <c r="AU313" s="15">
        <f t="shared" ca="1" si="51"/>
        <v>11123.730500000001</v>
      </c>
      <c r="AV313" s="78">
        <f ca="1">AI313*Valores!$C$61</f>
        <v>2118.4480000000003</v>
      </c>
      <c r="AW313" s="78">
        <f ca="1">AI313*Valores!$C$62</f>
        <v>595.81349999999998</v>
      </c>
      <c r="AX313" s="78">
        <f ca="1">AI313*Valores!$C$64</f>
        <v>132.40300000000002</v>
      </c>
      <c r="AY313" s="78">
        <f ca="1">AI313*Valores!$C$65</f>
        <v>463.41050000000007</v>
      </c>
      <c r="AZ313" s="78">
        <f ca="1">AI313*Valores!$C$66</f>
        <v>79.441800000000015</v>
      </c>
      <c r="BA313" s="78">
        <f t="shared" ca="1" si="54"/>
        <v>714.97620000000006</v>
      </c>
    </row>
    <row r="314" spans="1:56" ht="11.25" customHeight="1" x14ac:dyDescent="0.2">
      <c r="A314" s="20">
        <v>313</v>
      </c>
      <c r="B314" s="20"/>
      <c r="D314" s="24">
        <v>1</v>
      </c>
      <c r="E314" s="8" t="s">
        <v>426</v>
      </c>
      <c r="F314" s="36">
        <f t="shared" ca="1" si="65"/>
        <v>1395</v>
      </c>
      <c r="G314" s="7">
        <f ca="1">INT((F314*Valores!$C$2*100)+0.5)/100</f>
        <v>7162.91</v>
      </c>
      <c r="H314" s="134">
        <v>0</v>
      </c>
      <c r="I314" s="77">
        <f ca="1">INT((H314*Valores!$C$2*100)+0.5)/100</f>
        <v>0</v>
      </c>
      <c r="J314" s="147">
        <v>0</v>
      </c>
      <c r="K314" s="77">
        <f ca="1">INT((J314*Valores!$C$2*100)+0.5)/100</f>
        <v>0</v>
      </c>
      <c r="L314" s="120">
        <v>0</v>
      </c>
      <c r="M314" s="77">
        <f ca="1">INT((L314*Valores!$C$2*100)+0.5)/100</f>
        <v>0</v>
      </c>
      <c r="N314" s="77">
        <f t="shared" ca="1" si="62"/>
        <v>0</v>
      </c>
      <c r="O314" s="77">
        <f t="shared" ca="1" si="63"/>
        <v>7447.67</v>
      </c>
      <c r="P314" s="61">
        <v>0</v>
      </c>
      <c r="Q314" s="61">
        <v>0</v>
      </c>
      <c r="R314" s="77">
        <v>0</v>
      </c>
      <c r="S314" s="79">
        <f ca="1">Valores!$C$45+S313</f>
        <v>284.75999999999993</v>
      </c>
      <c r="T314" s="79">
        <v>0</v>
      </c>
      <c r="U314" s="77">
        <f t="shared" ca="1" si="64"/>
        <v>0</v>
      </c>
      <c r="V314" s="77">
        <v>0</v>
      </c>
      <c r="W314" s="77">
        <v>0</v>
      </c>
      <c r="X314" s="37">
        <v>0</v>
      </c>
      <c r="Y314" s="77">
        <v>0</v>
      </c>
      <c r="Z314" s="77">
        <v>0</v>
      </c>
      <c r="AA314" s="89">
        <v>0</v>
      </c>
      <c r="AB314" s="77">
        <f t="shared" ca="1" si="49"/>
        <v>0</v>
      </c>
      <c r="AC314" s="77">
        <v>0</v>
      </c>
      <c r="AD314" s="116">
        <v>0</v>
      </c>
      <c r="AE314" s="77">
        <f ca="1">INT(((AD314*Valores!$C$2)*100)+0.5)/100</f>
        <v>0</v>
      </c>
      <c r="AF314" s="77"/>
      <c r="AG314" s="77"/>
      <c r="AH314" s="77">
        <f ca="1">SUM(G314,I314,K314,M314,N314,O314,P314,Q314,R314,S314,U314,V314,W314,Y314,Z314,AA314,AB314,AC314,AE314,AF314,AG314)*Valores!$C$54</f>
        <v>0</v>
      </c>
      <c r="AI314" s="141">
        <f t="shared" ca="1" si="52"/>
        <v>14895.34</v>
      </c>
      <c r="AJ314" s="141"/>
      <c r="AK314" s="79">
        <f ca="1">Valores!$C$11+AK313</f>
        <v>76.59</v>
      </c>
      <c r="AL314" s="89">
        <v>0</v>
      </c>
      <c r="AM314" s="79">
        <f ca="1">IF($G$4="SI",SUM(AK314+AL314),AK314)*Valores!$C$54</f>
        <v>0</v>
      </c>
      <c r="AN314" s="12">
        <f t="shared" ca="1" si="53"/>
        <v>76.59</v>
      </c>
      <c r="AO314" s="13">
        <f ca="1">AI314*-Valores!$C$56</f>
        <v>-1936.3942000000002</v>
      </c>
      <c r="AP314" s="13">
        <f ca="1">AI314*-Valores!$C$57</f>
        <v>-74.476700000000008</v>
      </c>
      <c r="AQ314" s="78">
        <f ca="1">AI314*-Valores!$C$58</f>
        <v>-670.2903</v>
      </c>
      <c r="AR314" s="78">
        <f ca="1">AI314*-Valores!$C$59</f>
        <v>-402.17418000000004</v>
      </c>
      <c r="AS314" s="78">
        <f ca="1">AI314*-Valores!$C$60</f>
        <v>-44.686019999999999</v>
      </c>
      <c r="AT314" s="15">
        <f t="shared" ca="1" si="50"/>
        <v>12290.7688</v>
      </c>
      <c r="AU314" s="15">
        <f t="shared" ca="1" si="51"/>
        <v>12514.198900000001</v>
      </c>
      <c r="AV314" s="78">
        <f ca="1">AI314*Valores!$C$61</f>
        <v>2383.2544000000003</v>
      </c>
      <c r="AW314" s="78">
        <f ca="1">AI314*Valores!$C$62</f>
        <v>670.2903</v>
      </c>
      <c r="AX314" s="78">
        <f ca="1">AI314*Valores!$C$64</f>
        <v>148.95340000000002</v>
      </c>
      <c r="AY314" s="78">
        <f ca="1">AI314*Valores!$C$65</f>
        <v>521.33690000000001</v>
      </c>
      <c r="AZ314" s="78">
        <f ca="1">AI314*Valores!$C$66</f>
        <v>89.372039999999998</v>
      </c>
      <c r="BA314" s="78">
        <f t="shared" ca="1" si="54"/>
        <v>804.34836000000007</v>
      </c>
      <c r="BC314" s="56"/>
    </row>
    <row r="315" spans="1:56" ht="11.25" customHeight="1" x14ac:dyDescent="0.2">
      <c r="A315" s="20">
        <v>314</v>
      </c>
      <c r="B315" s="20"/>
      <c r="D315" s="24">
        <v>1</v>
      </c>
      <c r="E315" s="8" t="s">
        <v>427</v>
      </c>
      <c r="F315" s="36">
        <f t="shared" ca="1" si="65"/>
        <v>1550</v>
      </c>
      <c r="G315" s="7">
        <f ca="1">INT((F315*Valores!$C$2*100)+0.5)/100</f>
        <v>7958.79</v>
      </c>
      <c r="H315" s="134">
        <v>0</v>
      </c>
      <c r="I315" s="77">
        <f ca="1">INT((H315*Valores!$C$2*100)+0.5)/100</f>
        <v>0</v>
      </c>
      <c r="J315" s="147">
        <v>0</v>
      </c>
      <c r="K315" s="77">
        <f ca="1">INT((J315*Valores!$C$2*100)+0.5)/100</f>
        <v>0</v>
      </c>
      <c r="L315" s="120">
        <v>0</v>
      </c>
      <c r="M315" s="77">
        <f ca="1">INT((L315*Valores!$C$2*100)+0.5)/100</f>
        <v>0</v>
      </c>
      <c r="N315" s="77">
        <f t="shared" ca="1" si="62"/>
        <v>0</v>
      </c>
      <c r="O315" s="77">
        <f t="shared" ca="1" si="63"/>
        <v>8275.19</v>
      </c>
      <c r="P315" s="61">
        <v>0</v>
      </c>
      <c r="Q315" s="61">
        <v>0</v>
      </c>
      <c r="R315" s="77">
        <v>0</v>
      </c>
      <c r="S315" s="79">
        <f ca="1">Valores!$C$45+S314</f>
        <v>316.39999999999992</v>
      </c>
      <c r="T315" s="61">
        <v>0</v>
      </c>
      <c r="U315" s="77">
        <f t="shared" ca="1" si="64"/>
        <v>0</v>
      </c>
      <c r="V315" s="77">
        <v>0</v>
      </c>
      <c r="W315" s="77">
        <v>0</v>
      </c>
      <c r="X315" s="37">
        <v>0</v>
      </c>
      <c r="Y315" s="77">
        <v>0</v>
      </c>
      <c r="Z315" s="77">
        <v>0</v>
      </c>
      <c r="AA315" s="89">
        <v>0</v>
      </c>
      <c r="AB315" s="77">
        <f t="shared" ca="1" si="49"/>
        <v>0</v>
      </c>
      <c r="AC315" s="77">
        <v>0</v>
      </c>
      <c r="AD315" s="116">
        <v>0</v>
      </c>
      <c r="AE315" s="77">
        <f ca="1">INT(((AD315*Valores!$C$2)*100)+0.5)/100</f>
        <v>0</v>
      </c>
      <c r="AF315" s="77"/>
      <c r="AG315" s="77"/>
      <c r="AH315" s="77">
        <f ca="1">SUM(G315,I315,K315,M315,N315,O315,P315,Q315,R315,S315,U315,V315,W315,Y315,Z315,AA315,AB315,AC315,AE315,AF315,AG315)*Valores!$C$54</f>
        <v>0</v>
      </c>
      <c r="AI315" s="141">
        <f t="shared" ca="1" si="52"/>
        <v>16550.38</v>
      </c>
      <c r="AJ315" s="141"/>
      <c r="AK315" s="79">
        <f ca="1">Valores!$C$11+AK314</f>
        <v>85.100000000000009</v>
      </c>
      <c r="AL315" s="89">
        <v>0</v>
      </c>
      <c r="AM315" s="79">
        <f ca="1">IF($G$4="SI",SUM(AK315+AL315),AK315)*Valores!$C$54</f>
        <v>0</v>
      </c>
      <c r="AN315" s="12">
        <f t="shared" ca="1" si="53"/>
        <v>85.100000000000009</v>
      </c>
      <c r="AO315" s="13">
        <f ca="1">AI315*-Valores!$C$56</f>
        <v>-2151.5494000000003</v>
      </c>
      <c r="AP315" s="13">
        <f ca="1">AI315*-Valores!$C$57</f>
        <v>-82.751900000000006</v>
      </c>
      <c r="AQ315" s="78">
        <f ca="1">AI315*-Valores!$C$58</f>
        <v>-744.76710000000003</v>
      </c>
      <c r="AR315" s="78">
        <f ca="1">AI315*-Valores!$C$59</f>
        <v>-446.8602600000001</v>
      </c>
      <c r="AS315" s="78">
        <f ca="1">AI315*-Valores!$C$60</f>
        <v>-49.651140000000005</v>
      </c>
      <c r="AT315" s="15">
        <f t="shared" ca="1" si="50"/>
        <v>13656.411599999999</v>
      </c>
      <c r="AU315" s="15">
        <f t="shared" ca="1" si="51"/>
        <v>13904.667300000001</v>
      </c>
      <c r="AV315" s="78">
        <f ca="1">AI315*Valores!$C$61</f>
        <v>2648.0608000000002</v>
      </c>
      <c r="AW315" s="78">
        <f ca="1">AI315*Valores!$C$62</f>
        <v>744.76710000000003</v>
      </c>
      <c r="AX315" s="78">
        <f ca="1">AI315*Valores!$C$64</f>
        <v>165.50380000000001</v>
      </c>
      <c r="AY315" s="78">
        <f ca="1">AI315*Valores!$C$65</f>
        <v>579.26330000000007</v>
      </c>
      <c r="AZ315" s="78">
        <f ca="1">AI315*Valores!$C$66</f>
        <v>99.30228000000001</v>
      </c>
      <c r="BA315" s="78">
        <f t="shared" ca="1" si="54"/>
        <v>893.72052000000008</v>
      </c>
    </row>
    <row r="316" spans="1:56" ht="11.25" customHeight="1" x14ac:dyDescent="0.2">
      <c r="A316" s="55">
        <v>315</v>
      </c>
      <c r="B316" s="55" t="s">
        <v>462</v>
      </c>
      <c r="C316" s="59"/>
      <c r="D316" s="57">
        <v>1</v>
      </c>
      <c r="E316" s="58" t="s">
        <v>428</v>
      </c>
      <c r="F316" s="67">
        <f t="shared" ca="1" si="65"/>
        <v>1705</v>
      </c>
      <c r="G316" s="129">
        <f ca="1">INT((F316*Valores!$C$2*100)+0.5)/100</f>
        <v>8754.66</v>
      </c>
      <c r="H316" s="133">
        <v>0</v>
      </c>
      <c r="I316" s="80">
        <f ca="1">INT((H316*Valores!$C$2*100)+0.5)/100</f>
        <v>0</v>
      </c>
      <c r="J316" s="148">
        <v>0</v>
      </c>
      <c r="K316" s="80">
        <f ca="1">INT((J316*Valores!$C$2*100)+0.5)/100</f>
        <v>0</v>
      </c>
      <c r="L316" s="121">
        <v>0</v>
      </c>
      <c r="M316" s="80">
        <f ca="1">INT((L316*Valores!$C$2*100)+0.5)/100</f>
        <v>0</v>
      </c>
      <c r="N316" s="80">
        <f t="shared" ca="1" si="62"/>
        <v>0</v>
      </c>
      <c r="O316" s="80">
        <f t="shared" ca="1" si="63"/>
        <v>9102.6999999999989</v>
      </c>
      <c r="P316" s="85">
        <v>0</v>
      </c>
      <c r="Q316" s="85">
        <v>0</v>
      </c>
      <c r="R316" s="80">
        <v>0</v>
      </c>
      <c r="S316" s="82">
        <f ca="1">Valores!$C$45+S315</f>
        <v>348.03999999999991</v>
      </c>
      <c r="T316" s="85">
        <v>0</v>
      </c>
      <c r="U316" s="80">
        <f t="shared" ca="1" si="64"/>
        <v>0</v>
      </c>
      <c r="V316" s="80">
        <v>0</v>
      </c>
      <c r="W316" s="80">
        <v>0</v>
      </c>
      <c r="X316" s="60">
        <v>0</v>
      </c>
      <c r="Y316" s="80">
        <v>0</v>
      </c>
      <c r="Z316" s="80">
        <v>0</v>
      </c>
      <c r="AA316" s="90">
        <v>0</v>
      </c>
      <c r="AB316" s="80">
        <f t="shared" ca="1" si="49"/>
        <v>0</v>
      </c>
      <c r="AC316" s="80">
        <v>0</v>
      </c>
      <c r="AD316" s="115">
        <v>0</v>
      </c>
      <c r="AE316" s="80">
        <f ca="1">INT(((AD316*Valores!$C$2)*100)+0.5)/100</f>
        <v>0</v>
      </c>
      <c r="AF316" s="80"/>
      <c r="AG316" s="80"/>
      <c r="AH316" s="80">
        <f ca="1">SUM(G316,I316,K316,M316,N316,O316,P316,Q316,R316,S316,U316,V316,W316,Y316,Z316,AA316,AB316,AC316,AE316,AF316,AG316)*Valores!$C$54</f>
        <v>0</v>
      </c>
      <c r="AI316" s="142">
        <f t="shared" ca="1" si="52"/>
        <v>18205.400000000001</v>
      </c>
      <c r="AJ316" s="142"/>
      <c r="AK316" s="82">
        <f ca="1">Valores!$C$11+AK315</f>
        <v>93.610000000000014</v>
      </c>
      <c r="AL316" s="90">
        <v>0</v>
      </c>
      <c r="AM316" s="82">
        <f ca="1">IF($G$4="SI",SUM(AK316+AL316),AK316)*Valores!$C$54</f>
        <v>0</v>
      </c>
      <c r="AN316" s="186">
        <f t="shared" ca="1" si="53"/>
        <v>93.610000000000014</v>
      </c>
      <c r="AO316" s="155">
        <f ca="1">AI316*-Valores!$C$56</f>
        <v>-2366.7020000000002</v>
      </c>
      <c r="AP316" s="155">
        <f ca="1">AI316*-Valores!$C$57</f>
        <v>-91.027000000000015</v>
      </c>
      <c r="AQ316" s="81">
        <f ca="1">AI316*-Valores!$C$58</f>
        <v>-819.24300000000005</v>
      </c>
      <c r="AR316" s="81">
        <f ca="1">AI316*-Valores!$C$59</f>
        <v>-491.5458000000001</v>
      </c>
      <c r="AS316" s="81">
        <f ca="1">AI316*-Valores!$C$60</f>
        <v>-54.616200000000006</v>
      </c>
      <c r="AT316" s="54">
        <f t="shared" ca="1" si="50"/>
        <v>15022.038000000004</v>
      </c>
      <c r="AU316" s="54">
        <f t="shared" ca="1" si="51"/>
        <v>15295.119000000002</v>
      </c>
      <c r="AV316" s="81">
        <f ca="1">AI316*Valores!$C$61</f>
        <v>2912.8640000000005</v>
      </c>
      <c r="AW316" s="81">
        <f ca="1">AI316*Valores!$C$62</f>
        <v>819.24300000000005</v>
      </c>
      <c r="AX316" s="81">
        <f ca="1">AI316*Valores!$C$64</f>
        <v>182.05400000000003</v>
      </c>
      <c r="AY316" s="81">
        <f ca="1">AI316*Valores!$C$65</f>
        <v>637.18900000000008</v>
      </c>
      <c r="AZ316" s="81">
        <f ca="1">AI316*Valores!$C$66</f>
        <v>109.23240000000001</v>
      </c>
      <c r="BA316" s="81">
        <f t="shared" ca="1" si="54"/>
        <v>983.0916000000002</v>
      </c>
      <c r="BB316" s="56"/>
      <c r="BC316" s="56"/>
      <c r="BD316" s="52"/>
    </row>
    <row r="317" spans="1:56" ht="11.25" customHeight="1" x14ac:dyDescent="0.2">
      <c r="A317" s="20">
        <v>316</v>
      </c>
      <c r="B317" s="20"/>
      <c r="D317" s="24">
        <v>1</v>
      </c>
      <c r="E317" s="8" t="s">
        <v>429</v>
      </c>
      <c r="F317" s="36">
        <f t="shared" ca="1" si="65"/>
        <v>1860</v>
      </c>
      <c r="G317" s="7">
        <f ca="1">INT((F317*Valores!$C$2*100)+0.5)/100</f>
        <v>9550.5400000000009</v>
      </c>
      <c r="H317" s="134">
        <v>0</v>
      </c>
      <c r="I317" s="77">
        <f ca="1">INT((H317*Valores!$C$2*100)+0.5)/100</f>
        <v>0</v>
      </c>
      <c r="J317" s="147">
        <v>0</v>
      </c>
      <c r="K317" s="77">
        <f ca="1">INT((J317*Valores!$C$2*100)+0.5)/100</f>
        <v>0</v>
      </c>
      <c r="L317" s="120">
        <v>0</v>
      </c>
      <c r="M317" s="77">
        <f ca="1">INT((L317*Valores!$C$2*100)+0.5)/100</f>
        <v>0</v>
      </c>
      <c r="N317" s="77">
        <f t="shared" ca="1" si="62"/>
        <v>0</v>
      </c>
      <c r="O317" s="77">
        <f t="shared" ca="1" si="63"/>
        <v>9930.2200000000012</v>
      </c>
      <c r="P317" s="61">
        <v>0</v>
      </c>
      <c r="Q317" s="61">
        <v>0</v>
      </c>
      <c r="R317" s="77">
        <v>0</v>
      </c>
      <c r="S317" s="79">
        <f ca="1">Valores!$C$45+S316</f>
        <v>379.67999999999989</v>
      </c>
      <c r="T317" s="61">
        <v>0</v>
      </c>
      <c r="U317" s="77">
        <f t="shared" ca="1" si="64"/>
        <v>0</v>
      </c>
      <c r="V317" s="77">
        <v>0</v>
      </c>
      <c r="W317" s="77">
        <v>0</v>
      </c>
      <c r="X317" s="37">
        <v>0</v>
      </c>
      <c r="Y317" s="77">
        <v>0</v>
      </c>
      <c r="Z317" s="77">
        <v>0</v>
      </c>
      <c r="AA317" s="89">
        <v>0</v>
      </c>
      <c r="AB317" s="77">
        <f t="shared" ca="1" si="49"/>
        <v>0</v>
      </c>
      <c r="AC317" s="77">
        <v>0</v>
      </c>
      <c r="AD317" s="116">
        <v>0</v>
      </c>
      <c r="AE317" s="77">
        <f ca="1">INT(((AD317*Valores!$C$2)*100)+0.5)/100</f>
        <v>0</v>
      </c>
      <c r="AF317" s="77"/>
      <c r="AG317" s="77"/>
      <c r="AH317" s="77">
        <f ca="1">SUM(G317,I317,K317,M317,N317,O317,P317,Q317,R317,S317,U317,V317,W317,Y317,Z317,AA317,AB317,AC317,AE317,AF317,AG317)*Valores!$C$54</f>
        <v>0</v>
      </c>
      <c r="AI317" s="141">
        <f t="shared" ca="1" si="52"/>
        <v>19860.440000000002</v>
      </c>
      <c r="AJ317" s="141"/>
      <c r="AK317" s="79">
        <f ca="1">Valores!$C$11+AK316</f>
        <v>102.12000000000002</v>
      </c>
      <c r="AL317" s="89">
        <v>0</v>
      </c>
      <c r="AM317" s="79">
        <f ca="1">IF($G$4="SI",SUM(AK317+AL317),AK317)*Valores!$C$54</f>
        <v>0</v>
      </c>
      <c r="AN317" s="12">
        <f t="shared" ca="1" si="53"/>
        <v>102.12000000000002</v>
      </c>
      <c r="AO317" s="13">
        <f ca="1">AI317*-Valores!$C$56</f>
        <v>-2581.8572000000004</v>
      </c>
      <c r="AP317" s="13">
        <f ca="1">AI317*-Valores!$C$57</f>
        <v>-99.302200000000013</v>
      </c>
      <c r="AQ317" s="78">
        <f ca="1">AI317*-Valores!$C$58</f>
        <v>-893.71980000000008</v>
      </c>
      <c r="AR317" s="78">
        <f ca="1">AI317*-Valores!$C$59</f>
        <v>-536.23188000000016</v>
      </c>
      <c r="AS317" s="78">
        <f ca="1">AI317*-Valores!$C$60</f>
        <v>-59.581320000000005</v>
      </c>
      <c r="AT317" s="15">
        <f t="shared" ca="1" si="50"/>
        <v>16387.680800000002</v>
      </c>
      <c r="AU317" s="15">
        <f t="shared" ca="1" si="51"/>
        <v>16685.5874</v>
      </c>
      <c r="AV317" s="78">
        <f ca="1">AI317*Valores!$C$61</f>
        <v>3177.6704000000004</v>
      </c>
      <c r="AW317" s="78">
        <f ca="1">AI317*Valores!$C$62</f>
        <v>893.71980000000008</v>
      </c>
      <c r="AX317" s="78">
        <f ca="1">AI317*Valores!$C$64</f>
        <v>198.60440000000003</v>
      </c>
      <c r="AY317" s="78">
        <f ca="1">AI317*Valores!$C$65</f>
        <v>695.11540000000014</v>
      </c>
      <c r="AZ317" s="78">
        <f ca="1">AI317*Valores!$C$66</f>
        <v>119.16264000000001</v>
      </c>
      <c r="BA317" s="78">
        <f t="shared" ca="1" si="54"/>
        <v>1072.4637600000001</v>
      </c>
    </row>
    <row r="318" spans="1:56" ht="11.25" customHeight="1" x14ac:dyDescent="0.2">
      <c r="A318" s="20">
        <v>317</v>
      </c>
      <c r="B318" s="20"/>
      <c r="D318" s="24">
        <v>1</v>
      </c>
      <c r="E318" s="8" t="s">
        <v>430</v>
      </c>
      <c r="F318" s="36">
        <f t="shared" ca="1" si="65"/>
        <v>2015</v>
      </c>
      <c r="G318" s="7">
        <f ca="1">INT((F318*Valores!$C$2*100)+0.5)/100</f>
        <v>10346.42</v>
      </c>
      <c r="H318" s="134">
        <v>0</v>
      </c>
      <c r="I318" s="77">
        <f ca="1">INT((H318*Valores!$C$2*100)+0.5)/100</f>
        <v>0</v>
      </c>
      <c r="J318" s="147">
        <v>0</v>
      </c>
      <c r="K318" s="77">
        <f ca="1">INT((J318*Valores!$C$2*100)+0.5)/100</f>
        <v>0</v>
      </c>
      <c r="L318" s="120">
        <v>0</v>
      </c>
      <c r="M318" s="77">
        <f ca="1">INT((L318*Valores!$C$2*100)+0.5)/100</f>
        <v>0</v>
      </c>
      <c r="N318" s="77">
        <f t="shared" ca="1" si="62"/>
        <v>0</v>
      </c>
      <c r="O318" s="77">
        <f t="shared" ca="1" si="63"/>
        <v>10757.74</v>
      </c>
      <c r="P318" s="61">
        <v>0</v>
      </c>
      <c r="Q318" s="61">
        <v>0</v>
      </c>
      <c r="R318" s="77">
        <v>0</v>
      </c>
      <c r="S318" s="79">
        <f ca="1">Valores!$C$45+S317</f>
        <v>411.31999999999988</v>
      </c>
      <c r="T318" s="61">
        <v>0</v>
      </c>
      <c r="U318" s="77">
        <f t="shared" ca="1" si="64"/>
        <v>0</v>
      </c>
      <c r="V318" s="77">
        <v>0</v>
      </c>
      <c r="W318" s="77">
        <v>0</v>
      </c>
      <c r="X318" s="37">
        <v>0</v>
      </c>
      <c r="Y318" s="77">
        <v>0</v>
      </c>
      <c r="Z318" s="77">
        <v>0</v>
      </c>
      <c r="AA318" s="89">
        <v>0</v>
      </c>
      <c r="AB318" s="77">
        <f t="shared" ca="1" si="49"/>
        <v>0</v>
      </c>
      <c r="AC318" s="77">
        <v>0</v>
      </c>
      <c r="AD318" s="116">
        <v>0</v>
      </c>
      <c r="AE318" s="77">
        <f ca="1">INT(((AD318*Valores!$C$2)*100)+0.5)/100</f>
        <v>0</v>
      </c>
      <c r="AF318" s="77"/>
      <c r="AG318" s="77"/>
      <c r="AH318" s="77">
        <f ca="1">SUM(G318,I318,K318,M318,N318,O318,P318,Q318,R318,S318,U318,V318,W318,Y318,Z318,AA318,AB318,AC318,AE318,AF318,AG318)*Valores!$C$54</f>
        <v>0</v>
      </c>
      <c r="AI318" s="141">
        <f t="shared" ca="1" si="52"/>
        <v>21515.48</v>
      </c>
      <c r="AJ318" s="141"/>
      <c r="AK318" s="79">
        <f ca="1">Valores!$C$11+AK317</f>
        <v>110.63000000000002</v>
      </c>
      <c r="AL318" s="89">
        <v>0</v>
      </c>
      <c r="AM318" s="79">
        <f ca="1">IF($G$4="SI",SUM(AK318+AL318),AK318)*Valores!$C$54</f>
        <v>0</v>
      </c>
      <c r="AN318" s="12">
        <f t="shared" ca="1" si="53"/>
        <v>110.63000000000002</v>
      </c>
      <c r="AO318" s="13">
        <f ca="1">AI318*-Valores!$C$56</f>
        <v>-2797.0124000000001</v>
      </c>
      <c r="AP318" s="13">
        <f ca="1">AI318*-Valores!$C$57</f>
        <v>-107.5774</v>
      </c>
      <c r="AQ318" s="78">
        <f ca="1">AI318*-Valores!$C$58</f>
        <v>-968.19659999999999</v>
      </c>
      <c r="AR318" s="78">
        <f ca="1">AI318*-Valores!$C$59</f>
        <v>-580.91796000000011</v>
      </c>
      <c r="AS318" s="78">
        <f ca="1">AI318*-Valores!$C$60</f>
        <v>-64.546440000000004</v>
      </c>
      <c r="AT318" s="15">
        <f t="shared" ca="1" si="50"/>
        <v>17753.323600000003</v>
      </c>
      <c r="AU318" s="15">
        <f t="shared" ca="1" si="51"/>
        <v>18076.055800000006</v>
      </c>
      <c r="AV318" s="78">
        <f ca="1">AI318*Valores!$C$61</f>
        <v>3442.4767999999999</v>
      </c>
      <c r="AW318" s="78">
        <f ca="1">AI318*Valores!$C$62</f>
        <v>968.19659999999999</v>
      </c>
      <c r="AX318" s="78">
        <f ca="1">AI318*Valores!$C$64</f>
        <v>215.15479999999999</v>
      </c>
      <c r="AY318" s="78">
        <f ca="1">AI318*Valores!$C$65</f>
        <v>753.04180000000008</v>
      </c>
      <c r="AZ318" s="78">
        <f ca="1">AI318*Valores!$C$66</f>
        <v>129.09288000000001</v>
      </c>
      <c r="BA318" s="78">
        <f t="shared" ca="1" si="54"/>
        <v>1161.83592</v>
      </c>
    </row>
    <row r="319" spans="1:56" ht="11.25" customHeight="1" x14ac:dyDescent="0.2">
      <c r="A319" s="20">
        <v>318</v>
      </c>
      <c r="B319" s="20"/>
      <c r="D319" s="24">
        <v>1</v>
      </c>
      <c r="E319" s="8" t="s">
        <v>431</v>
      </c>
      <c r="F319" s="36">
        <f t="shared" ca="1" si="65"/>
        <v>2170</v>
      </c>
      <c r="G319" s="7">
        <f ca="1">INT((F319*Valores!$C$2*100)+0.5)/100</f>
        <v>11142.3</v>
      </c>
      <c r="H319" s="134">
        <v>0</v>
      </c>
      <c r="I319" s="77">
        <f ca="1">INT((H319*Valores!$C$2*100)+0.5)/100</f>
        <v>0</v>
      </c>
      <c r="J319" s="147">
        <v>0</v>
      </c>
      <c r="K319" s="77">
        <f ca="1">INT((J319*Valores!$C$2*100)+0.5)/100</f>
        <v>0</v>
      </c>
      <c r="L319" s="120">
        <v>0</v>
      </c>
      <c r="M319" s="77">
        <f ca="1">INT((L319*Valores!$C$2*100)+0.5)/100</f>
        <v>0</v>
      </c>
      <c r="N319" s="77">
        <f t="shared" ca="1" si="62"/>
        <v>0</v>
      </c>
      <c r="O319" s="77">
        <f t="shared" ca="1" si="63"/>
        <v>11585.259999999998</v>
      </c>
      <c r="P319" s="61">
        <v>0</v>
      </c>
      <c r="Q319" s="61">
        <v>0</v>
      </c>
      <c r="R319" s="77">
        <v>0</v>
      </c>
      <c r="S319" s="79">
        <f ca="1">Valores!$C$45+S318</f>
        <v>442.95999999999987</v>
      </c>
      <c r="T319" s="79">
        <v>0</v>
      </c>
      <c r="U319" s="77">
        <f t="shared" ca="1" si="64"/>
        <v>0</v>
      </c>
      <c r="V319" s="77">
        <v>0</v>
      </c>
      <c r="W319" s="77">
        <v>0</v>
      </c>
      <c r="X319" s="37">
        <v>0</v>
      </c>
      <c r="Y319" s="77">
        <v>0</v>
      </c>
      <c r="Z319" s="77">
        <v>0</v>
      </c>
      <c r="AA319" s="89">
        <v>0</v>
      </c>
      <c r="AB319" s="77">
        <f t="shared" ca="1" si="49"/>
        <v>0</v>
      </c>
      <c r="AC319" s="77">
        <v>0</v>
      </c>
      <c r="AD319" s="116">
        <v>0</v>
      </c>
      <c r="AE319" s="77">
        <f ca="1">INT(((AD319*Valores!$C$2)*100)+0.5)/100</f>
        <v>0</v>
      </c>
      <c r="AF319" s="77"/>
      <c r="AG319" s="77"/>
      <c r="AH319" s="77">
        <f ca="1">SUM(G319,I319,K319,M319,N319,O319,P319,Q319,R319,S319,U319,V319,W319,Y319,Z319,AA319,AB319,AC319,AE319,AF319,AG319)*Valores!$C$54</f>
        <v>0</v>
      </c>
      <c r="AI319" s="141">
        <f t="shared" ca="1" si="52"/>
        <v>23170.519999999997</v>
      </c>
      <c r="AJ319" s="141"/>
      <c r="AK319" s="79">
        <f ca="1">Valores!$C$11+AK318</f>
        <v>119.14000000000003</v>
      </c>
      <c r="AL319" s="89">
        <v>0</v>
      </c>
      <c r="AM319" s="79">
        <f ca="1">IF($G$4="SI",SUM(AK319+AL319),AK319)*Valores!$C$54</f>
        <v>0</v>
      </c>
      <c r="AN319" s="12">
        <f t="shared" ca="1" si="53"/>
        <v>119.14000000000003</v>
      </c>
      <c r="AO319" s="13">
        <f ca="1">AI319*-Valores!$C$56</f>
        <v>-3012.1675999999998</v>
      </c>
      <c r="AP319" s="13">
        <f ca="1">AI319*-Valores!$C$57</f>
        <v>-115.85259999999998</v>
      </c>
      <c r="AQ319" s="78">
        <f ca="1">AI319*-Valores!$C$58</f>
        <v>-1042.6733999999999</v>
      </c>
      <c r="AR319" s="78">
        <f ca="1">AI319*-Valores!$C$59</f>
        <v>-625.60403999999994</v>
      </c>
      <c r="AS319" s="78">
        <f ca="1">AI319*-Valores!$C$60</f>
        <v>-69.511559999999989</v>
      </c>
      <c r="AT319" s="15">
        <f t="shared" ca="1" si="50"/>
        <v>19118.966399999998</v>
      </c>
      <c r="AU319" s="15">
        <f t="shared" ca="1" si="51"/>
        <v>19466.5242</v>
      </c>
      <c r="AV319" s="78">
        <f ca="1">AI319*Valores!$C$61</f>
        <v>3707.2831999999994</v>
      </c>
      <c r="AW319" s="78">
        <f ca="1">AI319*Valores!$C$62</f>
        <v>1042.6733999999999</v>
      </c>
      <c r="AX319" s="78">
        <f ca="1">AI319*Valores!$C$64</f>
        <v>231.70519999999996</v>
      </c>
      <c r="AY319" s="78">
        <f ca="1">AI319*Valores!$C$65</f>
        <v>810.96819999999991</v>
      </c>
      <c r="AZ319" s="78">
        <f ca="1">AI319*Valores!$C$66</f>
        <v>139.02311999999998</v>
      </c>
      <c r="BA319" s="78">
        <f t="shared" ca="1" si="54"/>
        <v>1251.2080799999999</v>
      </c>
      <c r="BC319" s="56"/>
    </row>
    <row r="320" spans="1:56" ht="11.25" customHeight="1" x14ac:dyDescent="0.2">
      <c r="A320" s="20">
        <v>319</v>
      </c>
      <c r="B320" s="20"/>
      <c r="D320" s="24">
        <v>1</v>
      </c>
      <c r="E320" s="8" t="s">
        <v>432</v>
      </c>
      <c r="F320" s="36">
        <f t="shared" ca="1" si="65"/>
        <v>2325</v>
      </c>
      <c r="G320" s="7">
        <f ca="1">INT((F320*Valores!$C$2*100)+0.5)/100</f>
        <v>11938.18</v>
      </c>
      <c r="H320" s="134">
        <v>0</v>
      </c>
      <c r="I320" s="77">
        <f ca="1">INT((H320*Valores!$C$2*100)+0.5)/100</f>
        <v>0</v>
      </c>
      <c r="J320" s="147">
        <v>0</v>
      </c>
      <c r="K320" s="77">
        <f ca="1">INT((J320*Valores!$C$2*100)+0.5)/100</f>
        <v>0</v>
      </c>
      <c r="L320" s="120">
        <v>0</v>
      </c>
      <c r="M320" s="77">
        <f ca="1">INT((L320*Valores!$C$2*100)+0.5)/100</f>
        <v>0</v>
      </c>
      <c r="N320" s="77">
        <f t="shared" ca="1" si="62"/>
        <v>0</v>
      </c>
      <c r="O320" s="77">
        <f t="shared" ca="1" si="63"/>
        <v>12412.78</v>
      </c>
      <c r="P320" s="61">
        <v>0</v>
      </c>
      <c r="Q320" s="61">
        <v>0</v>
      </c>
      <c r="R320" s="77">
        <v>0</v>
      </c>
      <c r="S320" s="79">
        <f ca="1">Valores!$C$45+S319</f>
        <v>474.59999999999985</v>
      </c>
      <c r="T320" s="61">
        <v>0</v>
      </c>
      <c r="U320" s="77">
        <f t="shared" ca="1" si="64"/>
        <v>0</v>
      </c>
      <c r="V320" s="77">
        <v>0</v>
      </c>
      <c r="W320" s="77">
        <v>0</v>
      </c>
      <c r="X320" s="37">
        <v>0</v>
      </c>
      <c r="Y320" s="77">
        <v>0</v>
      </c>
      <c r="Z320" s="77">
        <v>0</v>
      </c>
      <c r="AA320" s="89">
        <v>0</v>
      </c>
      <c r="AB320" s="77">
        <f t="shared" ca="1" si="49"/>
        <v>0</v>
      </c>
      <c r="AC320" s="77">
        <v>0</v>
      </c>
      <c r="AD320" s="116">
        <v>0</v>
      </c>
      <c r="AE320" s="77">
        <f ca="1">INT(((AD320*Valores!$C$2)*100)+0.5)/100</f>
        <v>0</v>
      </c>
      <c r="AF320" s="77"/>
      <c r="AG320" s="77"/>
      <c r="AH320" s="77">
        <f ca="1">SUM(G320,I320,K320,M320,N320,O320,P320,Q320,R320,S320,U320,V320,W320,Y320,Z320,AA320,AB320,AC320,AE320,AF320,AG320)*Valores!$C$54</f>
        <v>0</v>
      </c>
      <c r="AI320" s="141">
        <f t="shared" ca="1" si="52"/>
        <v>24825.559999999998</v>
      </c>
      <c r="AJ320" s="141"/>
      <c r="AK320" s="79">
        <f ca="1">Valores!$C$11+AK319</f>
        <v>127.65000000000003</v>
      </c>
      <c r="AL320" s="89">
        <v>0</v>
      </c>
      <c r="AM320" s="79">
        <f ca="1">IF($G$4="SI",SUM(AK320+AL320),AK320)*Valores!$C$54</f>
        <v>0</v>
      </c>
      <c r="AN320" s="12">
        <f t="shared" ca="1" si="53"/>
        <v>127.65000000000003</v>
      </c>
      <c r="AO320" s="13">
        <f ca="1">AI320*-Valores!$C$56</f>
        <v>-3227.3227999999999</v>
      </c>
      <c r="AP320" s="13">
        <f ca="1">AI320*-Valores!$C$57</f>
        <v>-124.12779999999999</v>
      </c>
      <c r="AQ320" s="78">
        <f ca="1">AI320*-Valores!$C$58</f>
        <v>-1117.1501999999998</v>
      </c>
      <c r="AR320" s="78">
        <f ca="1">AI320*-Valores!$C$59</f>
        <v>-670.29012</v>
      </c>
      <c r="AS320" s="78">
        <f ca="1">AI320*-Valores!$C$60</f>
        <v>-74.476679999999988</v>
      </c>
      <c r="AT320" s="15">
        <f t="shared" ca="1" si="50"/>
        <v>20484.609199999999</v>
      </c>
      <c r="AU320" s="15">
        <f t="shared" ca="1" si="51"/>
        <v>20856.992599999998</v>
      </c>
      <c r="AV320" s="78">
        <f ca="1">AI320*Valores!$C$61</f>
        <v>3972.0895999999998</v>
      </c>
      <c r="AW320" s="78">
        <f ca="1">AI320*Valores!$C$62</f>
        <v>1117.1501999999998</v>
      </c>
      <c r="AX320" s="78">
        <f ca="1">AI320*Valores!$C$64</f>
        <v>248.25559999999999</v>
      </c>
      <c r="AY320" s="78">
        <f ca="1">AI320*Valores!$C$65</f>
        <v>868.89459999999997</v>
      </c>
      <c r="AZ320" s="78">
        <f ca="1">AI320*Valores!$C$66</f>
        <v>148.95335999999998</v>
      </c>
      <c r="BA320" s="78">
        <f t="shared" ca="1" si="54"/>
        <v>1340.58024</v>
      </c>
    </row>
    <row r="321" spans="1:56" ht="11.25" customHeight="1" x14ac:dyDescent="0.2">
      <c r="A321" s="55">
        <v>320</v>
      </c>
      <c r="B321" s="55" t="s">
        <v>462</v>
      </c>
      <c r="C321" s="59"/>
      <c r="D321" s="24">
        <v>1</v>
      </c>
      <c r="E321" s="58" t="s">
        <v>433</v>
      </c>
      <c r="F321" s="67">
        <f ca="1">155+F320</f>
        <v>2480</v>
      </c>
      <c r="G321" s="129">
        <f ca="1">INT((F321*Valores!$C$2*100)+0.5)/100</f>
        <v>12734.06</v>
      </c>
      <c r="H321" s="133">
        <v>0</v>
      </c>
      <c r="I321" s="80">
        <f ca="1">INT((H321*Valores!$C$2*100)+0.5)/100</f>
        <v>0</v>
      </c>
      <c r="J321" s="148">
        <v>0</v>
      </c>
      <c r="K321" s="80">
        <f ca="1">INT((J321*Valores!$C$2*100)+0.5)/100</f>
        <v>0</v>
      </c>
      <c r="L321" s="121">
        <v>0</v>
      </c>
      <c r="M321" s="80">
        <f ca="1">INT((L321*Valores!$C$2*100)+0.5)/100</f>
        <v>0</v>
      </c>
      <c r="N321" s="80">
        <f t="shared" ca="1" si="62"/>
        <v>0</v>
      </c>
      <c r="O321" s="80">
        <f t="shared" ca="1" si="63"/>
        <v>13240.3</v>
      </c>
      <c r="P321" s="85">
        <v>0</v>
      </c>
      <c r="Q321" s="85">
        <v>0</v>
      </c>
      <c r="R321" s="80">
        <v>0</v>
      </c>
      <c r="S321" s="82">
        <f ca="1">Valores!$C$45+S320</f>
        <v>506.23999999999984</v>
      </c>
      <c r="T321" s="85">
        <v>0</v>
      </c>
      <c r="U321" s="80">
        <f t="shared" ca="1" si="64"/>
        <v>0</v>
      </c>
      <c r="V321" s="80">
        <v>0</v>
      </c>
      <c r="W321" s="80">
        <v>0</v>
      </c>
      <c r="X321" s="60">
        <v>0</v>
      </c>
      <c r="Y321" s="80">
        <v>0</v>
      </c>
      <c r="Z321" s="80">
        <v>0</v>
      </c>
      <c r="AA321" s="90">
        <v>0</v>
      </c>
      <c r="AB321" s="80">
        <f t="shared" ca="1" si="49"/>
        <v>0</v>
      </c>
      <c r="AC321" s="80">
        <v>0</v>
      </c>
      <c r="AD321" s="115">
        <v>0</v>
      </c>
      <c r="AE321" s="80">
        <f ca="1">INT(((AD321*Valores!$C$2)*100)+0.5)/100</f>
        <v>0</v>
      </c>
      <c r="AF321" s="80"/>
      <c r="AG321" s="80"/>
      <c r="AH321" s="80">
        <f ca="1">SUM(G321,I321,K321,M321,N321,O321,P321,Q321,R321,S321,U321,V321,W321,Y321,Z321,AA321,AB321,AC321,AE321,AF321,AG321)*Valores!$C$54</f>
        <v>0</v>
      </c>
      <c r="AI321" s="142">
        <f t="shared" ca="1" si="52"/>
        <v>26480.600000000002</v>
      </c>
      <c r="AJ321" s="142"/>
      <c r="AK321" s="82">
        <f ca="1">Valores!$C$11+AK320</f>
        <v>136.16000000000003</v>
      </c>
      <c r="AL321" s="90">
        <v>0</v>
      </c>
      <c r="AM321" s="82">
        <f ca="1">IF($G$4="SI",SUM(AK321+AL321),AK321)*Valores!$C$54</f>
        <v>0</v>
      </c>
      <c r="AN321" s="186">
        <f t="shared" ca="1" si="53"/>
        <v>136.16000000000003</v>
      </c>
      <c r="AO321" s="155">
        <f ca="1">AI321*-Valores!$C$56</f>
        <v>-3442.4780000000005</v>
      </c>
      <c r="AP321" s="155">
        <f ca="1">AI321*-Valores!$C$57</f>
        <v>-132.40300000000002</v>
      </c>
      <c r="AQ321" s="81">
        <f ca="1">AI321*-Valores!$C$58</f>
        <v>-1191.627</v>
      </c>
      <c r="AR321" s="81">
        <f ca="1">AI321*-Valores!$C$59</f>
        <v>-714.97620000000018</v>
      </c>
      <c r="AS321" s="81">
        <f ca="1">AI321*-Valores!$C$60</f>
        <v>-79.441800000000015</v>
      </c>
      <c r="AT321" s="54">
        <f t="shared" ca="1" si="50"/>
        <v>21850.252000000004</v>
      </c>
      <c r="AU321" s="54">
        <f t="shared" ca="1" si="51"/>
        <v>22247.461000000003</v>
      </c>
      <c r="AV321" s="81">
        <f ca="1">AI321*Valores!$C$61</f>
        <v>4236.8960000000006</v>
      </c>
      <c r="AW321" s="81">
        <f ca="1">AI321*Valores!$C$62</f>
        <v>1191.627</v>
      </c>
      <c r="AX321" s="81">
        <f ca="1">AI321*Valores!$C$64</f>
        <v>264.80600000000004</v>
      </c>
      <c r="AY321" s="81">
        <f ca="1">AI321*Valores!$C$65</f>
        <v>926.82100000000014</v>
      </c>
      <c r="AZ321" s="81">
        <f ca="1">AI321*Valores!$C$66</f>
        <v>158.88360000000003</v>
      </c>
      <c r="BA321" s="81">
        <f t="shared" ca="1" si="54"/>
        <v>1429.9524000000001</v>
      </c>
      <c r="BB321" s="56"/>
      <c r="BC321" s="56"/>
      <c r="BD321" s="52"/>
    </row>
    <row r="322" spans="1:56" ht="11.25" customHeight="1" x14ac:dyDescent="0.2">
      <c r="A322" s="20">
        <v>321</v>
      </c>
      <c r="B322" s="20"/>
      <c r="C322" s="26" t="s">
        <v>443</v>
      </c>
      <c r="D322" s="24">
        <v>1</v>
      </c>
      <c r="E322" s="8" t="s">
        <v>434</v>
      </c>
      <c r="F322" s="36">
        <f>232+8</f>
        <v>240</v>
      </c>
      <c r="G322" s="7">
        <f ca="1">INT((F322*Valores!$C$2*100)+0.5)/100</f>
        <v>1232.33</v>
      </c>
      <c r="H322" s="134">
        <v>0</v>
      </c>
      <c r="I322" s="77">
        <f ca="1">INT((H322*Valores!$C$2*100)+0.5)/100</f>
        <v>0</v>
      </c>
      <c r="J322" s="147">
        <v>0</v>
      </c>
      <c r="K322" s="77">
        <f ca="1">INT((J322*Valores!$C$2*100)+0.5)/100</f>
        <v>0</v>
      </c>
      <c r="L322" s="120">
        <v>0</v>
      </c>
      <c r="M322" s="77">
        <f ca="1">INT((L322*Valores!$C$2*100)+0.5)/100</f>
        <v>0</v>
      </c>
      <c r="N322" s="77">
        <f t="shared" ca="1" si="62"/>
        <v>0</v>
      </c>
      <c r="O322" s="77">
        <f t="shared" ca="1" si="63"/>
        <v>1308.23</v>
      </c>
      <c r="P322" s="61">
        <v>0</v>
      </c>
      <c r="Q322" s="61">
        <v>0</v>
      </c>
      <c r="R322" s="77">
        <v>0</v>
      </c>
      <c r="S322" s="79">
        <f>Valores!$C$46</f>
        <v>75.900000000000006</v>
      </c>
      <c r="T322" s="61">
        <v>0</v>
      </c>
      <c r="U322" s="77">
        <f t="shared" ca="1" si="64"/>
        <v>0</v>
      </c>
      <c r="V322" s="77">
        <v>0</v>
      </c>
      <c r="W322" s="77">
        <v>0</v>
      </c>
      <c r="X322" s="37">
        <v>0</v>
      </c>
      <c r="Y322" s="77">
        <v>0</v>
      </c>
      <c r="Z322" s="77">
        <v>0</v>
      </c>
      <c r="AA322" s="89">
        <v>0</v>
      </c>
      <c r="AB322" s="77">
        <f t="shared" ref="AB322:AB327" ca="1" si="66">SUM(G322,I322,K322,Y322,S322,M322)*$G$3/100</f>
        <v>0</v>
      </c>
      <c r="AC322" s="77">
        <v>0</v>
      </c>
      <c r="AD322" s="116">
        <v>0</v>
      </c>
      <c r="AE322" s="77">
        <f ca="1">INT(((AD322*Valores!$C$2)*100)+0.5)/100</f>
        <v>0</v>
      </c>
      <c r="AF322" s="77"/>
      <c r="AG322" s="77"/>
      <c r="AH322" s="77">
        <f ca="1">SUM(G322,I322,K322,M322,N322,O322,P322,Q322,R322,S322,U322,V322,W322,Y322,Z322,AA322,AB322,AC322,AE322,AF322,AG322)*Valores!$C$54</f>
        <v>0</v>
      </c>
      <c r="AI322" s="141">
        <f t="shared" ca="1" si="52"/>
        <v>2616.46</v>
      </c>
      <c r="AJ322" s="141"/>
      <c r="AK322" s="79">
        <f>Valores!$C$12</f>
        <v>20.420000000000002</v>
      </c>
      <c r="AL322" s="89">
        <v>0</v>
      </c>
      <c r="AM322" s="79">
        <f ca="1">IF($G$4="SI",SUM(AK322+AL322),AK322)*Valores!$C$54</f>
        <v>0</v>
      </c>
      <c r="AN322" s="12">
        <f t="shared" ca="1" si="53"/>
        <v>20.420000000000002</v>
      </c>
      <c r="AO322" s="13">
        <f ca="1">AI322*-Valores!$C$56</f>
        <v>-340.13980000000004</v>
      </c>
      <c r="AP322" s="13">
        <f ca="1">AI322*-Valores!$C$57</f>
        <v>-13.0823</v>
      </c>
      <c r="AQ322" s="78">
        <f ca="1">AI322*-Valores!$C$58</f>
        <v>-117.7407</v>
      </c>
      <c r="AR322" s="78">
        <f ca="1">AI322*-Valores!$C$59</f>
        <v>-70.644420000000011</v>
      </c>
      <c r="AS322" s="78">
        <f ca="1">AI322*-Valores!$C$60</f>
        <v>-7.84938</v>
      </c>
      <c r="AT322" s="15">
        <f t="shared" ca="1" si="50"/>
        <v>2165.9172000000003</v>
      </c>
      <c r="AU322" s="15">
        <f t="shared" ca="1" si="51"/>
        <v>2205.1641</v>
      </c>
      <c r="AV322" s="78">
        <f ca="1">AI322*Valores!$C$61</f>
        <v>418.6336</v>
      </c>
      <c r="AW322" s="78">
        <f ca="1">AI322*Valores!$C$62</f>
        <v>117.7407</v>
      </c>
      <c r="AX322" s="78">
        <f ca="1">AI322*Valores!$C$64</f>
        <v>26.1646</v>
      </c>
      <c r="AY322" s="78">
        <f ca="1">AI322*Valores!$C$65</f>
        <v>91.576100000000011</v>
      </c>
      <c r="AZ322" s="78">
        <f ca="1">AI322*Valores!$C$66</f>
        <v>15.69876</v>
      </c>
      <c r="BA322" s="78">
        <f t="shared" ca="1" si="54"/>
        <v>141.28884000000002</v>
      </c>
      <c r="BD322" s="9" t="s">
        <v>467</v>
      </c>
    </row>
    <row r="323" spans="1:56" ht="11.25" customHeight="1" x14ac:dyDescent="0.2">
      <c r="A323" s="20">
        <v>322</v>
      </c>
      <c r="B323" s="20"/>
      <c r="C323" s="38" t="s">
        <v>443</v>
      </c>
      <c r="D323" s="24">
        <v>1</v>
      </c>
      <c r="E323" s="8" t="s">
        <v>435</v>
      </c>
      <c r="F323" s="36">
        <f>208+8</f>
        <v>216</v>
      </c>
      <c r="G323" s="7">
        <f ca="1">INT((F323*Valores!$C$2*100)+0.5)/100</f>
        <v>1109.0999999999999</v>
      </c>
      <c r="H323" s="134">
        <v>0</v>
      </c>
      <c r="I323" s="77">
        <f ca="1">INT((H323*Valores!$C$2*100)+0.5)/100</f>
        <v>0</v>
      </c>
      <c r="J323" s="147">
        <v>0</v>
      </c>
      <c r="K323" s="77">
        <f ca="1">INT((J323*Valores!$C$2*100)+0.5)/100</f>
        <v>0</v>
      </c>
      <c r="L323" s="120">
        <v>0</v>
      </c>
      <c r="M323" s="77">
        <f ca="1">INT((L323*Valores!$C$2*100)+0.5)/100</f>
        <v>0</v>
      </c>
      <c r="N323" s="77">
        <f t="shared" ca="1" si="62"/>
        <v>0</v>
      </c>
      <c r="O323" s="77">
        <f t="shared" ca="1" si="63"/>
        <v>1185</v>
      </c>
      <c r="P323" s="61">
        <v>0</v>
      </c>
      <c r="Q323" s="61">
        <v>0</v>
      </c>
      <c r="R323" s="77">
        <v>0</v>
      </c>
      <c r="S323" s="79">
        <f>Valores!$C$46</f>
        <v>75.900000000000006</v>
      </c>
      <c r="T323" s="61">
        <v>0</v>
      </c>
      <c r="U323" s="77">
        <f t="shared" ca="1" si="64"/>
        <v>0</v>
      </c>
      <c r="V323" s="77">
        <v>0</v>
      </c>
      <c r="W323" s="77">
        <v>0</v>
      </c>
      <c r="X323" s="37">
        <v>0</v>
      </c>
      <c r="Y323" s="77">
        <v>0</v>
      </c>
      <c r="Z323" s="77">
        <v>0</v>
      </c>
      <c r="AA323" s="89">
        <v>0</v>
      </c>
      <c r="AB323" s="77">
        <f t="shared" ca="1" si="66"/>
        <v>0</v>
      </c>
      <c r="AC323" s="77">
        <v>0</v>
      </c>
      <c r="AD323" s="116">
        <v>0</v>
      </c>
      <c r="AE323" s="77">
        <f ca="1">INT(((AD323*Valores!$C$2)*100)+0.5)/100</f>
        <v>0</v>
      </c>
      <c r="AF323" s="77"/>
      <c r="AG323" s="77"/>
      <c r="AH323" s="77">
        <f ca="1">SUM(G323,I323,K323,M323,N323,O323,P323,Q323,R323,S323,U323,V323,W323,Y323,Z323,AA323,AB323,AC323,AE323,AF323,AG323)*Valores!$C$54</f>
        <v>0</v>
      </c>
      <c r="AI323" s="141">
        <f t="shared" ca="1" si="52"/>
        <v>2370</v>
      </c>
      <c r="AJ323" s="141"/>
      <c r="AK323" s="79">
        <f>Valores!$C$12</f>
        <v>20.420000000000002</v>
      </c>
      <c r="AL323" s="89">
        <v>0</v>
      </c>
      <c r="AM323" s="79">
        <f ca="1">IF($G$4="SI",SUM(AK323+AL323),AK323)*Valores!$C$54</f>
        <v>0</v>
      </c>
      <c r="AN323" s="12">
        <f t="shared" ca="1" si="53"/>
        <v>20.420000000000002</v>
      </c>
      <c r="AO323" s="13">
        <f ca="1">AI323*-Valores!$C$56</f>
        <v>-308.10000000000002</v>
      </c>
      <c r="AP323" s="13">
        <f ca="1">AI323*-Valores!$C$57</f>
        <v>-11.85</v>
      </c>
      <c r="AQ323" s="78">
        <f ca="1">AI323*-Valores!$C$58</f>
        <v>-106.64999999999999</v>
      </c>
      <c r="AR323" s="78">
        <f ca="1">AI323*-Valores!$C$59</f>
        <v>-63.990000000000009</v>
      </c>
      <c r="AS323" s="78">
        <f ca="1">AI323*-Valores!$C$60</f>
        <v>-7.11</v>
      </c>
      <c r="AT323" s="15">
        <f t="shared" ca="1" si="50"/>
        <v>1963.8200000000002</v>
      </c>
      <c r="AU323" s="15">
        <f t="shared" ca="1" si="51"/>
        <v>1999.3700000000001</v>
      </c>
      <c r="AV323" s="78">
        <f ca="1">AI323*Valores!$C$61</f>
        <v>379.2</v>
      </c>
      <c r="AW323" s="78">
        <f ca="1">AI323*Valores!$C$62</f>
        <v>106.64999999999999</v>
      </c>
      <c r="AX323" s="78">
        <f ca="1">AI323*Valores!$C$64</f>
        <v>23.7</v>
      </c>
      <c r="AY323" s="78">
        <f ca="1">AI323*Valores!$C$65</f>
        <v>82.95</v>
      </c>
      <c r="AZ323" s="78">
        <f ca="1">AI323*Valores!$C$66</f>
        <v>14.22</v>
      </c>
      <c r="BA323" s="78">
        <f t="shared" ca="1" si="54"/>
        <v>127.98</v>
      </c>
      <c r="BD323" s="9" t="s">
        <v>467</v>
      </c>
    </row>
    <row r="324" spans="1:56" ht="11.25" customHeight="1" x14ac:dyDescent="0.2">
      <c r="A324" s="20">
        <v>323</v>
      </c>
      <c r="B324" s="20"/>
      <c r="C324" s="38" t="s">
        <v>443</v>
      </c>
      <c r="D324" s="24">
        <v>1</v>
      </c>
      <c r="E324" s="8" t="s">
        <v>436</v>
      </c>
      <c r="F324" s="36">
        <f>194+8</f>
        <v>202</v>
      </c>
      <c r="G324" s="7">
        <f ca="1">INT((F324*Valores!$C$2*100)+0.5)/100</f>
        <v>1037.21</v>
      </c>
      <c r="H324" s="134">
        <v>0</v>
      </c>
      <c r="I324" s="77">
        <f ca="1">INT((H324*Valores!$C$2*100)+0.5)/100</f>
        <v>0</v>
      </c>
      <c r="J324" s="147">
        <v>0</v>
      </c>
      <c r="K324" s="77">
        <f ca="1">INT((J324*Valores!$C$2*100)+0.5)/100</f>
        <v>0</v>
      </c>
      <c r="L324" s="120">
        <v>0</v>
      </c>
      <c r="M324" s="77">
        <f ca="1">INT((L324*Valores!$C$2*100)+0.5)/100</f>
        <v>0</v>
      </c>
      <c r="N324" s="77">
        <f t="shared" ca="1" si="62"/>
        <v>0</v>
      </c>
      <c r="O324" s="77">
        <f t="shared" ca="1" si="63"/>
        <v>1113.1100000000001</v>
      </c>
      <c r="P324" s="61">
        <v>0</v>
      </c>
      <c r="Q324" s="61">
        <v>0</v>
      </c>
      <c r="R324" s="77">
        <v>0</v>
      </c>
      <c r="S324" s="79">
        <f>Valores!$C$46</f>
        <v>75.900000000000006</v>
      </c>
      <c r="T324" s="61">
        <v>0</v>
      </c>
      <c r="U324" s="77">
        <f t="shared" ca="1" si="64"/>
        <v>0</v>
      </c>
      <c r="V324" s="77">
        <v>0</v>
      </c>
      <c r="W324" s="77">
        <v>0</v>
      </c>
      <c r="X324" s="37">
        <v>0</v>
      </c>
      <c r="Y324" s="77">
        <v>0</v>
      </c>
      <c r="Z324" s="77">
        <v>0</v>
      </c>
      <c r="AA324" s="89">
        <v>0</v>
      </c>
      <c r="AB324" s="77">
        <f t="shared" ca="1" si="66"/>
        <v>0</v>
      </c>
      <c r="AC324" s="77">
        <v>0</v>
      </c>
      <c r="AD324" s="116">
        <v>0</v>
      </c>
      <c r="AE324" s="77">
        <f ca="1">INT(((AD324*Valores!$C$2)*100)+0.5)/100</f>
        <v>0</v>
      </c>
      <c r="AF324" s="77"/>
      <c r="AG324" s="77"/>
      <c r="AH324" s="77">
        <f ca="1">SUM(G324,I324,K324,M324,N324,O324,P324,Q324,R324,S324,U324,V324,W324,Y324,Z324,AA324,AB324,AC324,AE324,AF324,AG324)*Valores!$C$54</f>
        <v>0</v>
      </c>
      <c r="AI324" s="141">
        <f t="shared" ca="1" si="52"/>
        <v>2226.2200000000003</v>
      </c>
      <c r="AJ324" s="141"/>
      <c r="AK324" s="79">
        <f>Valores!$C$12</f>
        <v>20.420000000000002</v>
      </c>
      <c r="AL324" s="89">
        <v>0</v>
      </c>
      <c r="AM324" s="79">
        <f ca="1">IF($G$4="SI",SUM(AK324+AL324),AK324)*Valores!$C$54</f>
        <v>0</v>
      </c>
      <c r="AN324" s="12">
        <f t="shared" ca="1" si="53"/>
        <v>20.420000000000002</v>
      </c>
      <c r="AO324" s="13">
        <f ca="1">AI324*-Valores!$C$56</f>
        <v>-289.40860000000004</v>
      </c>
      <c r="AP324" s="13">
        <f ca="1">AI324*-Valores!$C$57</f>
        <v>-11.131100000000002</v>
      </c>
      <c r="AQ324" s="78">
        <f ca="1">AI324*-Valores!$C$58</f>
        <v>-100.1799</v>
      </c>
      <c r="AR324" s="78">
        <f ca="1">AI324*-Valores!$C$59</f>
        <v>-60.107940000000013</v>
      </c>
      <c r="AS324" s="78">
        <f ca="1">AI324*-Valores!$C$60</f>
        <v>-6.6786600000000007</v>
      </c>
      <c r="AT324" s="15">
        <f t="shared" ca="1" si="50"/>
        <v>1845.9204000000002</v>
      </c>
      <c r="AU324" s="15">
        <f t="shared" ca="1" si="51"/>
        <v>1879.3137000000004</v>
      </c>
      <c r="AV324" s="78">
        <f ca="1">AI324*Valores!$C$61</f>
        <v>356.19520000000006</v>
      </c>
      <c r="AW324" s="78">
        <f ca="1">AI324*Valores!$C$62</f>
        <v>100.1799</v>
      </c>
      <c r="AX324" s="78">
        <f ca="1">AI324*Valores!$C$64</f>
        <v>22.262200000000004</v>
      </c>
      <c r="AY324" s="78">
        <f ca="1">AI324*Valores!$C$65</f>
        <v>77.917700000000011</v>
      </c>
      <c r="AZ324" s="78">
        <f ca="1">AI324*Valores!$C$66</f>
        <v>13.357320000000001</v>
      </c>
      <c r="BA324" s="78">
        <f t="shared" ca="1" si="54"/>
        <v>120.21588000000001</v>
      </c>
      <c r="BD324" s="9" t="s">
        <v>467</v>
      </c>
    </row>
    <row r="325" spans="1:56" ht="11.25" customHeight="1" x14ac:dyDescent="0.2">
      <c r="A325" s="20">
        <v>324</v>
      </c>
      <c r="B325" s="20"/>
      <c r="C325" s="38" t="s">
        <v>443</v>
      </c>
      <c r="D325" s="24">
        <v>1</v>
      </c>
      <c r="E325" s="8" t="s">
        <v>437</v>
      </c>
      <c r="F325" s="36">
        <f>208+8</f>
        <v>216</v>
      </c>
      <c r="G325" s="7">
        <f ca="1">INT((F325*Valores!$C$2*100)+0.5)/100</f>
        <v>1109.0999999999999</v>
      </c>
      <c r="H325" s="134">
        <v>0</v>
      </c>
      <c r="I325" s="77">
        <f ca="1">INT((H325*Valores!$C$2*100)+0.5)/100</f>
        <v>0</v>
      </c>
      <c r="J325" s="147">
        <v>0</v>
      </c>
      <c r="K325" s="77">
        <f ca="1">INT((J325*Valores!$C$2*100)+0.5)/100</f>
        <v>0</v>
      </c>
      <c r="L325" s="120">
        <v>0</v>
      </c>
      <c r="M325" s="77">
        <f ca="1">INT((L325*Valores!$C$2*100)+0.5)/100</f>
        <v>0</v>
      </c>
      <c r="N325" s="77">
        <f t="shared" ca="1" si="62"/>
        <v>0</v>
      </c>
      <c r="O325" s="77">
        <f t="shared" ca="1" si="63"/>
        <v>1185</v>
      </c>
      <c r="P325" s="61">
        <v>0</v>
      </c>
      <c r="Q325" s="61">
        <v>0</v>
      </c>
      <c r="R325" s="77">
        <v>0</v>
      </c>
      <c r="S325" s="79">
        <f>Valores!$C$46</f>
        <v>75.900000000000006</v>
      </c>
      <c r="T325" s="79">
        <v>0</v>
      </c>
      <c r="U325" s="77">
        <f t="shared" ca="1" si="64"/>
        <v>0</v>
      </c>
      <c r="V325" s="77">
        <v>0</v>
      </c>
      <c r="W325" s="77">
        <v>0</v>
      </c>
      <c r="X325" s="37">
        <v>0</v>
      </c>
      <c r="Y325" s="77">
        <v>0</v>
      </c>
      <c r="Z325" s="77">
        <v>0</v>
      </c>
      <c r="AA325" s="89">
        <v>0</v>
      </c>
      <c r="AB325" s="77">
        <f t="shared" ca="1" si="66"/>
        <v>0</v>
      </c>
      <c r="AC325" s="77">
        <v>0</v>
      </c>
      <c r="AD325" s="116">
        <v>0</v>
      </c>
      <c r="AE325" s="77">
        <f ca="1">INT(((AD325*Valores!$C$2)*100)+0.5)/100</f>
        <v>0</v>
      </c>
      <c r="AF325" s="77"/>
      <c r="AG325" s="77"/>
      <c r="AH325" s="77">
        <f ca="1">SUM(G325,I325,K325,M325,N325,O325,P325,Q325,R325,S325,U325,V325,W325,Y325,Z325,AA325,AB325,AC325,AE325,AF325,AG325)*Valores!$C$54</f>
        <v>0</v>
      </c>
      <c r="AI325" s="141">
        <f t="shared" ca="1" si="52"/>
        <v>2370</v>
      </c>
      <c r="AJ325" s="141"/>
      <c r="AK325" s="79">
        <f>Valores!$C$12</f>
        <v>20.420000000000002</v>
      </c>
      <c r="AL325" s="89">
        <v>0</v>
      </c>
      <c r="AM325" s="79">
        <f ca="1">IF($G$4="SI",SUM(AK325+AL325),AK325)*Valores!$C$54</f>
        <v>0</v>
      </c>
      <c r="AN325" s="12">
        <f t="shared" ca="1" si="53"/>
        <v>20.420000000000002</v>
      </c>
      <c r="AO325" s="13">
        <f ca="1">AI325*-Valores!$C$56</f>
        <v>-308.10000000000002</v>
      </c>
      <c r="AP325" s="13">
        <f ca="1">AI325*-Valores!$C$57</f>
        <v>-11.85</v>
      </c>
      <c r="AQ325" s="78">
        <f ca="1">AI325*-Valores!$C$58</f>
        <v>-106.64999999999999</v>
      </c>
      <c r="AR325" s="78">
        <f ca="1">AI325*-Valores!$C$59</f>
        <v>-63.990000000000009</v>
      </c>
      <c r="AS325" s="78">
        <f ca="1">AI325*-Valores!$C$60</f>
        <v>-7.11</v>
      </c>
      <c r="AT325" s="15">
        <f t="shared" ca="1" si="50"/>
        <v>1963.8200000000002</v>
      </c>
      <c r="AU325" s="15">
        <f t="shared" ca="1" si="51"/>
        <v>1999.3700000000001</v>
      </c>
      <c r="AV325" s="78">
        <f ca="1">AI325*Valores!$C$61</f>
        <v>379.2</v>
      </c>
      <c r="AW325" s="78">
        <f ca="1">AI325*Valores!$C$62</f>
        <v>106.64999999999999</v>
      </c>
      <c r="AX325" s="78">
        <f ca="1">AI325*Valores!$C$64</f>
        <v>23.7</v>
      </c>
      <c r="AY325" s="78">
        <f ca="1">AI325*Valores!$C$65</f>
        <v>82.95</v>
      </c>
      <c r="AZ325" s="78">
        <f ca="1">AI325*Valores!$C$66</f>
        <v>14.22</v>
      </c>
      <c r="BA325" s="78">
        <f t="shared" ca="1" si="54"/>
        <v>127.98</v>
      </c>
      <c r="BC325" s="56"/>
      <c r="BD325" s="9" t="s">
        <v>467</v>
      </c>
    </row>
    <row r="326" spans="1:56" ht="11.25" customHeight="1" x14ac:dyDescent="0.2">
      <c r="A326" s="55">
        <v>325</v>
      </c>
      <c r="B326" s="55" t="s">
        <v>462</v>
      </c>
      <c r="C326" s="187" t="s">
        <v>443</v>
      </c>
      <c r="D326" s="24">
        <v>1</v>
      </c>
      <c r="E326" s="58" t="s">
        <v>438</v>
      </c>
      <c r="F326" s="67">
        <f>192+8</f>
        <v>200</v>
      </c>
      <c r="G326" s="129">
        <f ca="1">INT((F326*Valores!$C$2*100)+0.5)/100</f>
        <v>1026.94</v>
      </c>
      <c r="H326" s="133">
        <v>0</v>
      </c>
      <c r="I326" s="80">
        <f ca="1">INT((H326*Valores!$C$2*100)+0.5)/100</f>
        <v>0</v>
      </c>
      <c r="J326" s="148">
        <v>0</v>
      </c>
      <c r="K326" s="80">
        <f ca="1">INT((J326*Valores!$C$2*100)+0.5)/100</f>
        <v>0</v>
      </c>
      <c r="L326" s="121">
        <v>0</v>
      </c>
      <c r="M326" s="80">
        <f ca="1">INT((L326*Valores!$C$2*100)+0.5)/100</f>
        <v>0</v>
      </c>
      <c r="N326" s="80">
        <f t="shared" ca="1" si="62"/>
        <v>0</v>
      </c>
      <c r="O326" s="80">
        <f t="shared" ca="1" si="63"/>
        <v>1102.8400000000001</v>
      </c>
      <c r="P326" s="85">
        <v>0</v>
      </c>
      <c r="Q326" s="85">
        <v>0</v>
      </c>
      <c r="R326" s="80">
        <v>0</v>
      </c>
      <c r="S326" s="82">
        <f>Valores!$C$46</f>
        <v>75.900000000000006</v>
      </c>
      <c r="T326" s="85">
        <v>0</v>
      </c>
      <c r="U326" s="80">
        <f t="shared" ca="1" si="64"/>
        <v>0</v>
      </c>
      <c r="V326" s="80">
        <v>0</v>
      </c>
      <c r="W326" s="80">
        <v>0</v>
      </c>
      <c r="X326" s="60">
        <v>0</v>
      </c>
      <c r="Y326" s="80">
        <v>0</v>
      </c>
      <c r="Z326" s="80">
        <v>0</v>
      </c>
      <c r="AA326" s="90">
        <v>0</v>
      </c>
      <c r="AB326" s="80">
        <f t="shared" ca="1" si="66"/>
        <v>0</v>
      </c>
      <c r="AC326" s="80">
        <v>0</v>
      </c>
      <c r="AD326" s="115">
        <v>0</v>
      </c>
      <c r="AE326" s="80">
        <f ca="1">INT(((AD326*Valores!$C$2)*100)+0.5)/100</f>
        <v>0</v>
      </c>
      <c r="AF326" s="80"/>
      <c r="AG326" s="80"/>
      <c r="AH326" s="80">
        <f ca="1">SUM(G326,I326,K326,M326,N326,O326,P326,Q326,R326,S326,U326,V326,W326,Y326,Z326,AA326,AB326,AC326,AE326,AF326,AG326)*Valores!$C$54</f>
        <v>0</v>
      </c>
      <c r="AI326" s="142">
        <f t="shared" ca="1" si="52"/>
        <v>2205.6800000000003</v>
      </c>
      <c r="AJ326" s="142"/>
      <c r="AK326" s="82">
        <f>Valores!$C$12</f>
        <v>20.420000000000002</v>
      </c>
      <c r="AL326" s="90">
        <v>0</v>
      </c>
      <c r="AM326" s="82">
        <f ca="1">IF($G$4="SI",SUM(AK326+AL326),AK326)*Valores!$C$54</f>
        <v>0</v>
      </c>
      <c r="AN326" s="186">
        <f t="shared" ca="1" si="53"/>
        <v>20.420000000000002</v>
      </c>
      <c r="AO326" s="155">
        <f ca="1">AI326*-Valores!$C$56</f>
        <v>-286.73840000000007</v>
      </c>
      <c r="AP326" s="155">
        <f ca="1">AI326*-Valores!$C$57</f>
        <v>-11.028400000000001</v>
      </c>
      <c r="AQ326" s="81">
        <f ca="1">AI326*-Valores!$C$58</f>
        <v>-99.255600000000015</v>
      </c>
      <c r="AR326" s="81">
        <f ca="1">AI326*-Valores!$C$59</f>
        <v>-59.553360000000012</v>
      </c>
      <c r="AS326" s="81">
        <f ca="1">AI326*-Valores!$C$60</f>
        <v>-6.6170400000000011</v>
      </c>
      <c r="AT326" s="54">
        <f t="shared" ca="1" si="50"/>
        <v>1829.0776000000001</v>
      </c>
      <c r="AU326" s="54">
        <f t="shared" ca="1" si="51"/>
        <v>1862.1628000000001</v>
      </c>
      <c r="AV326" s="81">
        <f ca="1">AI326*Valores!$C$61</f>
        <v>352.90880000000004</v>
      </c>
      <c r="AW326" s="81">
        <f ca="1">AI326*Valores!$C$62</f>
        <v>99.255600000000015</v>
      </c>
      <c r="AX326" s="81">
        <f ca="1">AI326*Valores!$C$64</f>
        <v>22.056800000000003</v>
      </c>
      <c r="AY326" s="81">
        <f ca="1">AI326*Valores!$C$65</f>
        <v>77.19880000000002</v>
      </c>
      <c r="AZ326" s="81">
        <f ca="1">AI326*Valores!$C$66</f>
        <v>13.234080000000002</v>
      </c>
      <c r="BA326" s="81">
        <f t="shared" ca="1" si="54"/>
        <v>119.10672000000002</v>
      </c>
      <c r="BB326" s="56"/>
      <c r="BC326" s="56"/>
      <c r="BD326" s="52" t="s">
        <v>467</v>
      </c>
    </row>
    <row r="327" spans="1:56" ht="11.25" customHeight="1" x14ac:dyDescent="0.15">
      <c r="A327" s="20">
        <v>326</v>
      </c>
      <c r="B327" s="20"/>
      <c r="C327" s="26" t="s">
        <v>443</v>
      </c>
      <c r="E327" s="8" t="s">
        <v>439</v>
      </c>
      <c r="F327" s="36">
        <v>192</v>
      </c>
      <c r="G327" s="7">
        <f ca="1">INT((F327*Valores!$C$2*100)+0.5)/100</f>
        <v>985.86</v>
      </c>
      <c r="H327" s="134">
        <v>0</v>
      </c>
      <c r="I327" s="77">
        <f ca="1">INT((H327*Valores!$C$2*100)+0.5)/100</f>
        <v>0</v>
      </c>
      <c r="J327" s="147">
        <v>0</v>
      </c>
      <c r="K327" s="77">
        <f ca="1">INT((J327*Valores!$C$2*100)+0.5)/100</f>
        <v>0</v>
      </c>
      <c r="L327" s="120">
        <v>0</v>
      </c>
      <c r="M327" s="77">
        <f ca="1">INT((L327*Valores!$C$2*100)+0.5)/100</f>
        <v>0</v>
      </c>
      <c r="N327" s="77">
        <f t="shared" ca="1" si="62"/>
        <v>0</v>
      </c>
      <c r="O327" s="77">
        <f t="shared" ca="1" si="63"/>
        <v>1061.76</v>
      </c>
      <c r="P327" s="61">
        <v>0</v>
      </c>
      <c r="Q327" s="61">
        <v>0</v>
      </c>
      <c r="R327" s="77">
        <v>0</v>
      </c>
      <c r="S327" s="79">
        <f>Valores!$C$46</f>
        <v>75.900000000000006</v>
      </c>
      <c r="T327" s="61">
        <v>0</v>
      </c>
      <c r="U327" s="77">
        <f t="shared" ca="1" si="64"/>
        <v>0</v>
      </c>
      <c r="V327" s="77">
        <v>0</v>
      </c>
      <c r="W327" s="77">
        <v>0</v>
      </c>
      <c r="X327" s="37">
        <v>0</v>
      </c>
      <c r="Y327" s="77">
        <v>0</v>
      </c>
      <c r="Z327" s="77">
        <v>0</v>
      </c>
      <c r="AA327" s="89">
        <v>0</v>
      </c>
      <c r="AB327" s="77">
        <f t="shared" ca="1" si="66"/>
        <v>0</v>
      </c>
      <c r="AC327" s="77">
        <v>0</v>
      </c>
      <c r="AD327" s="116">
        <v>0</v>
      </c>
      <c r="AE327" s="77">
        <f ca="1">INT(((AD327*Valores!$C$2)*100)+0.5)/100</f>
        <v>0</v>
      </c>
      <c r="AF327" s="77"/>
      <c r="AG327" s="77"/>
      <c r="AH327" s="77">
        <f ca="1">SUM(G327,I327,K327,M327,N327,O327,P327,Q327,R327,S327,U327,V327,W327,Y327,Z327,AA327,AB327,AC327,AE327,AF327,AG327)*Valores!$C$54</f>
        <v>0</v>
      </c>
      <c r="AI327" s="141">
        <f t="shared" ca="1" si="52"/>
        <v>2123.52</v>
      </c>
      <c r="AJ327" s="141"/>
      <c r="AK327" s="79">
        <f>Valores!$C$12</f>
        <v>20.420000000000002</v>
      </c>
      <c r="AL327" s="89">
        <v>0</v>
      </c>
      <c r="AM327" s="79">
        <f ca="1">IF($G$4="SI",SUM(AK327+AL327),AK327)*Valores!$C$54</f>
        <v>0</v>
      </c>
      <c r="AN327" s="12">
        <f t="shared" ca="1" si="53"/>
        <v>20.420000000000002</v>
      </c>
      <c r="AO327" s="13">
        <f ca="1">AI327*-Valores!$C$56</f>
        <v>-276.05759999999998</v>
      </c>
      <c r="AP327" s="13">
        <f ca="1">AI327*-Valores!$C$57</f>
        <v>-10.617599999999999</v>
      </c>
      <c r="AQ327" s="78">
        <f ca="1">AI327*-Valores!$C$58</f>
        <v>-95.558399999999992</v>
      </c>
      <c r="AR327" s="78">
        <f ca="1">AI327*-Valores!$C$59</f>
        <v>-57.335040000000006</v>
      </c>
      <c r="AS327" s="78">
        <f ca="1">AI327*-Valores!$C$60</f>
        <v>-6.3705600000000002</v>
      </c>
      <c r="AT327" s="15">
        <f t="shared" ca="1" si="50"/>
        <v>1761.7064</v>
      </c>
      <c r="AU327" s="15">
        <f t="shared" ca="1" si="51"/>
        <v>1793.5591999999999</v>
      </c>
      <c r="AV327" s="78">
        <f ca="1">AI327*Valores!$C$61</f>
        <v>339.76319999999998</v>
      </c>
      <c r="AW327" s="78">
        <f ca="1">AI327*Valores!$C$62</f>
        <v>95.558399999999992</v>
      </c>
      <c r="AX327" s="78">
        <f ca="1">AI327*Valores!$C$64</f>
        <v>21.235199999999999</v>
      </c>
      <c r="AY327" s="78">
        <f ca="1">AI327*Valores!$C$65</f>
        <v>74.3232</v>
      </c>
      <c r="AZ327" s="78">
        <f ca="1">AI327*Valores!$C$66</f>
        <v>12.74112</v>
      </c>
      <c r="BA327" s="78">
        <f t="shared" ca="1" si="54"/>
        <v>114.67008</v>
      </c>
      <c r="BD327" s="9" t="s">
        <v>467</v>
      </c>
    </row>
    <row r="329" spans="1:56" ht="11.25" customHeight="1" x14ac:dyDescent="0.2">
      <c r="I329" s="130"/>
      <c r="O329" s="3"/>
      <c r="P329" s="3"/>
      <c r="Q329" s="3"/>
      <c r="R329" s="3"/>
      <c r="S329" s="3"/>
      <c r="T329" s="130"/>
      <c r="U329" s="3"/>
      <c r="V329" s="3"/>
      <c r="W329" s="3"/>
      <c r="X329" s="126">
        <f ca="1">X47-X54</f>
        <v>0</v>
      </c>
      <c r="Y329" s="3"/>
      <c r="Z329" s="3"/>
      <c r="AA329" s="3"/>
      <c r="AB329" s="3"/>
      <c r="AC329" s="3"/>
      <c r="AI329" s="197"/>
      <c r="AJ329" s="62"/>
    </row>
    <row r="331" spans="1:56" ht="11.25" customHeight="1" x14ac:dyDescent="0.15">
      <c r="I331" s="130"/>
      <c r="O331" s="3"/>
      <c r="P331" s="3"/>
      <c r="Q331" s="3"/>
      <c r="R331" s="3"/>
      <c r="S331" s="3"/>
      <c r="T331" s="130"/>
      <c r="U331" s="3"/>
      <c r="V331" s="3"/>
      <c r="W331" s="3"/>
      <c r="X331" s="126"/>
      <c r="Y331" s="3"/>
      <c r="Z331" s="3"/>
      <c r="AA331" s="3"/>
      <c r="AB331" s="3"/>
      <c r="AC331" s="3"/>
      <c r="AD331" s="126"/>
      <c r="AE331" s="3"/>
      <c r="AF331" s="3"/>
      <c r="AG331" s="3"/>
      <c r="AH331" s="3"/>
    </row>
  </sheetData>
  <sheetProtection formatCells="0" formatColumns="0" formatRows="0" insertColumns="0" insertRows="0" deleteColumns="0" deleteRows="0" selectLockedCells="1" selectUnlockedCells="1"/>
  <autoFilter ref="A6:BD327"/>
  <sortState ref="C7:AN299">
    <sortCondition ref="C7:C299"/>
    <sortCondition ref="D7:D299"/>
  </sortState>
  <mergeCells count="10">
    <mergeCell ref="C1:AM1"/>
    <mergeCell ref="AD5:AE5"/>
    <mergeCell ref="X5:Y5"/>
    <mergeCell ref="F5:G5"/>
    <mergeCell ref="H5:I5"/>
    <mergeCell ref="J5:K5"/>
    <mergeCell ref="L5:M5"/>
    <mergeCell ref="AL2:AL3"/>
    <mergeCell ref="J3:K3"/>
    <mergeCell ref="H3:I3"/>
  </mergeCells>
  <phoneticPr fontId="0" type="noConversion"/>
  <conditionalFormatting sqref="C257:AB257 AD257:AK257 AK192:AK257 C258:AK327 C7:AK256 AL7:BD327">
    <cfRule type="expression" dxfId="12" priority="229">
      <formula>$BD7="SI"</formula>
    </cfRule>
  </conditionalFormatting>
  <conditionalFormatting sqref="AC257">
    <cfRule type="expression" dxfId="11" priority="234">
      <formula>$BD257="SI"</formula>
    </cfRule>
  </conditionalFormatting>
  <conditionalFormatting sqref="BD192:BD321 BD93 BC94:BC321 AM7:AV87 AM89:AV90 C192:BB321 AM92:BA93 AW89:BA91 BB7:BB93 C7:AL93 AM8:AM327">
    <cfRule type="expression" dxfId="10" priority="227">
      <formula>#REF!="x"</formula>
    </cfRule>
  </conditionalFormatting>
  <conditionalFormatting sqref="BD89:BD91 AN91:AV91">
    <cfRule type="expression" dxfId="9" priority="236">
      <formula>#REF!="x"</formula>
    </cfRule>
  </conditionalFormatting>
  <conditionalFormatting sqref="BD92">
    <cfRule type="expression" dxfId="8" priority="237">
      <formula>#REF!="x"</formula>
    </cfRule>
  </conditionalFormatting>
  <conditionalFormatting sqref="BD7:BD88 AN88:AV88 AV8:AV327 AW7:BA327 AN8:AN327">
    <cfRule type="expression" dxfId="7" priority="238">
      <formula>#REF!="x"</formula>
    </cfRule>
  </conditionalFormatting>
  <conditionalFormatting sqref="BD94:BD191 C94:BB191">
    <cfRule type="expression" dxfId="6" priority="239">
      <formula>#REF!="x"</formula>
    </cfRule>
  </conditionalFormatting>
  <conditionalFormatting sqref="BC7:BC88">
    <cfRule type="expression" dxfId="5" priority="6">
      <formula>#REF!="x"</formula>
    </cfRule>
  </conditionalFormatting>
  <conditionalFormatting sqref="BC89:BC91">
    <cfRule type="expression" dxfId="4" priority="7">
      <formula>#REF!="x"</formula>
    </cfRule>
  </conditionalFormatting>
  <conditionalFormatting sqref="BC92:BC93 C322:BD327">
    <cfRule type="expression" dxfId="3" priority="8">
      <formula>#REF!="x"</formula>
    </cfRule>
  </conditionalFormatting>
  <conditionalFormatting sqref="AP7">
    <cfRule type="expression" dxfId="2" priority="3">
      <formula>#REF!="x"</formula>
    </cfRule>
  </conditionalFormatting>
  <conditionalFormatting sqref="AP7">
    <cfRule type="expression" dxfId="1" priority="2">
      <formula>#REF!="x"</formula>
    </cfRule>
  </conditionalFormatting>
  <conditionalFormatting sqref="AM131">
    <cfRule type="expression" dxfId="0" priority="1">
      <formula>#REF!="x"</formula>
    </cfRule>
  </conditionalFormatting>
  <dataValidations count="1">
    <dataValidation type="list" errorStyle="warning" allowBlank="1" showInputMessage="1" showErrorMessage="1" error="VALOR INCORRECTO" sqref="AL4 G4">
      <formula1>$AN$3:$AN$4</formula1>
    </dataValidation>
  </dataValidations>
  <pageMargins left="0" right="0" top="0.74803149606299213" bottom="0.31496062992125984" header="0.39370078740157483" footer="0"/>
  <pageSetup paperSize="9" scale="110" fitToHeight="0" orientation="landscape" r:id="rId1"/>
  <headerFooter alignWithMargins="0">
    <oddHeader>&amp;LMinisterio de EducaciónDirección de Recursos Humanos&amp;C&amp;F&amp;RValor del Punto:</oddHead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7" sqref="D17"/>
    </sheetView>
  </sheetViews>
  <sheetFormatPr baseColWidth="10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bestFit="1" customWidth="1"/>
    <col min="8" max="8" width="9" bestFit="1" customWidth="1"/>
    <col min="9" max="9" width="7.140625" customWidth="1"/>
    <col min="10" max="10" width="8" bestFit="1" customWidth="1"/>
    <col min="11" max="11" width="7.42578125" customWidth="1"/>
    <col min="12" max="12" width="12.42578125" hidden="1" customWidth="1"/>
    <col min="13" max="13" width="6.28515625" hidden="1" customWidth="1"/>
    <col min="14" max="15" width="0" hidden="1" customWidth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</cols>
  <sheetData>
    <row r="1" spans="1:33" ht="25.5" customHeight="1" x14ac:dyDescent="0.2">
      <c r="A1" s="213" t="str">
        <f ca="1">MID(CELL("FILENAME",L41),FIND("[",CELL("FILENAME",L41))+1,FIND("]",CELL("FILENAME",L41))-FIND("[",CELL("FILENAME",L41))-1)</f>
        <v>Esc Doc 2018 06 Cba v1 1.xlsx</v>
      </c>
      <c r="B1" s="213"/>
      <c r="C1" s="213"/>
      <c r="D1" s="213"/>
      <c r="E1" s="213"/>
      <c r="F1" s="213"/>
      <c r="G1" s="213"/>
      <c r="H1" s="213"/>
      <c r="I1" s="213"/>
      <c r="J1" s="213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3" x14ac:dyDescent="0.2">
      <c r="A2" s="212" t="s">
        <v>445</v>
      </c>
      <c r="B2" s="212"/>
      <c r="C2" s="32">
        <v>0</v>
      </c>
      <c r="D2" s="32"/>
      <c r="E2" s="32"/>
      <c r="F2" s="32"/>
      <c r="G2" s="98"/>
      <c r="H2" s="32"/>
      <c r="I2" s="99"/>
      <c r="J2" s="100"/>
      <c r="K2" s="101"/>
      <c r="Y2" s="7"/>
    </row>
    <row r="3" spans="1:33" ht="12.75" customHeight="1" x14ac:dyDescent="0.2">
      <c r="G3" s="102"/>
      <c r="H3" s="103"/>
      <c r="I3" s="103"/>
      <c r="J3" s="103"/>
      <c r="K3" s="104"/>
      <c r="Q3" s="214" t="s">
        <v>577</v>
      </c>
      <c r="R3" s="214"/>
      <c r="S3" s="214"/>
      <c r="T3" s="215" t="s">
        <v>578</v>
      </c>
      <c r="U3" s="215"/>
      <c r="V3" s="215"/>
      <c r="W3" s="215"/>
      <c r="Y3" s="7"/>
    </row>
    <row r="4" spans="1:33" ht="25.5" x14ac:dyDescent="0.2">
      <c r="A4" s="5"/>
      <c r="B4" s="5"/>
      <c r="C4" s="29" t="s">
        <v>498</v>
      </c>
      <c r="D4" s="6" t="s">
        <v>388</v>
      </c>
      <c r="E4" s="6" t="s">
        <v>579</v>
      </c>
      <c r="F4" s="6" t="s">
        <v>580</v>
      </c>
      <c r="G4" s="94" t="s">
        <v>379</v>
      </c>
      <c r="H4" s="95" t="s">
        <v>365</v>
      </c>
      <c r="I4" s="96" t="s">
        <v>375</v>
      </c>
      <c r="J4" s="97" t="s">
        <v>376</v>
      </c>
      <c r="K4" s="30" t="s">
        <v>375</v>
      </c>
      <c r="Q4" s="171" t="s">
        <v>581</v>
      </c>
      <c r="R4" s="172" t="s">
        <v>582</v>
      </c>
      <c r="S4" s="172" t="s">
        <v>583</v>
      </c>
      <c r="T4" s="176" t="s">
        <v>584</v>
      </c>
      <c r="U4" s="177" t="s">
        <v>585</v>
      </c>
      <c r="V4" s="177" t="s">
        <v>586</v>
      </c>
      <c r="W4" s="177" t="s">
        <v>583</v>
      </c>
      <c r="X4" s="160" t="s">
        <v>587</v>
      </c>
      <c r="Y4" s="160" t="s">
        <v>615</v>
      </c>
    </row>
    <row r="5" spans="1:33" x14ac:dyDescent="0.2">
      <c r="A5" s="40" t="s">
        <v>1</v>
      </c>
      <c r="B5" s="41" t="s">
        <v>2</v>
      </c>
      <c r="C5" s="43" t="s">
        <v>397</v>
      </c>
      <c r="D5" s="44" t="s">
        <v>401</v>
      </c>
      <c r="E5" s="44" t="s">
        <v>565</v>
      </c>
      <c r="F5" s="45"/>
      <c r="G5" s="45" t="s">
        <v>458</v>
      </c>
      <c r="H5" s="45" t="s">
        <v>402</v>
      </c>
      <c r="I5" s="42" t="s">
        <v>374</v>
      </c>
      <c r="J5" s="46" t="s">
        <v>413</v>
      </c>
      <c r="K5" s="42" t="s">
        <v>378</v>
      </c>
      <c r="L5" s="108" t="s">
        <v>558</v>
      </c>
      <c r="Q5" s="173">
        <v>0.13500000000000001</v>
      </c>
      <c r="R5" s="174">
        <v>2.5000000000000001E-2</v>
      </c>
      <c r="S5" s="175">
        <v>4.4999999999999998E-2</v>
      </c>
      <c r="T5" s="178">
        <v>0.16</v>
      </c>
      <c r="U5" s="179">
        <v>0.01</v>
      </c>
      <c r="V5" s="180">
        <v>2.5000000000000001E-2</v>
      </c>
      <c r="W5" s="180">
        <v>3.5000000000000003E-2</v>
      </c>
      <c r="Y5" s="7"/>
    </row>
    <row r="6" spans="1:33" ht="12.75" customHeight="1" x14ac:dyDescent="0.2">
      <c r="A6" s="9" t="s">
        <v>519</v>
      </c>
      <c r="B6" s="10" t="s">
        <v>471</v>
      </c>
      <c r="C6" s="7">
        <f>C9/1.6*1.8</f>
        <v>7750.89</v>
      </c>
      <c r="D6" s="7">
        <f t="shared" ref="D6:D8" si="0">IF($C$2=0,C6*0.15,0)</f>
        <v>1162.6334999999999</v>
      </c>
      <c r="E6" s="7">
        <v>0</v>
      </c>
      <c r="F6" s="7"/>
      <c r="G6" s="7">
        <f>C6*VLOOKUP($C$2,Valores!$I$1:$J$53,2,FALSE)</f>
        <v>0</v>
      </c>
      <c r="H6" s="7">
        <f>H9/1.6*1.8</f>
        <v>5167.2712499999998</v>
      </c>
      <c r="I6" s="15">
        <f>SUM(C6:H6)</f>
        <v>14080.794749999999</v>
      </c>
      <c r="J6" s="7">
        <v>0</v>
      </c>
      <c r="K6" s="12">
        <f t="shared" ref="K6:K21" si="1">SUM(J6)</f>
        <v>0</v>
      </c>
      <c r="Q6" s="7">
        <f t="shared" ref="Q6:Q28" si="2">I6*$Q$5</f>
        <v>1900.9072912500001</v>
      </c>
      <c r="R6" s="7">
        <f t="shared" ref="R6:R28" si="3">I6*$R$5</f>
        <v>352.01986875</v>
      </c>
      <c r="S6" s="7">
        <f t="shared" ref="S6:S28" si="4">I6*$S$5</f>
        <v>633.63576374999991</v>
      </c>
      <c r="T6" s="7">
        <f t="shared" ref="T6:T28" si="5">I6*$T$5</f>
        <v>2252.9271599999997</v>
      </c>
      <c r="U6" s="7">
        <f t="shared" ref="U6:U28" si="6">I6*$U$5</f>
        <v>140.80794749999998</v>
      </c>
      <c r="V6" s="7">
        <f t="shared" ref="V6:V28" si="7">I6*$V$5</f>
        <v>352.01986875</v>
      </c>
      <c r="W6" s="7">
        <f t="shared" ref="W6:W28" si="8">I6*$W$5</f>
        <v>492.82781625000001</v>
      </c>
      <c r="X6" s="7">
        <f t="shared" ref="X6:X28" si="9">I6+K6+T6+U6+V6+W6</f>
        <v>17319.377542499999</v>
      </c>
      <c r="Y6" s="7">
        <f t="shared" ref="Y6:Y21" si="10">+I6-SUM(Q6:S6)</f>
        <v>11194.231826249999</v>
      </c>
    </row>
    <row r="7" spans="1:33" ht="12.75" customHeight="1" x14ac:dyDescent="0.2">
      <c r="A7" s="93" t="s">
        <v>520</v>
      </c>
      <c r="B7" s="10" t="s">
        <v>473</v>
      </c>
      <c r="C7" s="7">
        <f>C10/1.6*1.8</f>
        <v>15514.02</v>
      </c>
      <c r="D7" s="7">
        <f t="shared" si="0"/>
        <v>2327.1030000000001</v>
      </c>
      <c r="E7" s="7">
        <v>0</v>
      </c>
      <c r="F7" s="7"/>
      <c r="G7" s="7">
        <f>C7*VLOOKUP($C$2,Valores!$I$1:$J$53,2,FALSE)</f>
        <v>0</v>
      </c>
      <c r="H7" s="7">
        <f>H10/1.6*1.8</f>
        <v>10334.508749999999</v>
      </c>
      <c r="I7" s="15">
        <f t="shared" ref="I7:I19" si="11">SUM(C7:H7)</f>
        <v>28175.63175</v>
      </c>
      <c r="J7" s="7">
        <v>0</v>
      </c>
      <c r="K7" s="12">
        <f t="shared" si="1"/>
        <v>0</v>
      </c>
      <c r="M7" s="10" t="s">
        <v>498</v>
      </c>
      <c r="N7" s="63">
        <v>5361.09</v>
      </c>
      <c r="O7" s="63">
        <v>446.76</v>
      </c>
      <c r="Q7" s="7">
        <f t="shared" si="2"/>
        <v>3803.7102862500005</v>
      </c>
      <c r="R7" s="7">
        <f t="shared" si="3"/>
        <v>704.39079375000006</v>
      </c>
      <c r="S7" s="7">
        <f t="shared" si="4"/>
        <v>1267.9034287499999</v>
      </c>
      <c r="T7" s="7">
        <f t="shared" si="5"/>
        <v>4508.1010800000004</v>
      </c>
      <c r="U7" s="7">
        <f t="shared" si="6"/>
        <v>281.75631750000002</v>
      </c>
      <c r="V7" s="7">
        <f t="shared" si="7"/>
        <v>704.39079375000006</v>
      </c>
      <c r="W7" s="7">
        <f t="shared" si="8"/>
        <v>986.14711125000008</v>
      </c>
      <c r="X7" s="7">
        <f t="shared" si="9"/>
        <v>34656.027052500001</v>
      </c>
      <c r="Y7" s="7">
        <f t="shared" si="10"/>
        <v>22399.62724125</v>
      </c>
    </row>
    <row r="8" spans="1:33" ht="12.75" customHeight="1" x14ac:dyDescent="0.2">
      <c r="A8" s="93" t="s">
        <v>521</v>
      </c>
      <c r="B8" s="10" t="s">
        <v>472</v>
      </c>
      <c r="C8" s="7">
        <f>C11/1.6*1.8</f>
        <v>31028.04</v>
      </c>
      <c r="D8" s="7">
        <f t="shared" si="0"/>
        <v>4654.2060000000001</v>
      </c>
      <c r="E8" s="7">
        <v>0</v>
      </c>
      <c r="F8" s="7"/>
      <c r="G8" s="7">
        <f>C8*VLOOKUP($C$2,Valores!$I$1:$J$53,2,FALSE)</f>
        <v>0</v>
      </c>
      <c r="H8" s="7">
        <f>H11/1.6*1.8</f>
        <v>20669.017499999998</v>
      </c>
      <c r="I8" s="15">
        <f t="shared" si="11"/>
        <v>56351.263500000001</v>
      </c>
      <c r="J8" s="7">
        <v>0</v>
      </c>
      <c r="K8" s="12">
        <f t="shared" si="1"/>
        <v>0</v>
      </c>
      <c r="M8" s="10" t="s">
        <v>505</v>
      </c>
      <c r="N8" s="63">
        <v>1068</v>
      </c>
      <c r="O8" s="63">
        <v>89</v>
      </c>
      <c r="Q8" s="7">
        <f t="shared" si="2"/>
        <v>7607.4205725000011</v>
      </c>
      <c r="R8" s="7">
        <f t="shared" si="3"/>
        <v>1408.7815875000001</v>
      </c>
      <c r="S8" s="7">
        <f t="shared" si="4"/>
        <v>2535.8068574999998</v>
      </c>
      <c r="T8" s="7">
        <f t="shared" si="5"/>
        <v>9016.2021600000007</v>
      </c>
      <c r="U8" s="7">
        <f t="shared" si="6"/>
        <v>563.51263500000005</v>
      </c>
      <c r="V8" s="7">
        <f t="shared" si="7"/>
        <v>1408.7815875000001</v>
      </c>
      <c r="W8" s="7">
        <f t="shared" si="8"/>
        <v>1972.2942225000002</v>
      </c>
      <c r="X8" s="7">
        <f t="shared" si="9"/>
        <v>69312.054105000003</v>
      </c>
      <c r="Y8" s="7">
        <f t="shared" si="10"/>
        <v>44799.2544825</v>
      </c>
    </row>
    <row r="9" spans="1:33" ht="12.75" customHeight="1" x14ac:dyDescent="0.2">
      <c r="A9" s="47" t="s">
        <v>486</v>
      </c>
      <c r="B9" s="48" t="s">
        <v>474</v>
      </c>
      <c r="C9" s="49">
        <v>6889.68</v>
      </c>
      <c r="D9" s="49">
        <f>IF($C$2=0,C9*0.15,0)</f>
        <v>1033.452</v>
      </c>
      <c r="E9" s="49">
        <v>0</v>
      </c>
      <c r="F9" s="49"/>
      <c r="G9" s="49">
        <f>C9*VLOOKUP($C$2,Valores!$I$1:$J$53,2,FALSE)</f>
        <v>0</v>
      </c>
      <c r="H9" s="49">
        <v>4593.13</v>
      </c>
      <c r="I9" s="50">
        <f t="shared" si="11"/>
        <v>12516.262000000001</v>
      </c>
      <c r="J9" s="49">
        <v>888.69</v>
      </c>
      <c r="K9" s="51">
        <f t="shared" si="1"/>
        <v>888.69</v>
      </c>
      <c r="M9" s="10" t="s">
        <v>506</v>
      </c>
      <c r="N9" s="63">
        <v>1614.8240000000001</v>
      </c>
      <c r="O9" s="63">
        <v>134.57866666666666</v>
      </c>
      <c r="Q9" s="7">
        <f t="shared" si="2"/>
        <v>1689.6953700000001</v>
      </c>
      <c r="R9" s="7">
        <f t="shared" si="3"/>
        <v>312.90655000000004</v>
      </c>
      <c r="S9" s="7">
        <f t="shared" si="4"/>
        <v>563.23179000000005</v>
      </c>
      <c r="T9" s="7">
        <f t="shared" si="5"/>
        <v>2002.6019200000001</v>
      </c>
      <c r="U9" s="7">
        <f t="shared" si="6"/>
        <v>125.16262</v>
      </c>
      <c r="V9" s="7">
        <f t="shared" si="7"/>
        <v>312.90655000000004</v>
      </c>
      <c r="W9" s="7">
        <f t="shared" si="8"/>
        <v>438.06917000000004</v>
      </c>
      <c r="X9" s="7">
        <f t="shared" si="9"/>
        <v>16283.692260000002</v>
      </c>
      <c r="Y9" s="7">
        <f t="shared" si="10"/>
        <v>9950.4282899999998</v>
      </c>
    </row>
    <row r="10" spans="1:33" ht="12.75" customHeight="1" x14ac:dyDescent="0.2">
      <c r="A10" s="47" t="s">
        <v>487</v>
      </c>
      <c r="B10" s="48" t="s">
        <v>475</v>
      </c>
      <c r="C10" s="49">
        <v>13790.24</v>
      </c>
      <c r="D10" s="49">
        <f t="shared" ref="D10:D32" si="12">IF($C$2=0,C10*0.15,0)</f>
        <v>2068.5360000000001</v>
      </c>
      <c r="E10" s="49">
        <v>0</v>
      </c>
      <c r="F10" s="49"/>
      <c r="G10" s="49">
        <f>C10*VLOOKUP($C$2,Valores!$I$1:$J$53,2,FALSE)</f>
        <v>0</v>
      </c>
      <c r="H10" s="49">
        <v>9186.23</v>
      </c>
      <c r="I10" s="50">
        <f t="shared" si="11"/>
        <v>25045.006000000001</v>
      </c>
      <c r="J10" s="49">
        <v>1064.02</v>
      </c>
      <c r="K10" s="51">
        <f t="shared" si="1"/>
        <v>1064.02</v>
      </c>
      <c r="M10" s="10" t="s">
        <v>507</v>
      </c>
      <c r="N10" s="63">
        <v>250.07999999999998</v>
      </c>
      <c r="O10" s="63">
        <v>20.84</v>
      </c>
      <c r="Q10" s="7">
        <f t="shared" si="2"/>
        <v>3381.0758100000003</v>
      </c>
      <c r="R10" s="7">
        <f t="shared" si="3"/>
        <v>626.12515000000008</v>
      </c>
      <c r="S10" s="7">
        <f t="shared" si="4"/>
        <v>1127.0252700000001</v>
      </c>
      <c r="T10" s="7">
        <f t="shared" si="5"/>
        <v>4007.2009600000001</v>
      </c>
      <c r="U10" s="7">
        <f t="shared" si="6"/>
        <v>250.45006000000001</v>
      </c>
      <c r="V10" s="7">
        <f t="shared" si="7"/>
        <v>626.12515000000008</v>
      </c>
      <c r="W10" s="7">
        <f t="shared" si="8"/>
        <v>876.57521000000008</v>
      </c>
      <c r="X10" s="7">
        <f t="shared" si="9"/>
        <v>31869.377379999998</v>
      </c>
      <c r="Y10" s="7">
        <f t="shared" si="10"/>
        <v>19910.779770000001</v>
      </c>
    </row>
    <row r="11" spans="1:33" ht="12.75" customHeight="1" x14ac:dyDescent="0.2">
      <c r="A11" s="93" t="s">
        <v>522</v>
      </c>
      <c r="B11" s="10" t="s">
        <v>476</v>
      </c>
      <c r="C11" s="7">
        <f>C10*2</f>
        <v>27580.48</v>
      </c>
      <c r="D11" s="7">
        <f t="shared" si="12"/>
        <v>4137.0720000000001</v>
      </c>
      <c r="E11" s="7">
        <v>0</v>
      </c>
      <c r="F11" s="7"/>
      <c r="G11" s="7">
        <f>C11*VLOOKUP($C$2,Valores!$I$1:$J$53,2,FALSE)</f>
        <v>0</v>
      </c>
      <c r="H11" s="7">
        <f>H10*2</f>
        <v>18372.46</v>
      </c>
      <c r="I11" s="15">
        <f t="shared" si="11"/>
        <v>50090.012000000002</v>
      </c>
      <c r="J11" s="7">
        <v>0</v>
      </c>
      <c r="K11" s="12">
        <f t="shared" si="1"/>
        <v>0</v>
      </c>
      <c r="M11" s="10" t="s">
        <v>508</v>
      </c>
      <c r="N11" s="63">
        <v>546</v>
      </c>
      <c r="O11" s="63">
        <v>45.5</v>
      </c>
      <c r="Q11" s="7">
        <f t="shared" si="2"/>
        <v>6762.1516200000005</v>
      </c>
      <c r="R11" s="7">
        <f t="shared" si="3"/>
        <v>1252.2503000000002</v>
      </c>
      <c r="S11" s="7">
        <f t="shared" si="4"/>
        <v>2254.0505400000002</v>
      </c>
      <c r="T11" s="7">
        <f t="shared" si="5"/>
        <v>8014.4019200000002</v>
      </c>
      <c r="U11" s="7">
        <f t="shared" si="6"/>
        <v>500.90012000000002</v>
      </c>
      <c r="V11" s="7">
        <f t="shared" si="7"/>
        <v>1252.2503000000002</v>
      </c>
      <c r="W11" s="7">
        <f t="shared" si="8"/>
        <v>1753.1504200000002</v>
      </c>
      <c r="X11" s="7">
        <f t="shared" si="9"/>
        <v>61610.714760000003</v>
      </c>
      <c r="Y11" s="7">
        <f t="shared" si="10"/>
        <v>39821.559540000002</v>
      </c>
    </row>
    <row r="12" spans="1:33" ht="12.75" customHeight="1" x14ac:dyDescent="0.2">
      <c r="A12" s="93" t="s">
        <v>523</v>
      </c>
      <c r="B12" s="10" t="s">
        <v>477</v>
      </c>
      <c r="C12" s="7">
        <f>C9/1.6*1.4</f>
        <v>6028.47</v>
      </c>
      <c r="D12" s="7">
        <f t="shared" si="12"/>
        <v>904.27049999999997</v>
      </c>
      <c r="E12" s="7">
        <v>0</v>
      </c>
      <c r="F12" s="7"/>
      <c r="G12" s="7">
        <f>C12*VLOOKUP($C$2,Valores!$I$1:$J$53,2,FALSE)</f>
        <v>0</v>
      </c>
      <c r="H12" s="7">
        <f>H9/1.6*1.4</f>
        <v>4018.9887499999995</v>
      </c>
      <c r="I12" s="15">
        <f t="shared" si="11"/>
        <v>10951.72925</v>
      </c>
      <c r="J12" s="7">
        <v>0</v>
      </c>
      <c r="K12" s="12">
        <f t="shared" si="1"/>
        <v>0</v>
      </c>
      <c r="M12" s="10" t="s">
        <v>509</v>
      </c>
      <c r="N12" s="63">
        <v>62.04</v>
      </c>
      <c r="O12" s="63">
        <v>5.17</v>
      </c>
      <c r="Q12" s="7">
        <f t="shared" si="2"/>
        <v>1478.4834487500002</v>
      </c>
      <c r="R12" s="7">
        <f t="shared" si="3"/>
        <v>273.79323125000002</v>
      </c>
      <c r="S12" s="7">
        <f t="shared" si="4"/>
        <v>492.82781625000001</v>
      </c>
      <c r="T12" s="7">
        <f t="shared" si="5"/>
        <v>1752.2766800000002</v>
      </c>
      <c r="U12" s="7">
        <f t="shared" si="6"/>
        <v>109.51729250000001</v>
      </c>
      <c r="V12" s="7">
        <f t="shared" si="7"/>
        <v>273.79323125000002</v>
      </c>
      <c r="W12" s="7">
        <f t="shared" si="8"/>
        <v>383.31052375000007</v>
      </c>
      <c r="X12" s="7">
        <f t="shared" si="9"/>
        <v>13470.626977500002</v>
      </c>
      <c r="Y12" s="7">
        <f t="shared" si="10"/>
        <v>8706.6247537500003</v>
      </c>
    </row>
    <row r="13" spans="1:33" ht="12.75" customHeight="1" x14ac:dyDescent="0.2">
      <c r="A13" s="93" t="s">
        <v>524</v>
      </c>
      <c r="B13" s="10" t="s">
        <v>478</v>
      </c>
      <c r="C13" s="7">
        <f>C10/1.6*1.4</f>
        <v>12066.46</v>
      </c>
      <c r="D13" s="7">
        <f t="shared" si="12"/>
        <v>1809.9689999999998</v>
      </c>
      <c r="E13" s="7">
        <v>0</v>
      </c>
      <c r="F13" s="7"/>
      <c r="G13" s="7">
        <f>C13*VLOOKUP($C$2,Valores!$I$1:$J$53,2,FALSE)</f>
        <v>0</v>
      </c>
      <c r="H13" s="7">
        <f>H10/1.6*1.4</f>
        <v>8037.9512499999983</v>
      </c>
      <c r="I13" s="15">
        <f t="shared" si="11"/>
        <v>21914.380249999995</v>
      </c>
      <c r="J13" s="7">
        <v>0</v>
      </c>
      <c r="K13" s="12">
        <f t="shared" si="1"/>
        <v>0</v>
      </c>
      <c r="M13" s="10" t="s">
        <v>571</v>
      </c>
      <c r="N13" s="63">
        <v>175</v>
      </c>
      <c r="O13" s="63"/>
      <c r="Q13" s="7">
        <f t="shared" si="2"/>
        <v>2958.4413337499996</v>
      </c>
      <c r="R13" s="7">
        <f t="shared" si="3"/>
        <v>547.85950624999987</v>
      </c>
      <c r="S13" s="7">
        <f t="shared" si="4"/>
        <v>986.14711124999974</v>
      </c>
      <c r="T13" s="7">
        <f t="shared" si="5"/>
        <v>3506.3008399999994</v>
      </c>
      <c r="U13" s="7">
        <f t="shared" si="6"/>
        <v>219.14380249999996</v>
      </c>
      <c r="V13" s="7">
        <f t="shared" si="7"/>
        <v>547.85950624999987</v>
      </c>
      <c r="W13" s="7">
        <f t="shared" si="8"/>
        <v>767.00330874999986</v>
      </c>
      <c r="X13" s="7">
        <f t="shared" si="9"/>
        <v>26954.687707499994</v>
      </c>
      <c r="Y13" s="7">
        <f t="shared" si="10"/>
        <v>17421.932298749995</v>
      </c>
    </row>
    <row r="14" spans="1:33" ht="12.75" customHeight="1" x14ac:dyDescent="0.2">
      <c r="A14" s="93" t="s">
        <v>525</v>
      </c>
      <c r="B14" s="10" t="s">
        <v>479</v>
      </c>
      <c r="C14" s="7">
        <f>C11/1.6*1.4</f>
        <v>24132.92</v>
      </c>
      <c r="D14" s="7">
        <f t="shared" si="12"/>
        <v>3619.9379999999996</v>
      </c>
      <c r="E14" s="7">
        <v>0</v>
      </c>
      <c r="F14" s="7"/>
      <c r="G14" s="7">
        <f>C14*VLOOKUP($C$2,Valores!$I$1:$J$53,2,FALSE)</f>
        <v>0</v>
      </c>
      <c r="H14" s="7">
        <f>H11/1.6*1.4</f>
        <v>16075.902499999997</v>
      </c>
      <c r="I14" s="15">
        <f t="shared" si="11"/>
        <v>43828.760499999989</v>
      </c>
      <c r="J14" s="7">
        <v>0</v>
      </c>
      <c r="K14" s="12">
        <f t="shared" si="1"/>
        <v>0</v>
      </c>
      <c r="M14" s="10" t="s">
        <v>572</v>
      </c>
      <c r="N14" s="63">
        <v>50</v>
      </c>
      <c r="O14" s="63"/>
      <c r="Q14" s="7">
        <f t="shared" si="2"/>
        <v>5916.8826674999991</v>
      </c>
      <c r="R14" s="7">
        <f t="shared" si="3"/>
        <v>1095.7190124999997</v>
      </c>
      <c r="S14" s="7">
        <f t="shared" si="4"/>
        <v>1972.2942224999995</v>
      </c>
      <c r="T14" s="7">
        <f t="shared" si="5"/>
        <v>7012.6016799999989</v>
      </c>
      <c r="U14" s="7">
        <f t="shared" si="6"/>
        <v>438.28760499999993</v>
      </c>
      <c r="V14" s="7">
        <f t="shared" si="7"/>
        <v>1095.7190124999997</v>
      </c>
      <c r="W14" s="7">
        <f t="shared" si="8"/>
        <v>1534.0066174999997</v>
      </c>
      <c r="X14" s="7">
        <f t="shared" si="9"/>
        <v>53909.375414999988</v>
      </c>
      <c r="Y14" s="7">
        <f t="shared" si="10"/>
        <v>34843.864597499989</v>
      </c>
    </row>
    <row r="15" spans="1:33" ht="12.75" customHeight="1" x14ac:dyDescent="0.2">
      <c r="A15" s="93" t="s">
        <v>526</v>
      </c>
      <c r="B15" s="10" t="s">
        <v>480</v>
      </c>
      <c r="C15" s="7">
        <f>C9/1.6*1.2</f>
        <v>5167.26</v>
      </c>
      <c r="D15" s="7">
        <f t="shared" si="12"/>
        <v>775.08900000000006</v>
      </c>
      <c r="E15" s="7">
        <v>0</v>
      </c>
      <c r="F15" s="7"/>
      <c r="G15" s="7">
        <f>C15*VLOOKUP($C$2,Valores!$I$1:$J$53,2,FALSE)</f>
        <v>0</v>
      </c>
      <c r="H15" s="7">
        <f>H9/1.6*1.2</f>
        <v>3444.8474999999994</v>
      </c>
      <c r="I15" s="15">
        <f t="shared" si="11"/>
        <v>9387.1965</v>
      </c>
      <c r="J15" s="7">
        <v>0</v>
      </c>
      <c r="K15" s="12">
        <f t="shared" si="1"/>
        <v>0</v>
      </c>
      <c r="M15" s="10" t="s">
        <v>510</v>
      </c>
      <c r="N15" s="63">
        <v>51.599999999999994</v>
      </c>
      <c r="O15" s="63">
        <v>4.3</v>
      </c>
      <c r="Q15" s="7">
        <f t="shared" si="2"/>
        <v>1267.2715275</v>
      </c>
      <c r="R15" s="7">
        <f t="shared" si="3"/>
        <v>234.6799125</v>
      </c>
      <c r="S15" s="7">
        <f t="shared" si="4"/>
        <v>422.42384249999998</v>
      </c>
      <c r="T15" s="7">
        <f t="shared" si="5"/>
        <v>1501.95144</v>
      </c>
      <c r="U15" s="7">
        <f t="shared" si="6"/>
        <v>93.871965000000003</v>
      </c>
      <c r="V15" s="7">
        <f t="shared" si="7"/>
        <v>234.6799125</v>
      </c>
      <c r="W15" s="7">
        <f t="shared" si="8"/>
        <v>328.55187750000005</v>
      </c>
      <c r="X15" s="7">
        <f t="shared" si="9"/>
        <v>11546.251695000001</v>
      </c>
      <c r="Y15" s="7">
        <f t="shared" si="10"/>
        <v>7462.8212174999999</v>
      </c>
    </row>
    <row r="16" spans="1:33" ht="12.75" customHeight="1" x14ac:dyDescent="0.2">
      <c r="A16" s="93" t="s">
        <v>527</v>
      </c>
      <c r="B16" s="10" t="s">
        <v>481</v>
      </c>
      <c r="C16" s="7">
        <f>C10/1.6*1.2</f>
        <v>10342.679999999998</v>
      </c>
      <c r="D16" s="7">
        <f t="shared" si="12"/>
        <v>1551.4019999999998</v>
      </c>
      <c r="E16" s="7">
        <v>0</v>
      </c>
      <c r="F16" s="7"/>
      <c r="G16" s="7">
        <f>C16*VLOOKUP($C$2,Valores!$I$1:$J$53,2,FALSE)</f>
        <v>0</v>
      </c>
      <c r="H16" s="7">
        <f>H10/1.6*1.2</f>
        <v>6889.6724999999988</v>
      </c>
      <c r="I16" s="15">
        <f t="shared" si="11"/>
        <v>18783.754499999995</v>
      </c>
      <c r="J16" s="7">
        <v>0</v>
      </c>
      <c r="K16" s="12">
        <f t="shared" si="1"/>
        <v>0</v>
      </c>
      <c r="M16" s="64" t="s">
        <v>499</v>
      </c>
      <c r="N16" s="65">
        <f>SUM(N7:N15)</f>
        <v>9178.6340000000018</v>
      </c>
      <c r="O16" s="63">
        <f>INT((SUM(O7:O15)*100)+0.5)/100</f>
        <v>746.15</v>
      </c>
      <c r="Q16" s="7">
        <f t="shared" si="2"/>
        <v>2535.8068574999998</v>
      </c>
      <c r="R16" s="7">
        <f t="shared" si="3"/>
        <v>469.59386249999989</v>
      </c>
      <c r="S16" s="7">
        <f t="shared" si="4"/>
        <v>845.26895249999973</v>
      </c>
      <c r="T16" s="7">
        <f t="shared" si="5"/>
        <v>3005.4007199999992</v>
      </c>
      <c r="U16" s="7">
        <f t="shared" si="6"/>
        <v>187.83754499999995</v>
      </c>
      <c r="V16" s="7">
        <f t="shared" si="7"/>
        <v>469.59386249999989</v>
      </c>
      <c r="W16" s="7">
        <f t="shared" si="8"/>
        <v>657.43140749999986</v>
      </c>
      <c r="X16" s="7">
        <f t="shared" si="9"/>
        <v>23104.018034999994</v>
      </c>
      <c r="Y16" s="7">
        <f t="shared" si="10"/>
        <v>14933.084827499995</v>
      </c>
    </row>
    <row r="17" spans="1:25" ht="12.75" customHeight="1" x14ac:dyDescent="0.2">
      <c r="A17" s="93" t="s">
        <v>528</v>
      </c>
      <c r="B17" s="10" t="s">
        <v>482</v>
      </c>
      <c r="C17" s="7">
        <f>C11/1.6*1.2</f>
        <v>20685.359999999997</v>
      </c>
      <c r="D17" s="7">
        <f t="shared" si="12"/>
        <v>3102.8039999999996</v>
      </c>
      <c r="E17" s="7">
        <v>0</v>
      </c>
      <c r="F17" s="7"/>
      <c r="G17" s="7">
        <f>C17*VLOOKUP($C$2,Valores!$I$1:$J$53,2,FALSE)</f>
        <v>0</v>
      </c>
      <c r="H17" s="7">
        <f>H11/1.6*1.2</f>
        <v>13779.344999999998</v>
      </c>
      <c r="I17" s="15">
        <f t="shared" si="11"/>
        <v>37567.508999999991</v>
      </c>
      <c r="J17" s="7">
        <v>0</v>
      </c>
      <c r="K17" s="12">
        <f t="shared" si="1"/>
        <v>0</v>
      </c>
      <c r="M17" s="10"/>
      <c r="N17" s="63"/>
      <c r="O17" s="63">
        <f>O16*12*1.2</f>
        <v>10744.56</v>
      </c>
      <c r="Q17" s="7">
        <f t="shared" si="2"/>
        <v>5071.6137149999995</v>
      </c>
      <c r="R17" s="7">
        <f t="shared" si="3"/>
        <v>939.18772499999977</v>
      </c>
      <c r="S17" s="7">
        <f t="shared" si="4"/>
        <v>1690.5379049999995</v>
      </c>
      <c r="T17" s="7">
        <f t="shared" si="5"/>
        <v>6010.8014399999984</v>
      </c>
      <c r="U17" s="7">
        <f t="shared" si="6"/>
        <v>375.6750899999999</v>
      </c>
      <c r="V17" s="7">
        <f t="shared" si="7"/>
        <v>939.18772499999977</v>
      </c>
      <c r="W17" s="7">
        <f t="shared" si="8"/>
        <v>1314.8628149999997</v>
      </c>
      <c r="X17" s="7">
        <f t="shared" si="9"/>
        <v>46208.036069999987</v>
      </c>
      <c r="Y17" s="7">
        <f t="shared" si="10"/>
        <v>29866.169654999991</v>
      </c>
    </row>
    <row r="18" spans="1:25" ht="12.75" customHeight="1" x14ac:dyDescent="0.2">
      <c r="A18" s="93" t="s">
        <v>529</v>
      </c>
      <c r="B18" s="10" t="s">
        <v>483</v>
      </c>
      <c r="C18" s="7">
        <f>C6/1.6</f>
        <v>4844.3062499999996</v>
      </c>
      <c r="D18" s="7">
        <f t="shared" si="12"/>
        <v>726.64593749999995</v>
      </c>
      <c r="E18" s="7">
        <v>0</v>
      </c>
      <c r="F18" s="7"/>
      <c r="G18" s="7">
        <f>C18*VLOOKUP($C$2,Valores!$I$1:$J$53,2,FALSE)</f>
        <v>0</v>
      </c>
      <c r="H18" s="7">
        <f>H6/1.6</f>
        <v>3229.5445312499996</v>
      </c>
      <c r="I18" s="15">
        <f t="shared" si="11"/>
        <v>8800.4967187499988</v>
      </c>
      <c r="J18" s="7">
        <v>0</v>
      </c>
      <c r="K18" s="12">
        <f t="shared" si="1"/>
        <v>0</v>
      </c>
      <c r="M18" s="10" t="s">
        <v>511</v>
      </c>
      <c r="N18" s="63">
        <v>200.04000000000002</v>
      </c>
      <c r="O18" s="63">
        <v>16.670000000000002</v>
      </c>
      <c r="P18" s="7"/>
      <c r="Q18" s="7">
        <f t="shared" si="2"/>
        <v>1188.06705703125</v>
      </c>
      <c r="R18" s="7">
        <f t="shared" si="3"/>
        <v>220.01241796874999</v>
      </c>
      <c r="S18" s="7">
        <f t="shared" si="4"/>
        <v>396.02235234374996</v>
      </c>
      <c r="T18" s="7">
        <f t="shared" si="5"/>
        <v>1408.0794749999998</v>
      </c>
      <c r="U18" s="7">
        <f t="shared" si="6"/>
        <v>88.004967187499986</v>
      </c>
      <c r="V18" s="7">
        <f t="shared" si="7"/>
        <v>220.01241796874999</v>
      </c>
      <c r="W18" s="7">
        <f t="shared" si="8"/>
        <v>308.01738515624999</v>
      </c>
      <c r="X18" s="7">
        <f t="shared" si="9"/>
        <v>10824.6109640625</v>
      </c>
      <c r="Y18" s="7">
        <f t="shared" si="10"/>
        <v>6996.3948914062494</v>
      </c>
    </row>
    <row r="19" spans="1:25" ht="12.75" customHeight="1" x14ac:dyDescent="0.2">
      <c r="A19" s="93" t="s">
        <v>530</v>
      </c>
      <c r="B19" s="10" t="s">
        <v>484</v>
      </c>
      <c r="C19" s="7">
        <f>C10/1.6</f>
        <v>8618.9</v>
      </c>
      <c r="D19" s="7">
        <f t="shared" si="12"/>
        <v>1292.8349999999998</v>
      </c>
      <c r="E19" s="7">
        <v>0</v>
      </c>
      <c r="F19" s="7"/>
      <c r="G19" s="7">
        <f>C19*VLOOKUP($C$2,Valores!$I$1:$J$53,2,FALSE)</f>
        <v>0</v>
      </c>
      <c r="H19" s="7">
        <f>H10/1.6</f>
        <v>5741.3937499999993</v>
      </c>
      <c r="I19" s="15">
        <f t="shared" si="11"/>
        <v>15653.128749999998</v>
      </c>
      <c r="J19" s="7">
        <v>0</v>
      </c>
      <c r="K19" s="12">
        <f t="shared" si="1"/>
        <v>0</v>
      </c>
      <c r="M19" s="10" t="s">
        <v>512</v>
      </c>
      <c r="N19" s="63" t="e">
        <v>#REF!</v>
      </c>
      <c r="O19" s="63">
        <f>390/12</f>
        <v>32.5</v>
      </c>
      <c r="Q19" s="7">
        <f t="shared" si="2"/>
        <v>2113.1723812499999</v>
      </c>
      <c r="R19" s="7">
        <f t="shared" si="3"/>
        <v>391.32821874999996</v>
      </c>
      <c r="S19" s="7">
        <f t="shared" si="4"/>
        <v>704.39079374999983</v>
      </c>
      <c r="T19" s="7">
        <f t="shared" si="5"/>
        <v>2504.5005999999998</v>
      </c>
      <c r="U19" s="7">
        <f t="shared" si="6"/>
        <v>156.53128749999999</v>
      </c>
      <c r="V19" s="7">
        <f t="shared" si="7"/>
        <v>391.32821874999996</v>
      </c>
      <c r="W19" s="7">
        <f t="shared" si="8"/>
        <v>547.85950624999998</v>
      </c>
      <c r="X19" s="7">
        <f t="shared" si="9"/>
        <v>19253.348362500001</v>
      </c>
      <c r="Y19" s="7">
        <f t="shared" si="10"/>
        <v>12444.237356249998</v>
      </c>
    </row>
    <row r="20" spans="1:25" ht="12.75" customHeight="1" x14ac:dyDescent="0.2">
      <c r="A20" s="93" t="s">
        <v>531</v>
      </c>
      <c r="B20" s="10" t="s">
        <v>485</v>
      </c>
      <c r="C20" s="7">
        <f>C11/1.6</f>
        <v>17237.8</v>
      </c>
      <c r="D20" s="7">
        <f t="shared" si="12"/>
        <v>2585.6699999999996</v>
      </c>
      <c r="E20" s="7">
        <v>0</v>
      </c>
      <c r="F20" s="7"/>
      <c r="G20" s="7">
        <f>C20*VLOOKUP($C$2,Valores!$I$1:$J$53,2,FALSE)</f>
        <v>0</v>
      </c>
      <c r="H20" s="7">
        <f>H11/1.6</f>
        <v>11482.787499999999</v>
      </c>
      <c r="I20" s="15">
        <f>SUM(C20:H20)</f>
        <v>31306.257499999996</v>
      </c>
      <c r="J20" s="7">
        <v>0</v>
      </c>
      <c r="K20" s="12">
        <f t="shared" si="1"/>
        <v>0</v>
      </c>
      <c r="M20" s="64" t="s">
        <v>500</v>
      </c>
      <c r="N20" s="65" t="e">
        <f>SUM(N18:N19)</f>
        <v>#REF!</v>
      </c>
      <c r="O20" s="63">
        <f>SUM(O18:O19)*12</f>
        <v>590.04</v>
      </c>
      <c r="Q20" s="7">
        <f t="shared" si="2"/>
        <v>4226.3447624999999</v>
      </c>
      <c r="R20" s="7">
        <f t="shared" si="3"/>
        <v>782.65643749999992</v>
      </c>
      <c r="S20" s="7">
        <f t="shared" si="4"/>
        <v>1408.7815874999997</v>
      </c>
      <c r="T20" s="7">
        <f t="shared" si="5"/>
        <v>5009.0011999999997</v>
      </c>
      <c r="U20" s="7">
        <f t="shared" si="6"/>
        <v>313.06257499999998</v>
      </c>
      <c r="V20" s="7">
        <f t="shared" si="7"/>
        <v>782.65643749999992</v>
      </c>
      <c r="W20" s="7">
        <f t="shared" si="8"/>
        <v>1095.7190125</v>
      </c>
      <c r="X20" s="7">
        <f t="shared" si="9"/>
        <v>38506.696725000002</v>
      </c>
      <c r="Y20" s="7">
        <f t="shared" si="10"/>
        <v>24888.474712499996</v>
      </c>
    </row>
    <row r="21" spans="1:25" ht="12.75" customHeight="1" x14ac:dyDescent="0.2">
      <c r="A21" s="93" t="s">
        <v>588</v>
      </c>
      <c r="B21" s="10" t="s">
        <v>616</v>
      </c>
      <c r="C21" s="7">
        <v>688.97</v>
      </c>
      <c r="D21" s="7">
        <f t="shared" si="12"/>
        <v>103.3455</v>
      </c>
      <c r="E21" s="7">
        <v>0</v>
      </c>
      <c r="F21" s="7"/>
      <c r="G21" s="7">
        <f>C21*VLOOKUP($C$2,Valores!$I$1:$J$53,2,FALSE)</f>
        <v>0</v>
      </c>
      <c r="H21" s="7">
        <v>459.31490000000002</v>
      </c>
      <c r="I21" s="15">
        <f>SUM(C21:H21)</f>
        <v>1251.6304</v>
      </c>
      <c r="J21" s="7">
        <v>88.67</v>
      </c>
      <c r="K21" s="12">
        <f t="shared" si="1"/>
        <v>88.67</v>
      </c>
      <c r="M21" s="64"/>
      <c r="N21" s="65"/>
      <c r="O21" s="63"/>
      <c r="Q21" s="7">
        <f t="shared" si="2"/>
        <v>168.97010400000002</v>
      </c>
      <c r="R21" s="7">
        <f t="shared" si="3"/>
        <v>31.290760000000002</v>
      </c>
      <c r="S21" s="7">
        <f t="shared" si="4"/>
        <v>56.323367999999995</v>
      </c>
      <c r="T21" s="7">
        <f t="shared" si="5"/>
        <v>200.260864</v>
      </c>
      <c r="U21" s="7">
        <f t="shared" si="6"/>
        <v>12.516304</v>
      </c>
      <c r="V21" s="7">
        <f t="shared" si="7"/>
        <v>31.290760000000002</v>
      </c>
      <c r="W21" s="7">
        <f t="shared" si="8"/>
        <v>43.807064000000004</v>
      </c>
      <c r="X21" s="7">
        <f t="shared" si="9"/>
        <v>1628.1753920000003</v>
      </c>
      <c r="Y21" s="7">
        <f t="shared" si="10"/>
        <v>995.04616799999997</v>
      </c>
    </row>
    <row r="22" spans="1:25" ht="12.75" customHeight="1" x14ac:dyDescent="0.2">
      <c r="A22" s="93" t="s">
        <v>588</v>
      </c>
      <c r="B22" s="10" t="s">
        <v>617</v>
      </c>
      <c r="C22" s="7">
        <v>1377.94</v>
      </c>
      <c r="D22" s="7">
        <f t="shared" si="12"/>
        <v>206.691</v>
      </c>
      <c r="E22" s="7">
        <v>0</v>
      </c>
      <c r="F22" s="7"/>
      <c r="G22" s="7">
        <f>C22*VLOOKUP($C$2,Valores!$I$1:$J$53,2,FALSE)</f>
        <v>0</v>
      </c>
      <c r="H22" s="7">
        <v>918.63</v>
      </c>
      <c r="I22" s="15">
        <f t="shared" ref="I22:I32" si="13">SUM(C22:H22)</f>
        <v>2503.261</v>
      </c>
      <c r="J22" s="7">
        <v>177.34</v>
      </c>
      <c r="K22" s="12">
        <f t="shared" ref="K22:K32" si="14">SUM(J22)</f>
        <v>177.34</v>
      </c>
      <c r="M22" s="64"/>
      <c r="N22" s="65"/>
      <c r="O22" s="63"/>
      <c r="Q22" s="7">
        <f t="shared" si="2"/>
        <v>337.94023500000003</v>
      </c>
      <c r="R22" s="7">
        <f t="shared" si="3"/>
        <v>62.581524999999999</v>
      </c>
      <c r="S22" s="7">
        <f t="shared" si="4"/>
        <v>112.646745</v>
      </c>
      <c r="T22" s="7">
        <f t="shared" si="5"/>
        <v>400.52176000000003</v>
      </c>
      <c r="U22" s="7">
        <f t="shared" si="6"/>
        <v>25.032610000000002</v>
      </c>
      <c r="V22" s="7">
        <f t="shared" si="7"/>
        <v>62.581524999999999</v>
      </c>
      <c r="W22" s="7">
        <f t="shared" si="8"/>
        <v>87.614135000000005</v>
      </c>
      <c r="X22" s="7">
        <f t="shared" si="9"/>
        <v>3256.3510300000003</v>
      </c>
      <c r="Y22" s="7">
        <f t="shared" ref="Y22:Y28" si="15">+I22-SUM(Q22:S22)</f>
        <v>1990.0924949999999</v>
      </c>
    </row>
    <row r="23" spans="1:25" ht="12.75" customHeight="1" x14ac:dyDescent="0.2">
      <c r="A23" s="93" t="s">
        <v>588</v>
      </c>
      <c r="B23" s="10" t="s">
        <v>618</v>
      </c>
      <c r="C23" s="7">
        <v>2066.9</v>
      </c>
      <c r="D23" s="7">
        <f t="shared" si="12"/>
        <v>310.03500000000003</v>
      </c>
      <c r="E23" s="7">
        <v>0</v>
      </c>
      <c r="F23" s="7"/>
      <c r="G23" s="7">
        <f>C23*VLOOKUP($C$2,Valores!$I$1:$J$53,2,FALSE)</f>
        <v>0</v>
      </c>
      <c r="H23" s="7">
        <f>$H$21*3</f>
        <v>1377.9447</v>
      </c>
      <c r="I23" s="15">
        <f t="shared" si="13"/>
        <v>3754.8797</v>
      </c>
      <c r="J23" s="7">
        <v>266.01</v>
      </c>
      <c r="K23" s="12">
        <f t="shared" si="14"/>
        <v>266.01</v>
      </c>
      <c r="M23" s="64"/>
      <c r="N23" s="65"/>
      <c r="O23" s="63"/>
      <c r="Q23" s="7">
        <f t="shared" si="2"/>
        <v>506.90875950000003</v>
      </c>
      <c r="R23" s="7">
        <f t="shared" si="3"/>
        <v>93.871992500000005</v>
      </c>
      <c r="S23" s="7">
        <f t="shared" si="4"/>
        <v>168.96958649999999</v>
      </c>
      <c r="T23" s="7">
        <f t="shared" si="5"/>
        <v>600.78075200000001</v>
      </c>
      <c r="U23" s="7">
        <f t="shared" si="6"/>
        <v>37.548797</v>
      </c>
      <c r="V23" s="7">
        <f t="shared" si="7"/>
        <v>93.871992500000005</v>
      </c>
      <c r="W23" s="7">
        <f t="shared" si="8"/>
        <v>131.42078950000001</v>
      </c>
      <c r="X23" s="7">
        <f t="shared" si="9"/>
        <v>4884.5120309999993</v>
      </c>
      <c r="Y23" s="7">
        <f t="shared" si="15"/>
        <v>2985.1293615</v>
      </c>
    </row>
    <row r="24" spans="1:25" ht="12.75" customHeight="1" x14ac:dyDescent="0.2">
      <c r="A24" s="93" t="s">
        <v>588</v>
      </c>
      <c r="B24" s="10" t="s">
        <v>619</v>
      </c>
      <c r="C24" s="7">
        <v>2755.87</v>
      </c>
      <c r="D24" s="7">
        <f t="shared" si="12"/>
        <v>413.38049999999998</v>
      </c>
      <c r="E24" s="7">
        <v>0</v>
      </c>
      <c r="F24" s="7"/>
      <c r="G24" s="7">
        <f>C24*VLOOKUP($C$2,Valores!$I$1:$J$53,2,FALSE)</f>
        <v>0</v>
      </c>
      <c r="H24" s="7">
        <v>1837.25</v>
      </c>
      <c r="I24" s="15">
        <f t="shared" si="13"/>
        <v>5006.5005000000001</v>
      </c>
      <c r="J24" s="7">
        <v>354.68</v>
      </c>
      <c r="K24" s="12">
        <f t="shared" si="14"/>
        <v>354.68</v>
      </c>
      <c r="M24" s="64"/>
      <c r="N24" s="65"/>
      <c r="O24" s="63"/>
      <c r="Q24" s="7">
        <f t="shared" si="2"/>
        <v>675.87756750000005</v>
      </c>
      <c r="R24" s="7">
        <f t="shared" si="3"/>
        <v>125.16251250000001</v>
      </c>
      <c r="S24" s="7">
        <f t="shared" si="4"/>
        <v>225.29252249999999</v>
      </c>
      <c r="T24" s="7">
        <f t="shared" si="5"/>
        <v>801.04007999999999</v>
      </c>
      <c r="U24" s="7">
        <f t="shared" si="6"/>
        <v>50.065004999999999</v>
      </c>
      <c r="V24" s="7">
        <f t="shared" si="7"/>
        <v>125.16251250000001</v>
      </c>
      <c r="W24" s="7">
        <f t="shared" si="8"/>
        <v>175.22751750000003</v>
      </c>
      <c r="X24" s="7">
        <f t="shared" si="9"/>
        <v>6512.675615000001</v>
      </c>
      <c r="Y24" s="7">
        <f t="shared" si="15"/>
        <v>3980.1678975</v>
      </c>
    </row>
    <row r="25" spans="1:25" ht="12.75" customHeight="1" x14ac:dyDescent="0.2">
      <c r="A25" s="93" t="s">
        <v>588</v>
      </c>
      <c r="B25" s="10" t="s">
        <v>620</v>
      </c>
      <c r="C25" s="7">
        <v>3444.84</v>
      </c>
      <c r="D25" s="7">
        <f t="shared" si="12"/>
        <v>516.726</v>
      </c>
      <c r="E25" s="7">
        <v>0</v>
      </c>
      <c r="F25" s="7"/>
      <c r="G25" s="7">
        <f>C25*VLOOKUP($C$2,Valores!$I$1:$J$53,2,FALSE)</f>
        <v>0</v>
      </c>
      <c r="H25" s="7">
        <v>2296.5700000000002</v>
      </c>
      <c r="I25" s="15">
        <f t="shared" si="13"/>
        <v>6258.1360000000004</v>
      </c>
      <c r="J25" s="7">
        <v>443.35</v>
      </c>
      <c r="K25" s="12">
        <f t="shared" si="14"/>
        <v>443.35</v>
      </c>
      <c r="M25" s="64"/>
      <c r="N25" s="65"/>
      <c r="O25" s="63"/>
      <c r="Q25" s="7">
        <f t="shared" si="2"/>
        <v>844.84836000000007</v>
      </c>
      <c r="R25" s="7">
        <f t="shared" si="3"/>
        <v>156.45340000000002</v>
      </c>
      <c r="S25" s="7">
        <f t="shared" si="4"/>
        <v>281.61612000000002</v>
      </c>
      <c r="T25" s="7">
        <f t="shared" si="5"/>
        <v>1001.3017600000001</v>
      </c>
      <c r="U25" s="7">
        <f t="shared" si="6"/>
        <v>62.581360000000004</v>
      </c>
      <c r="V25" s="7">
        <f t="shared" si="7"/>
        <v>156.45340000000002</v>
      </c>
      <c r="W25" s="7">
        <f t="shared" si="8"/>
        <v>219.03476000000003</v>
      </c>
      <c r="X25" s="7">
        <f t="shared" si="9"/>
        <v>8140.857280000002</v>
      </c>
      <c r="Y25" s="7">
        <f t="shared" si="15"/>
        <v>4975.2181200000005</v>
      </c>
    </row>
    <row r="26" spans="1:25" ht="12.75" customHeight="1" x14ac:dyDescent="0.2">
      <c r="A26" s="93" t="s">
        <v>588</v>
      </c>
      <c r="B26" s="10" t="s">
        <v>621</v>
      </c>
      <c r="C26" s="7">
        <v>4133.8100000000004</v>
      </c>
      <c r="D26" s="7">
        <f t="shared" si="12"/>
        <v>620.07150000000001</v>
      </c>
      <c r="E26" s="7">
        <v>0</v>
      </c>
      <c r="F26" s="7"/>
      <c r="G26" s="7">
        <f>C26*VLOOKUP($C$2,Valores!$I$1:$J$53,2,FALSE)</f>
        <v>0</v>
      </c>
      <c r="H26" s="7">
        <v>2755.88</v>
      </c>
      <c r="I26" s="15">
        <f t="shared" si="13"/>
        <v>7509.7615000000005</v>
      </c>
      <c r="J26" s="7">
        <v>532.01</v>
      </c>
      <c r="K26" s="12">
        <f t="shared" si="14"/>
        <v>532.01</v>
      </c>
      <c r="M26" s="64"/>
      <c r="N26" s="65"/>
      <c r="O26" s="63"/>
      <c r="Q26" s="7">
        <f t="shared" si="2"/>
        <v>1013.8178025000001</v>
      </c>
      <c r="R26" s="7">
        <f t="shared" si="3"/>
        <v>187.74403750000002</v>
      </c>
      <c r="S26" s="7">
        <f t="shared" si="4"/>
        <v>337.93926750000003</v>
      </c>
      <c r="T26" s="7">
        <f t="shared" si="5"/>
        <v>1201.5618400000001</v>
      </c>
      <c r="U26" s="7">
        <f t="shared" si="6"/>
        <v>75.097615000000005</v>
      </c>
      <c r="V26" s="7">
        <f t="shared" si="7"/>
        <v>187.74403750000002</v>
      </c>
      <c r="W26" s="7">
        <f t="shared" si="8"/>
        <v>262.84165250000007</v>
      </c>
      <c r="X26" s="7">
        <f t="shared" si="9"/>
        <v>9769.0166450000015</v>
      </c>
      <c r="Y26" s="7">
        <f t="shared" si="15"/>
        <v>5970.2603925000003</v>
      </c>
    </row>
    <row r="27" spans="1:25" ht="12.75" customHeight="1" x14ac:dyDescent="0.2">
      <c r="A27" s="93" t="s">
        <v>588</v>
      </c>
      <c r="B27" s="10" t="s">
        <v>622</v>
      </c>
      <c r="C27" s="7">
        <v>4822.78</v>
      </c>
      <c r="D27" s="7">
        <f t="shared" si="12"/>
        <v>723.41699999999992</v>
      </c>
      <c r="E27" s="7">
        <v>0</v>
      </c>
      <c r="F27" s="7"/>
      <c r="G27" s="7">
        <f>C27*VLOOKUP($C$2,Valores!$I$1:$J$53,2,FALSE)</f>
        <v>0</v>
      </c>
      <c r="H27" s="7">
        <v>3215.19</v>
      </c>
      <c r="I27" s="15">
        <f t="shared" si="13"/>
        <v>8761.3870000000006</v>
      </c>
      <c r="J27" s="7">
        <v>620.67999999999995</v>
      </c>
      <c r="K27" s="12">
        <f t="shared" si="14"/>
        <v>620.67999999999995</v>
      </c>
      <c r="M27" s="64"/>
      <c r="N27" s="65"/>
      <c r="O27" s="63"/>
      <c r="Q27" s="7">
        <f t="shared" si="2"/>
        <v>1182.7872450000002</v>
      </c>
      <c r="R27" s="7">
        <f t="shared" si="3"/>
        <v>219.03467500000002</v>
      </c>
      <c r="S27" s="7">
        <f t="shared" si="4"/>
        <v>394.26241500000003</v>
      </c>
      <c r="T27" s="7">
        <f t="shared" si="5"/>
        <v>1401.8219200000001</v>
      </c>
      <c r="U27" s="7">
        <f t="shared" si="6"/>
        <v>87.613870000000006</v>
      </c>
      <c r="V27" s="7">
        <f t="shared" si="7"/>
        <v>219.03467500000002</v>
      </c>
      <c r="W27" s="7">
        <f t="shared" si="8"/>
        <v>306.64854500000007</v>
      </c>
      <c r="X27" s="7">
        <f t="shared" si="9"/>
        <v>11397.186010000001</v>
      </c>
      <c r="Y27" s="7">
        <f t="shared" si="15"/>
        <v>6965.3026650000002</v>
      </c>
    </row>
    <row r="28" spans="1:25" ht="12.75" customHeight="1" x14ac:dyDescent="0.2">
      <c r="A28" s="93" t="s">
        <v>588</v>
      </c>
      <c r="B28" s="10" t="s">
        <v>623</v>
      </c>
      <c r="C28" s="7">
        <v>5511.75</v>
      </c>
      <c r="D28" s="7">
        <f t="shared" si="12"/>
        <v>826.76249999999993</v>
      </c>
      <c r="E28" s="7">
        <v>0</v>
      </c>
      <c r="F28" s="7"/>
      <c r="G28" s="7">
        <f>C28*VLOOKUP($C$2,Valores!$I$1:$J$53,2,FALSE)</f>
        <v>0</v>
      </c>
      <c r="H28" s="7">
        <v>3674.5</v>
      </c>
      <c r="I28" s="15">
        <f t="shared" si="13"/>
        <v>10013.012500000001</v>
      </c>
      <c r="J28" s="7">
        <v>709.35</v>
      </c>
      <c r="K28" s="12">
        <f t="shared" si="14"/>
        <v>709.35</v>
      </c>
      <c r="M28" s="64"/>
      <c r="N28" s="65"/>
      <c r="O28" s="63"/>
      <c r="Q28" s="7">
        <f t="shared" si="2"/>
        <v>1351.7566875000002</v>
      </c>
      <c r="R28" s="7">
        <f t="shared" si="3"/>
        <v>250.32531250000002</v>
      </c>
      <c r="S28" s="7">
        <f t="shared" si="4"/>
        <v>450.58556250000004</v>
      </c>
      <c r="T28" s="7">
        <f t="shared" si="5"/>
        <v>1602.0820000000001</v>
      </c>
      <c r="U28" s="7">
        <f t="shared" si="6"/>
        <v>100.13012500000001</v>
      </c>
      <c r="V28" s="7">
        <f t="shared" si="7"/>
        <v>250.32531250000002</v>
      </c>
      <c r="W28" s="7">
        <f t="shared" si="8"/>
        <v>350.45543750000007</v>
      </c>
      <c r="X28" s="7">
        <f t="shared" si="9"/>
        <v>13025.355375000001</v>
      </c>
      <c r="Y28" s="7">
        <f t="shared" si="15"/>
        <v>7960.3449375</v>
      </c>
    </row>
    <row r="29" spans="1:25" ht="12.75" customHeight="1" x14ac:dyDescent="0.2">
      <c r="A29" s="93" t="s">
        <v>588</v>
      </c>
      <c r="B29" s="10" t="s">
        <v>638</v>
      </c>
      <c r="C29" s="7">
        <v>6200.71</v>
      </c>
      <c r="D29" s="7">
        <f t="shared" si="12"/>
        <v>930.10649999999998</v>
      </c>
      <c r="E29" s="7"/>
      <c r="F29" s="7"/>
      <c r="G29" s="7">
        <f>C29*VLOOKUP($C$2,Valores!$I$1:$J$53,2,FALSE)</f>
        <v>0</v>
      </c>
      <c r="H29" s="7">
        <v>4133.82</v>
      </c>
      <c r="I29" s="15">
        <f t="shared" si="13"/>
        <v>11264.636500000001</v>
      </c>
      <c r="J29" s="7">
        <v>798.02</v>
      </c>
      <c r="K29" s="12">
        <f t="shared" si="14"/>
        <v>798.02</v>
      </c>
      <c r="M29" s="64"/>
      <c r="N29" s="65"/>
      <c r="O29" s="63"/>
      <c r="Q29" s="7"/>
      <c r="R29" s="7"/>
      <c r="S29" s="7"/>
      <c r="T29" s="7"/>
      <c r="U29" s="7"/>
      <c r="V29" s="7"/>
      <c r="W29" s="7"/>
      <c r="X29" s="7"/>
      <c r="Y29" s="7"/>
    </row>
    <row r="30" spans="1:25" ht="12.75" customHeight="1" x14ac:dyDescent="0.2">
      <c r="A30" s="93" t="s">
        <v>588</v>
      </c>
      <c r="B30" s="10" t="s">
        <v>639</v>
      </c>
      <c r="C30" s="7">
        <v>6889.68</v>
      </c>
      <c r="D30" s="7">
        <f t="shared" si="12"/>
        <v>1033.452</v>
      </c>
      <c r="E30" s="7"/>
      <c r="F30" s="7"/>
      <c r="G30" s="7">
        <f>C30*VLOOKUP($C$2,Valores!$I$1:$J$53,2,FALSE)</f>
        <v>0</v>
      </c>
      <c r="H30" s="7">
        <v>4593.13</v>
      </c>
      <c r="I30" s="15">
        <f t="shared" si="13"/>
        <v>12516.262000000001</v>
      </c>
      <c r="J30" s="7">
        <v>886.69</v>
      </c>
      <c r="K30" s="12">
        <f t="shared" si="14"/>
        <v>886.69</v>
      </c>
      <c r="M30" s="64"/>
      <c r="N30" s="65"/>
      <c r="O30" s="63"/>
      <c r="Q30" s="7"/>
      <c r="R30" s="7"/>
      <c r="S30" s="7"/>
      <c r="T30" s="7"/>
      <c r="U30" s="7"/>
      <c r="V30" s="7"/>
      <c r="W30" s="7"/>
      <c r="X30" s="7"/>
      <c r="Y30" s="7"/>
    </row>
    <row r="31" spans="1:25" ht="12.75" customHeight="1" x14ac:dyDescent="0.2">
      <c r="A31" s="93" t="s">
        <v>588</v>
      </c>
      <c r="B31" s="10" t="s">
        <v>640</v>
      </c>
      <c r="C31" s="7">
        <v>7878.65</v>
      </c>
      <c r="D31" s="7">
        <f t="shared" si="12"/>
        <v>1181.7974999999999</v>
      </c>
      <c r="E31" s="7"/>
      <c r="F31" s="7"/>
      <c r="G31" s="7">
        <f>C31*VLOOKUP($C$2,Valores!$I$1:$J$53,2,FALSE)</f>
        <v>0</v>
      </c>
      <c r="H31" s="7">
        <v>5052.4399999999996</v>
      </c>
      <c r="I31" s="15">
        <f t="shared" si="13"/>
        <v>14112.887500000001</v>
      </c>
      <c r="J31" s="7">
        <v>975.36</v>
      </c>
      <c r="K31" s="12">
        <f t="shared" si="14"/>
        <v>975.36</v>
      </c>
      <c r="M31" s="64"/>
      <c r="N31" s="65"/>
      <c r="O31" s="63"/>
      <c r="Q31" s="7"/>
      <c r="R31" s="7"/>
      <c r="S31" s="7"/>
      <c r="T31" s="7"/>
      <c r="U31" s="7"/>
      <c r="V31" s="7"/>
      <c r="W31" s="7"/>
      <c r="X31" s="7"/>
      <c r="Y31" s="7"/>
    </row>
    <row r="32" spans="1:25" ht="12.75" customHeight="1" x14ac:dyDescent="0.2">
      <c r="A32" s="93" t="s">
        <v>588</v>
      </c>
      <c r="B32" s="10" t="s">
        <v>641</v>
      </c>
      <c r="C32" s="7">
        <v>8567.6200000000008</v>
      </c>
      <c r="D32" s="7">
        <f t="shared" si="12"/>
        <v>1285.143</v>
      </c>
      <c r="E32" s="7"/>
      <c r="F32" s="7"/>
      <c r="G32" s="7">
        <f>C32*VLOOKUP($C$2,Valores!$I$1:$J$53,2,FALSE)</f>
        <v>0</v>
      </c>
      <c r="H32" s="7">
        <v>5511.75</v>
      </c>
      <c r="I32" s="15">
        <f t="shared" si="13"/>
        <v>15364.513000000001</v>
      </c>
      <c r="J32" s="7">
        <v>1064.03</v>
      </c>
      <c r="K32" s="12">
        <f t="shared" si="14"/>
        <v>1064.03</v>
      </c>
      <c r="M32" s="64"/>
      <c r="N32" s="65"/>
      <c r="O32" s="63"/>
      <c r="Q32" s="7"/>
      <c r="R32" s="7"/>
      <c r="S32" s="7"/>
      <c r="T32" s="7"/>
      <c r="U32" s="7"/>
      <c r="V32" s="7"/>
      <c r="W32" s="7"/>
      <c r="X32" s="7"/>
      <c r="Y32" s="7"/>
    </row>
    <row r="33" spans="1:25" ht="12.75" customHeight="1" x14ac:dyDescent="0.2">
      <c r="A33" s="93"/>
      <c r="B33" s="10"/>
      <c r="C33" s="7"/>
      <c r="D33" s="7"/>
      <c r="E33" s="7"/>
      <c r="F33" s="7"/>
      <c r="G33" s="7"/>
      <c r="H33" s="7"/>
      <c r="I33" s="15"/>
      <c r="J33" s="7"/>
      <c r="K33" s="12"/>
      <c r="M33" s="64"/>
      <c r="N33" s="65"/>
      <c r="O33" s="63"/>
      <c r="Q33" s="7"/>
      <c r="R33" s="7"/>
      <c r="S33" s="7"/>
      <c r="T33" s="7"/>
      <c r="U33" s="7"/>
      <c r="V33" s="7"/>
      <c r="W33" s="7"/>
      <c r="X33" s="7">
        <f>I33+K33+T33+U33+V33+W33</f>
        <v>0</v>
      </c>
      <c r="Y33" s="7">
        <f>+I33-SUM(Q33:S33)</f>
        <v>0</v>
      </c>
    </row>
    <row r="34" spans="1:25" ht="12.75" customHeight="1" x14ac:dyDescent="0.2">
      <c r="A34" s="166"/>
      <c r="B34" s="167"/>
      <c r="C34" s="168"/>
      <c r="D34" s="168"/>
      <c r="E34" s="168"/>
      <c r="F34" s="168"/>
      <c r="G34" s="168"/>
      <c r="H34" s="168"/>
      <c r="I34" s="169"/>
      <c r="J34" s="168"/>
      <c r="K34" s="170"/>
      <c r="M34" s="64"/>
      <c r="N34" s="65"/>
      <c r="O34" s="63"/>
      <c r="Q34" s="165">
        <v>0.11</v>
      </c>
      <c r="R34" s="165">
        <v>0.05</v>
      </c>
      <c r="S34" s="164">
        <v>4.4999999999999998E-2</v>
      </c>
      <c r="T34" s="161">
        <v>0.16</v>
      </c>
      <c r="U34" s="162">
        <v>0</v>
      </c>
      <c r="V34" s="163">
        <v>0</v>
      </c>
      <c r="W34" s="163">
        <v>3.5000000000000003E-2</v>
      </c>
      <c r="X34" s="7" t="s">
        <v>624</v>
      </c>
      <c r="Y34" s="7"/>
    </row>
    <row r="35" spans="1:25" ht="12.75" customHeight="1" x14ac:dyDescent="0.2">
      <c r="A35" s="93" t="s">
        <v>538</v>
      </c>
      <c r="B35" s="10" t="s">
        <v>539</v>
      </c>
      <c r="C35" s="7">
        <v>51328.46</v>
      </c>
      <c r="D35" s="7">
        <v>0</v>
      </c>
      <c r="E35" s="7">
        <v>574.89</v>
      </c>
      <c r="F35" s="7">
        <v>4043.48</v>
      </c>
      <c r="G35" s="7">
        <f>C35*0.0225*$C$2</f>
        <v>0</v>
      </c>
      <c r="H35" s="7">
        <v>0</v>
      </c>
      <c r="I35" s="15">
        <f>SUM(C35:H35)</f>
        <v>55946.83</v>
      </c>
      <c r="J35" s="7">
        <v>0</v>
      </c>
      <c r="K35" s="7">
        <f>SUM(J35)</f>
        <v>0</v>
      </c>
      <c r="L35" s="109" t="s">
        <v>559</v>
      </c>
      <c r="Q35" s="7">
        <f>I35*$Q$5</f>
        <v>7552.8220500000007</v>
      </c>
      <c r="R35" s="7">
        <f>I35*$R$5</f>
        <v>1398.6707500000002</v>
      </c>
      <c r="S35" s="7">
        <f t="shared" ref="S35:S47" si="16">I35*$S$5</f>
        <v>2517.6073499999998</v>
      </c>
      <c r="T35" s="7">
        <f t="shared" ref="T35:T47" si="17">I35*$T$34</f>
        <v>8951.4928</v>
      </c>
      <c r="U35" s="7">
        <f t="shared" ref="U35:U47" si="18">I35*$U$34</f>
        <v>0</v>
      </c>
      <c r="V35" s="7">
        <f t="shared" ref="V35:V47" si="19">I35*$V$34</f>
        <v>0</v>
      </c>
      <c r="W35" s="7">
        <f t="shared" ref="W35:W47" si="20">I35*$W$34</f>
        <v>1958.1390500000002</v>
      </c>
      <c r="X35" s="7">
        <f t="shared" ref="X35:X47" si="21">I35+K35+T35+U35+V35+W35</f>
        <v>66856.461850000007</v>
      </c>
      <c r="Y35" s="7">
        <f t="shared" ref="Y35:Y47" si="22">+I35-SUM(Q35:S35)</f>
        <v>44477.729850000003</v>
      </c>
    </row>
    <row r="36" spans="1:25" ht="12.75" customHeight="1" x14ac:dyDescent="0.2">
      <c r="A36" s="93" t="s">
        <v>532</v>
      </c>
      <c r="B36" s="10" t="s">
        <v>533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15">
        <f t="shared" ref="I36:I47" si="23">SUM(C36:H36)</f>
        <v>0</v>
      </c>
      <c r="J36" s="7">
        <v>0</v>
      </c>
      <c r="K36" s="7">
        <f>SUM(J36)</f>
        <v>0</v>
      </c>
      <c r="L36" s="109" t="s">
        <v>557</v>
      </c>
      <c r="M36" s="10" t="s">
        <v>513</v>
      </c>
      <c r="N36" s="63">
        <v>5314.29</v>
      </c>
      <c r="O36" s="63">
        <v>3542.86</v>
      </c>
      <c r="Q36" s="7">
        <f>I36*$Q$5</f>
        <v>0</v>
      </c>
      <c r="R36" s="7">
        <f>I36*$R$5</f>
        <v>0</v>
      </c>
      <c r="S36" s="7">
        <f t="shared" si="16"/>
        <v>0</v>
      </c>
      <c r="T36" s="7">
        <f t="shared" si="17"/>
        <v>0</v>
      </c>
      <c r="U36" s="7">
        <f t="shared" si="18"/>
        <v>0</v>
      </c>
      <c r="V36" s="7">
        <f t="shared" si="19"/>
        <v>0</v>
      </c>
      <c r="W36" s="7">
        <f t="shared" si="20"/>
        <v>0</v>
      </c>
      <c r="X36" s="7">
        <f t="shared" si="21"/>
        <v>0</v>
      </c>
      <c r="Y36" s="7">
        <f t="shared" si="22"/>
        <v>0</v>
      </c>
    </row>
    <row r="37" spans="1:25" ht="12.75" customHeight="1" x14ac:dyDescent="0.2">
      <c r="A37" s="93" t="s">
        <v>534</v>
      </c>
      <c r="B37" s="10" t="s">
        <v>535</v>
      </c>
      <c r="C37" s="7">
        <v>140966.51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15">
        <f t="shared" si="23"/>
        <v>140966.51</v>
      </c>
      <c r="J37" s="7">
        <v>0</v>
      </c>
      <c r="K37" s="7">
        <f>SUM(J37)</f>
        <v>0</v>
      </c>
      <c r="L37" s="109" t="s">
        <v>556</v>
      </c>
      <c r="M37" s="10" t="s">
        <v>514</v>
      </c>
      <c r="N37" s="63">
        <v>10628.58</v>
      </c>
      <c r="O37" s="63">
        <v>7085.72</v>
      </c>
      <c r="Q37" s="7">
        <f>I37*0.088</f>
        <v>12405.052879999999</v>
      </c>
      <c r="R37" s="7">
        <f>I37*0.07203875</f>
        <v>10155.0511722625</v>
      </c>
      <c r="S37" s="7">
        <f t="shared" si="16"/>
        <v>6343.4929499999998</v>
      </c>
      <c r="T37" s="7">
        <f t="shared" si="17"/>
        <v>22554.641600000003</v>
      </c>
      <c r="U37" s="7">
        <f t="shared" si="18"/>
        <v>0</v>
      </c>
      <c r="V37" s="7">
        <f t="shared" si="19"/>
        <v>0</v>
      </c>
      <c r="W37" s="7">
        <f t="shared" si="20"/>
        <v>4933.8278500000006</v>
      </c>
      <c r="X37" s="7">
        <f t="shared" si="21"/>
        <v>168454.97945000001</v>
      </c>
      <c r="Y37" s="7">
        <f t="shared" si="22"/>
        <v>112062.91299773751</v>
      </c>
    </row>
    <row r="38" spans="1:25" ht="12.75" customHeight="1" x14ac:dyDescent="0.2">
      <c r="A38" s="93" t="s">
        <v>567</v>
      </c>
      <c r="B38" s="10" t="s">
        <v>566</v>
      </c>
      <c r="C38" s="7">
        <v>122846.6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15">
        <f t="shared" si="23"/>
        <v>122846.6</v>
      </c>
      <c r="J38" s="7"/>
      <c r="K38" s="7"/>
      <c r="L38" s="109"/>
      <c r="Q38" s="7">
        <f>I38*0.0826645</f>
        <v>10155.0527657</v>
      </c>
      <c r="R38" s="7">
        <f>I38*0.0773355</f>
        <v>9500.4032342999999</v>
      </c>
      <c r="S38" s="7">
        <f t="shared" si="16"/>
        <v>5528.0969999999998</v>
      </c>
      <c r="T38" s="7">
        <f t="shared" si="17"/>
        <v>19655.456000000002</v>
      </c>
      <c r="U38" s="7">
        <f t="shared" si="18"/>
        <v>0</v>
      </c>
      <c r="V38" s="7">
        <f t="shared" si="19"/>
        <v>0</v>
      </c>
      <c r="W38" s="7">
        <f t="shared" si="20"/>
        <v>4299.6310000000003</v>
      </c>
      <c r="X38" s="7">
        <f t="shared" si="21"/>
        <v>146801.68700000001</v>
      </c>
      <c r="Y38" s="7">
        <f t="shared" si="22"/>
        <v>97663.047000000006</v>
      </c>
    </row>
    <row r="39" spans="1:25" ht="12.75" customHeight="1" x14ac:dyDescent="0.2">
      <c r="A39" s="93" t="s">
        <v>536</v>
      </c>
      <c r="B39" s="10" t="s">
        <v>537</v>
      </c>
      <c r="C39" s="7">
        <v>91295.03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15">
        <f t="shared" si="23"/>
        <v>91295.03</v>
      </c>
      <c r="J39" s="7">
        <v>0</v>
      </c>
      <c r="K39" s="7">
        <f t="shared" ref="K39:K47" si="24">SUM(J39)</f>
        <v>0</v>
      </c>
      <c r="L39" s="109" t="s">
        <v>559</v>
      </c>
      <c r="Q39" s="7">
        <f>I39*$Q$34</f>
        <v>10042.453299999999</v>
      </c>
      <c r="R39" s="7">
        <f>I39*$R$34</f>
        <v>4564.7515000000003</v>
      </c>
      <c r="S39" s="7">
        <f t="shared" si="16"/>
        <v>4108.2763500000001</v>
      </c>
      <c r="T39" s="7">
        <f t="shared" si="17"/>
        <v>14607.2048</v>
      </c>
      <c r="U39" s="7">
        <f t="shared" si="18"/>
        <v>0</v>
      </c>
      <c r="V39" s="7">
        <f t="shared" si="19"/>
        <v>0</v>
      </c>
      <c r="W39" s="7">
        <f t="shared" si="20"/>
        <v>3195.3260500000001</v>
      </c>
      <c r="X39" s="7">
        <f t="shared" si="21"/>
        <v>109097.56085000001</v>
      </c>
      <c r="Y39" s="7">
        <f t="shared" si="22"/>
        <v>72579.548849999992</v>
      </c>
    </row>
    <row r="40" spans="1:25" ht="12.75" customHeight="1" x14ac:dyDescent="0.2">
      <c r="A40" s="93" t="s">
        <v>540</v>
      </c>
      <c r="B40" s="10" t="s">
        <v>541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15">
        <f t="shared" si="23"/>
        <v>0</v>
      </c>
      <c r="J40" s="7">
        <v>0</v>
      </c>
      <c r="K40" s="7">
        <f t="shared" si="24"/>
        <v>0</v>
      </c>
      <c r="L40" s="109" t="s">
        <v>559</v>
      </c>
      <c r="Q40" s="7">
        <f>I40*$Q$5</f>
        <v>0</v>
      </c>
      <c r="R40" s="7">
        <f>I40*$R$5</f>
        <v>0</v>
      </c>
      <c r="S40" s="7">
        <f t="shared" si="16"/>
        <v>0</v>
      </c>
      <c r="T40" s="7">
        <f t="shared" si="17"/>
        <v>0</v>
      </c>
      <c r="U40" s="7">
        <f t="shared" si="18"/>
        <v>0</v>
      </c>
      <c r="V40" s="7">
        <f t="shared" si="19"/>
        <v>0</v>
      </c>
      <c r="W40" s="7">
        <f t="shared" si="20"/>
        <v>0</v>
      </c>
      <c r="X40" s="7">
        <f t="shared" si="21"/>
        <v>0</v>
      </c>
      <c r="Y40" s="7">
        <f t="shared" si="22"/>
        <v>0</v>
      </c>
    </row>
    <row r="41" spans="1:25" x14ac:dyDescent="0.2">
      <c r="A41" s="93" t="s">
        <v>542</v>
      </c>
      <c r="B41" s="10" t="s">
        <v>543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15">
        <f t="shared" si="23"/>
        <v>0</v>
      </c>
      <c r="J41" s="7">
        <v>0</v>
      </c>
      <c r="K41" s="7">
        <f t="shared" si="24"/>
        <v>0</v>
      </c>
      <c r="L41" s="109" t="s">
        <v>559</v>
      </c>
      <c r="Q41" s="7">
        <f>I41*$Q$5</f>
        <v>0</v>
      </c>
      <c r="R41" s="7">
        <f>I41*$R$5</f>
        <v>0</v>
      </c>
      <c r="S41" s="7">
        <f t="shared" si="16"/>
        <v>0</v>
      </c>
      <c r="T41" s="7">
        <f t="shared" si="17"/>
        <v>0</v>
      </c>
      <c r="U41" s="7">
        <f t="shared" si="18"/>
        <v>0</v>
      </c>
      <c r="V41" s="7">
        <f t="shared" si="19"/>
        <v>0</v>
      </c>
      <c r="W41" s="7">
        <f t="shared" si="20"/>
        <v>0</v>
      </c>
      <c r="X41" s="7">
        <f t="shared" si="21"/>
        <v>0</v>
      </c>
      <c r="Y41" s="7">
        <f t="shared" si="22"/>
        <v>0</v>
      </c>
    </row>
    <row r="42" spans="1:25" x14ac:dyDescent="0.2">
      <c r="A42" s="93" t="s">
        <v>544</v>
      </c>
      <c r="B42" s="10" t="s">
        <v>545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15">
        <f t="shared" si="23"/>
        <v>0</v>
      </c>
      <c r="J42" s="7">
        <v>0</v>
      </c>
      <c r="K42" s="7">
        <f t="shared" si="24"/>
        <v>0</v>
      </c>
      <c r="L42" s="109" t="s">
        <v>559</v>
      </c>
      <c r="Q42" s="7">
        <f>I42*$Q$5</f>
        <v>0</v>
      </c>
      <c r="R42" s="7">
        <f>I42*$R$5</f>
        <v>0</v>
      </c>
      <c r="S42" s="7">
        <f t="shared" si="16"/>
        <v>0</v>
      </c>
      <c r="T42" s="7">
        <f t="shared" si="17"/>
        <v>0</v>
      </c>
      <c r="U42" s="7">
        <f t="shared" si="18"/>
        <v>0</v>
      </c>
      <c r="V42" s="7">
        <f t="shared" si="19"/>
        <v>0</v>
      </c>
      <c r="W42" s="7">
        <f t="shared" si="20"/>
        <v>0</v>
      </c>
      <c r="X42" s="7">
        <f t="shared" si="21"/>
        <v>0</v>
      </c>
      <c r="Y42" s="7">
        <f t="shared" si="22"/>
        <v>0</v>
      </c>
    </row>
    <row r="43" spans="1:25" x14ac:dyDescent="0.2">
      <c r="A43" s="93" t="s">
        <v>568</v>
      </c>
      <c r="B43" s="10" t="s">
        <v>569</v>
      </c>
      <c r="C43" s="7">
        <v>51328.46</v>
      </c>
      <c r="D43" s="7">
        <v>0</v>
      </c>
      <c r="E43" s="7">
        <v>574.89</v>
      </c>
      <c r="F43" s="7">
        <v>4043.48</v>
      </c>
      <c r="G43" s="7">
        <f>C43*0.0225*$C$2</f>
        <v>0</v>
      </c>
      <c r="H43" s="7">
        <v>0</v>
      </c>
      <c r="I43" s="15">
        <f t="shared" si="23"/>
        <v>55946.83</v>
      </c>
      <c r="J43" s="7">
        <v>0</v>
      </c>
      <c r="K43" s="7">
        <f t="shared" si="24"/>
        <v>0</v>
      </c>
      <c r="L43" s="109"/>
      <c r="Q43" s="7">
        <f>I43*$Q$34</f>
        <v>6154.1513000000004</v>
      </c>
      <c r="R43" s="7">
        <f>I43*$R$34</f>
        <v>2797.3415000000005</v>
      </c>
      <c r="S43" s="7">
        <f t="shared" si="16"/>
        <v>2517.6073499999998</v>
      </c>
      <c r="T43" s="7">
        <f t="shared" si="17"/>
        <v>8951.4928</v>
      </c>
      <c r="U43" s="7">
        <f t="shared" si="18"/>
        <v>0</v>
      </c>
      <c r="V43" s="7">
        <f t="shared" si="19"/>
        <v>0</v>
      </c>
      <c r="W43" s="7">
        <f t="shared" si="20"/>
        <v>1958.1390500000002</v>
      </c>
      <c r="X43" s="7">
        <f t="shared" si="21"/>
        <v>66856.461850000007</v>
      </c>
      <c r="Y43" s="7">
        <f t="shared" si="22"/>
        <v>44477.729850000003</v>
      </c>
    </row>
    <row r="44" spans="1:25" ht="12.75" customHeight="1" x14ac:dyDescent="0.2">
      <c r="A44" s="93" t="s">
        <v>546</v>
      </c>
      <c r="B44" s="10" t="s">
        <v>547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15">
        <f t="shared" si="23"/>
        <v>0</v>
      </c>
      <c r="J44" s="7">
        <v>0</v>
      </c>
      <c r="K44" s="7">
        <f t="shared" si="24"/>
        <v>0</v>
      </c>
      <c r="L44" s="109" t="s">
        <v>557</v>
      </c>
      <c r="Q44" s="7">
        <f>I44*$Q$5</f>
        <v>0</v>
      </c>
      <c r="R44" s="7">
        <f>I44*$R$5</f>
        <v>0</v>
      </c>
      <c r="S44" s="7">
        <f t="shared" si="16"/>
        <v>0</v>
      </c>
      <c r="T44" s="7">
        <f t="shared" si="17"/>
        <v>0</v>
      </c>
      <c r="U44" s="7">
        <f t="shared" si="18"/>
        <v>0</v>
      </c>
      <c r="V44" s="7">
        <f t="shared" si="19"/>
        <v>0</v>
      </c>
      <c r="W44" s="7">
        <f t="shared" si="20"/>
        <v>0</v>
      </c>
      <c r="X44" s="7">
        <f t="shared" si="21"/>
        <v>0</v>
      </c>
      <c r="Y44" s="7">
        <f t="shared" si="22"/>
        <v>0</v>
      </c>
    </row>
    <row r="45" spans="1:25" ht="12.75" customHeight="1" x14ac:dyDescent="0.2">
      <c r="A45" s="93" t="s">
        <v>548</v>
      </c>
      <c r="B45" s="10" t="s">
        <v>549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15">
        <f t="shared" si="23"/>
        <v>0</v>
      </c>
      <c r="J45" s="7">
        <v>0</v>
      </c>
      <c r="K45" s="7">
        <f t="shared" si="24"/>
        <v>0</v>
      </c>
      <c r="L45" s="109" t="s">
        <v>557</v>
      </c>
      <c r="Q45" s="7">
        <f>I45*$Q$5</f>
        <v>0</v>
      </c>
      <c r="R45" s="7">
        <f>I45*$R$5</f>
        <v>0</v>
      </c>
      <c r="S45" s="7">
        <f t="shared" si="16"/>
        <v>0</v>
      </c>
      <c r="T45" s="7">
        <f t="shared" si="17"/>
        <v>0</v>
      </c>
      <c r="U45" s="7">
        <f t="shared" si="18"/>
        <v>0</v>
      </c>
      <c r="V45" s="7">
        <f t="shared" si="19"/>
        <v>0</v>
      </c>
      <c r="W45" s="7">
        <f t="shared" si="20"/>
        <v>0</v>
      </c>
      <c r="X45" s="7">
        <f t="shared" si="21"/>
        <v>0</v>
      </c>
      <c r="Y45" s="7">
        <f t="shared" si="22"/>
        <v>0</v>
      </c>
    </row>
    <row r="46" spans="1:25" ht="12.75" customHeight="1" x14ac:dyDescent="0.2">
      <c r="A46" s="93" t="s">
        <v>550</v>
      </c>
      <c r="B46" s="10" t="s">
        <v>551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15">
        <f t="shared" si="23"/>
        <v>0</v>
      </c>
      <c r="J46" s="7">
        <v>0</v>
      </c>
      <c r="K46" s="7">
        <f t="shared" si="24"/>
        <v>0</v>
      </c>
      <c r="L46" s="109" t="s">
        <v>557</v>
      </c>
      <c r="Q46" s="7">
        <f>I46*$Q$5</f>
        <v>0</v>
      </c>
      <c r="R46" s="7">
        <f>I46*$R$5</f>
        <v>0</v>
      </c>
      <c r="S46" s="7">
        <f t="shared" si="16"/>
        <v>0</v>
      </c>
      <c r="T46" s="7">
        <f t="shared" si="17"/>
        <v>0</v>
      </c>
      <c r="U46" s="7">
        <f t="shared" si="18"/>
        <v>0</v>
      </c>
      <c r="V46" s="7">
        <f t="shared" si="19"/>
        <v>0</v>
      </c>
      <c r="W46" s="7">
        <f t="shared" si="20"/>
        <v>0</v>
      </c>
      <c r="X46" s="7">
        <f t="shared" si="21"/>
        <v>0</v>
      </c>
      <c r="Y46" s="7">
        <f t="shared" si="22"/>
        <v>0</v>
      </c>
    </row>
    <row r="47" spans="1:25" ht="12.75" customHeight="1" x14ac:dyDescent="0.2">
      <c r="A47" s="93" t="s">
        <v>552</v>
      </c>
      <c r="B47" s="10" t="s">
        <v>553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15">
        <f t="shared" si="23"/>
        <v>0</v>
      </c>
      <c r="J47" s="7">
        <v>0</v>
      </c>
      <c r="K47" s="7">
        <f t="shared" si="24"/>
        <v>0</v>
      </c>
      <c r="L47" s="109" t="s">
        <v>557</v>
      </c>
      <c r="Q47" s="7">
        <f>I47*$Q$5</f>
        <v>0</v>
      </c>
      <c r="R47" s="7">
        <f>I47*$R$5</f>
        <v>0</v>
      </c>
      <c r="S47" s="7">
        <f t="shared" si="16"/>
        <v>0</v>
      </c>
      <c r="T47" s="7">
        <f t="shared" si="17"/>
        <v>0</v>
      </c>
      <c r="U47" s="7">
        <f t="shared" si="18"/>
        <v>0</v>
      </c>
      <c r="V47" s="7">
        <f t="shared" si="19"/>
        <v>0</v>
      </c>
      <c r="W47" s="7">
        <f t="shared" si="20"/>
        <v>0</v>
      </c>
      <c r="X47" s="7">
        <f t="shared" si="21"/>
        <v>0</v>
      </c>
      <c r="Y47" s="7">
        <f t="shared" si="22"/>
        <v>0</v>
      </c>
    </row>
  </sheetData>
  <autoFilter ref="A5:K37"/>
  <sortState ref="A21:C31">
    <sortCondition ref="A21:A31"/>
  </sortState>
  <mergeCells count="4">
    <mergeCell ref="A2:B2"/>
    <mergeCell ref="A1:J1"/>
    <mergeCell ref="Q3:S3"/>
    <mergeCell ref="T3:W3"/>
  </mergeCells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Valores</vt:lpstr>
      <vt:lpstr>Escala Docente</vt:lpstr>
      <vt:lpstr>UPC</vt:lpstr>
      <vt:lpstr>'Escala Docente'!Área_de_impresión</vt:lpstr>
      <vt:lpstr>UPC!Área_de_impresión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Ruben Godoy</cp:lastModifiedBy>
  <cp:lastPrinted>2018-06-14T21:14:29Z</cp:lastPrinted>
  <dcterms:created xsi:type="dcterms:W3CDTF">2005-08-10T23:49:01Z</dcterms:created>
  <dcterms:modified xsi:type="dcterms:W3CDTF">2018-08-01T17:29:39Z</dcterms:modified>
</cp:coreProperties>
</file>