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23342268\Desktop\Archivos PDF\"/>
    </mc:Choice>
  </mc:AlternateContent>
  <bookViews>
    <workbookView xWindow="9045" yWindow="-45" windowWidth="11445" windowHeight="8100" tabRatio="767" activeTab="1"/>
  </bookViews>
  <sheets>
    <sheet name="Valores" sheetId="2273" r:id="rId1"/>
    <sheet name="Escala Docente" sheetId="2262" r:id="rId2"/>
    <sheet name="UPC" sheetId="2274" state="hidden" r:id="rId3"/>
  </sheets>
  <definedNames>
    <definedName name="_xlnm._FilterDatabase" localSheetId="1" hidden="1">'Escala Docente'!$A$6:$BD$327</definedName>
    <definedName name="_xlnm._FilterDatabase" localSheetId="2" hidden="1">UPC!$A$5:$K$37</definedName>
    <definedName name="_xlnm.Print_Area" localSheetId="1">'Escala Docente'!$C$1:$AM$327</definedName>
    <definedName name="_xlnm.Print_Area" localSheetId="2">UPC!$A$2:$J$37</definedName>
    <definedName name="_xlnm.Print_Titles" localSheetId="1">'Escala Docente'!$C:$E,'Escala Docente'!$5:$6</definedName>
    <definedName name="wrn.Planilla._.de._.Sueldos._.Docentes." localSheetId="1" hidden="1">{#N/A,#N/A,TRUE,"CARGOS"}</definedName>
    <definedName name="wrn.Planilla._.de._.Sueldos._.Docentes." hidden="1">{#N/A,#N/A,TRUE,"CARGOS"}</definedName>
  </definedNames>
  <calcPr calcId="162913"/>
</workbook>
</file>

<file path=xl/calcChain.xml><?xml version="1.0" encoding="utf-8"?>
<calcChain xmlns="http://schemas.openxmlformats.org/spreadsheetml/2006/main">
  <c r="C33" i="2273" l="1"/>
  <c r="D36" i="2273" l="1"/>
  <c r="F35" i="2273"/>
  <c r="AE8" i="2262" l="1"/>
  <c r="AE9" i="2262"/>
  <c r="AE10" i="2262"/>
  <c r="AE11" i="2262"/>
  <c r="AE12" i="2262"/>
  <c r="AE13" i="2262"/>
  <c r="AE14" i="2262"/>
  <c r="AE15" i="2262"/>
  <c r="AE16" i="2262"/>
  <c r="AE17" i="2262"/>
  <c r="AE18" i="2262"/>
  <c r="AE19" i="2262"/>
  <c r="AE20" i="2262"/>
  <c r="AE21" i="2262"/>
  <c r="AE22" i="2262"/>
  <c r="AE23" i="2262"/>
  <c r="AE24" i="2262"/>
  <c r="AE25" i="2262"/>
  <c r="AE26" i="2262"/>
  <c r="AE27" i="2262"/>
  <c r="AE28" i="2262"/>
  <c r="AE29" i="2262"/>
  <c r="AE30" i="2262"/>
  <c r="AE31" i="2262"/>
  <c r="AE32" i="2262"/>
  <c r="AE33" i="2262"/>
  <c r="AE34" i="2262"/>
  <c r="AE35" i="2262"/>
  <c r="AE36" i="2262"/>
  <c r="AE37" i="2262"/>
  <c r="AE38" i="2262"/>
  <c r="AE39" i="2262"/>
  <c r="AE40" i="2262"/>
  <c r="AE41" i="2262"/>
  <c r="AE42" i="2262"/>
  <c r="AE43" i="2262"/>
  <c r="AE44" i="2262"/>
  <c r="AE45" i="2262"/>
  <c r="AE46" i="2262"/>
  <c r="AE47" i="2262"/>
  <c r="AE48" i="2262"/>
  <c r="AE49" i="2262"/>
  <c r="AE50" i="2262"/>
  <c r="AE51" i="2262"/>
  <c r="AE52" i="2262"/>
  <c r="AE53" i="2262"/>
  <c r="AE54" i="2262"/>
  <c r="AE55" i="2262"/>
  <c r="AE56" i="2262"/>
  <c r="AE57" i="2262"/>
  <c r="AE58" i="2262"/>
  <c r="AE59" i="2262"/>
  <c r="AE60" i="2262"/>
  <c r="AE61" i="2262"/>
  <c r="AE62" i="2262"/>
  <c r="AE63" i="2262"/>
  <c r="AE64" i="2262"/>
  <c r="AE65" i="2262"/>
  <c r="AE66" i="2262"/>
  <c r="AE67" i="2262"/>
  <c r="AE68" i="2262"/>
  <c r="AE69" i="2262"/>
  <c r="AE70" i="2262"/>
  <c r="AE71" i="2262"/>
  <c r="AE72" i="2262"/>
  <c r="AE73" i="2262"/>
  <c r="AE74" i="2262"/>
  <c r="AE75" i="2262"/>
  <c r="AE76" i="2262"/>
  <c r="AE77" i="2262"/>
  <c r="AE78" i="2262"/>
  <c r="AE79" i="2262"/>
  <c r="AE80" i="2262"/>
  <c r="AE81" i="2262"/>
  <c r="AE82" i="2262"/>
  <c r="AE83" i="2262"/>
  <c r="AE84" i="2262"/>
  <c r="AE85" i="2262"/>
  <c r="AE86" i="2262"/>
  <c r="AE87" i="2262"/>
  <c r="AE88" i="2262"/>
  <c r="AE89" i="2262"/>
  <c r="AE90" i="2262"/>
  <c r="AE91" i="2262"/>
  <c r="AE92" i="2262"/>
  <c r="AE93" i="2262"/>
  <c r="AE94" i="2262"/>
  <c r="AE95" i="2262"/>
  <c r="AE96" i="2262"/>
  <c r="AE97" i="2262"/>
  <c r="AE98" i="2262"/>
  <c r="AE99" i="2262"/>
  <c r="AE100" i="2262"/>
  <c r="AE101" i="2262"/>
  <c r="AE102" i="2262"/>
  <c r="AE103" i="2262"/>
  <c r="AE104" i="2262"/>
  <c r="AE105" i="2262"/>
  <c r="AE106" i="2262"/>
  <c r="AE107" i="2262"/>
  <c r="AE108" i="2262"/>
  <c r="AE109" i="2262"/>
  <c r="AE110" i="2262"/>
  <c r="AE111" i="2262"/>
  <c r="AE112" i="2262"/>
  <c r="AE113" i="2262"/>
  <c r="AE114" i="2262"/>
  <c r="AE115" i="2262"/>
  <c r="AE116" i="2262"/>
  <c r="AE117" i="2262"/>
  <c r="AE118" i="2262"/>
  <c r="AE119" i="2262"/>
  <c r="AE120" i="2262"/>
  <c r="AE121" i="2262"/>
  <c r="AE122" i="2262"/>
  <c r="AE123" i="2262"/>
  <c r="AE124" i="2262"/>
  <c r="AE125" i="2262"/>
  <c r="AE126" i="2262"/>
  <c r="AE127" i="2262"/>
  <c r="AE128" i="2262"/>
  <c r="AE129" i="2262"/>
  <c r="AE130" i="2262"/>
  <c r="AE131" i="2262"/>
  <c r="AE132" i="2262"/>
  <c r="AE133" i="2262"/>
  <c r="AE134" i="2262"/>
  <c r="AE135" i="2262"/>
  <c r="AE136" i="2262"/>
  <c r="AE137" i="2262"/>
  <c r="AE138" i="2262"/>
  <c r="AE139" i="2262"/>
  <c r="AE140" i="2262"/>
  <c r="AE141" i="2262"/>
  <c r="AE142" i="2262"/>
  <c r="AE143" i="2262"/>
  <c r="AE144" i="2262"/>
  <c r="AE145" i="2262"/>
  <c r="AE146" i="2262"/>
  <c r="AE147" i="2262"/>
  <c r="AE148" i="2262"/>
  <c r="AE149" i="2262"/>
  <c r="AE150" i="2262"/>
  <c r="AE151" i="2262"/>
  <c r="AE152" i="2262"/>
  <c r="AE153" i="2262"/>
  <c r="AE154" i="2262"/>
  <c r="AE155" i="2262"/>
  <c r="AE156" i="2262"/>
  <c r="AE157" i="2262"/>
  <c r="AE158" i="2262"/>
  <c r="AE159" i="2262"/>
  <c r="AE160" i="2262"/>
  <c r="AE161" i="2262"/>
  <c r="AE162" i="2262"/>
  <c r="AE163" i="2262"/>
  <c r="AE164" i="2262"/>
  <c r="AE165" i="2262"/>
  <c r="AE166" i="2262"/>
  <c r="AE167" i="2262"/>
  <c r="AE168" i="2262"/>
  <c r="AE169" i="2262"/>
  <c r="AE170" i="2262"/>
  <c r="AE171" i="2262"/>
  <c r="AE172" i="2262"/>
  <c r="AE173" i="2262"/>
  <c r="AE174" i="2262"/>
  <c r="AE175" i="2262"/>
  <c r="AE176" i="2262"/>
  <c r="AE177" i="2262"/>
  <c r="AE178" i="2262"/>
  <c r="AE179" i="2262"/>
  <c r="AE180" i="2262"/>
  <c r="AE181" i="2262"/>
  <c r="AE182" i="2262"/>
  <c r="AE183" i="2262"/>
  <c r="AE184" i="2262"/>
  <c r="AE185" i="2262"/>
  <c r="AE186" i="2262"/>
  <c r="AE187" i="2262"/>
  <c r="AE188" i="2262"/>
  <c r="AE189" i="2262"/>
  <c r="AE190" i="2262"/>
  <c r="AE191" i="2262"/>
  <c r="AE192" i="2262"/>
  <c r="AE193" i="2262"/>
  <c r="AE194" i="2262"/>
  <c r="AE195" i="2262"/>
  <c r="AE196" i="2262"/>
  <c r="AE197" i="2262"/>
  <c r="AE198" i="2262"/>
  <c r="AE199" i="2262"/>
  <c r="AE200" i="2262"/>
  <c r="AE201" i="2262"/>
  <c r="AE202" i="2262"/>
  <c r="AE203" i="2262"/>
  <c r="AE204" i="2262"/>
  <c r="AE205" i="2262"/>
  <c r="AE206" i="2262"/>
  <c r="AE207" i="2262"/>
  <c r="AE208" i="2262"/>
  <c r="AE209" i="2262"/>
  <c r="AE210" i="2262"/>
  <c r="AE211" i="2262"/>
  <c r="AE212" i="2262"/>
  <c r="AE213" i="2262"/>
  <c r="AE214" i="2262"/>
  <c r="AE215" i="2262"/>
  <c r="AE216" i="2262"/>
  <c r="AE217" i="2262"/>
  <c r="AE218" i="2262"/>
  <c r="AE219" i="2262"/>
  <c r="AE220" i="2262"/>
  <c r="AE221" i="2262"/>
  <c r="AE222" i="2262"/>
  <c r="AE223" i="2262"/>
  <c r="AE224" i="2262"/>
  <c r="AE225" i="2262"/>
  <c r="AE226" i="2262"/>
  <c r="AE227" i="2262"/>
  <c r="AE228" i="2262"/>
  <c r="AE229" i="2262"/>
  <c r="AE230" i="2262"/>
  <c r="AE231" i="2262"/>
  <c r="AE232" i="2262"/>
  <c r="AE233" i="2262"/>
  <c r="AE234" i="2262"/>
  <c r="AE235" i="2262"/>
  <c r="AE236" i="2262"/>
  <c r="AE237" i="2262"/>
  <c r="AE238" i="2262"/>
  <c r="AE239" i="2262"/>
  <c r="AE240" i="2262"/>
  <c r="AE241" i="2262"/>
  <c r="AE242" i="2262"/>
  <c r="AE243" i="2262"/>
  <c r="AE244" i="2262"/>
  <c r="AE245" i="2262"/>
  <c r="AE246" i="2262"/>
  <c r="AE247" i="2262"/>
  <c r="AE248" i="2262"/>
  <c r="AE249" i="2262"/>
  <c r="AE250" i="2262"/>
  <c r="AE251" i="2262"/>
  <c r="AE252" i="2262"/>
  <c r="AE253" i="2262"/>
  <c r="AE254" i="2262"/>
  <c r="AE255" i="2262"/>
  <c r="AE256" i="2262"/>
  <c r="AE257" i="2262"/>
  <c r="AE258" i="2262"/>
  <c r="AE259" i="2262"/>
  <c r="AE260" i="2262"/>
  <c r="AE261" i="2262"/>
  <c r="AE262" i="2262"/>
  <c r="AE263" i="2262"/>
  <c r="AE264" i="2262"/>
  <c r="AE265" i="2262"/>
  <c r="AE266" i="2262"/>
  <c r="AE267" i="2262"/>
  <c r="AE268" i="2262"/>
  <c r="AE269" i="2262"/>
  <c r="AE270" i="2262"/>
  <c r="AE271" i="2262"/>
  <c r="AE272" i="2262"/>
  <c r="AE273" i="2262"/>
  <c r="AE274" i="2262"/>
  <c r="AE275" i="2262"/>
  <c r="AE276" i="2262"/>
  <c r="AE277" i="2262"/>
  <c r="AE278" i="2262"/>
  <c r="AE279" i="2262"/>
  <c r="AE280" i="2262"/>
  <c r="AE281" i="2262"/>
  <c r="AE282" i="2262"/>
  <c r="AE283" i="2262"/>
  <c r="AE284" i="2262"/>
  <c r="AE285" i="2262"/>
  <c r="AE286" i="2262"/>
  <c r="AE287" i="2262"/>
  <c r="AE288" i="2262"/>
  <c r="AE289" i="2262"/>
  <c r="AE290" i="2262"/>
  <c r="AE291" i="2262"/>
  <c r="AE292" i="2262"/>
  <c r="AE293" i="2262"/>
  <c r="AE294" i="2262"/>
  <c r="AE295" i="2262"/>
  <c r="AE296" i="2262"/>
  <c r="AE297" i="2262"/>
  <c r="AE298" i="2262"/>
  <c r="AE299" i="2262"/>
  <c r="AE300" i="2262"/>
  <c r="AE301" i="2262"/>
  <c r="AE302" i="2262"/>
  <c r="AE303" i="2262"/>
  <c r="AE304" i="2262"/>
  <c r="AE305" i="2262"/>
  <c r="AE306" i="2262"/>
  <c r="AE307" i="2262"/>
  <c r="AE308" i="2262"/>
  <c r="AE309" i="2262"/>
  <c r="AE310" i="2262"/>
  <c r="AE311" i="2262"/>
  <c r="AE312" i="2262"/>
  <c r="AE313" i="2262"/>
  <c r="AE314" i="2262"/>
  <c r="AE315" i="2262"/>
  <c r="AE316" i="2262"/>
  <c r="AE317" i="2262"/>
  <c r="AE318" i="2262"/>
  <c r="AE319" i="2262"/>
  <c r="AE320" i="2262"/>
  <c r="AE321" i="2262"/>
  <c r="AE322" i="2262"/>
  <c r="AE323" i="2262"/>
  <c r="AE324" i="2262"/>
  <c r="AE325" i="2262"/>
  <c r="AE326" i="2262"/>
  <c r="AE327" i="2262"/>
  <c r="AE7" i="2262"/>
  <c r="Y8" i="2262"/>
  <c r="Y9" i="2262"/>
  <c r="Y10" i="2262"/>
  <c r="Y11" i="2262"/>
  <c r="Y12" i="2262"/>
  <c r="Y13" i="2262"/>
  <c r="Y14" i="2262"/>
  <c r="Y15" i="2262"/>
  <c r="Y16" i="2262"/>
  <c r="Y17" i="2262"/>
  <c r="Y18" i="2262"/>
  <c r="Y19" i="2262"/>
  <c r="Y20" i="2262"/>
  <c r="Y21" i="2262"/>
  <c r="Y22" i="2262"/>
  <c r="Y23" i="2262"/>
  <c r="Y24" i="2262"/>
  <c r="Y25" i="2262"/>
  <c r="Y26" i="2262"/>
  <c r="Y27" i="2262"/>
  <c r="Y28" i="2262"/>
  <c r="Y29" i="2262"/>
  <c r="Y30" i="2262"/>
  <c r="Y31" i="2262"/>
  <c r="Y32" i="2262"/>
  <c r="Y33" i="2262"/>
  <c r="Y34" i="2262"/>
  <c r="Y35" i="2262"/>
  <c r="Y36" i="2262"/>
  <c r="Y37" i="2262"/>
  <c r="Y38" i="2262"/>
  <c r="Y39" i="2262"/>
  <c r="Y40" i="2262"/>
  <c r="Y41" i="2262"/>
  <c r="Y42" i="2262"/>
  <c r="Y43" i="2262"/>
  <c r="Y44" i="2262"/>
  <c r="Y45" i="2262"/>
  <c r="Y46" i="2262"/>
  <c r="Y47" i="2262"/>
  <c r="Y48" i="2262"/>
  <c r="Y49" i="2262"/>
  <c r="Y50" i="2262"/>
  <c r="Y51" i="2262"/>
  <c r="Y52" i="2262"/>
  <c r="Y53" i="2262"/>
  <c r="Y54" i="2262"/>
  <c r="Y55" i="2262"/>
  <c r="Y56" i="2262"/>
  <c r="Y57" i="2262"/>
  <c r="Y58" i="2262"/>
  <c r="Y59" i="2262"/>
  <c r="Y60" i="2262"/>
  <c r="Y61" i="2262"/>
  <c r="Y62" i="2262"/>
  <c r="Y63" i="2262"/>
  <c r="Y64" i="2262"/>
  <c r="Y65" i="2262"/>
  <c r="Y66" i="2262"/>
  <c r="Y67" i="2262"/>
  <c r="Y68" i="2262"/>
  <c r="Y69" i="2262"/>
  <c r="Y70" i="2262"/>
  <c r="Y71" i="2262"/>
  <c r="Y72" i="2262"/>
  <c r="Y73" i="2262"/>
  <c r="Y74" i="2262"/>
  <c r="Y75" i="2262"/>
  <c r="Y76" i="2262"/>
  <c r="Y77" i="2262"/>
  <c r="Y78" i="2262"/>
  <c r="Y79" i="2262"/>
  <c r="Y80" i="2262"/>
  <c r="Y81" i="2262"/>
  <c r="Y82" i="2262"/>
  <c r="Y83" i="2262"/>
  <c r="Y84" i="2262"/>
  <c r="Y85" i="2262"/>
  <c r="Y86" i="2262"/>
  <c r="Y87" i="2262"/>
  <c r="Y88" i="2262"/>
  <c r="Y89" i="2262"/>
  <c r="Y90" i="2262"/>
  <c r="Y91" i="2262"/>
  <c r="Y92" i="2262"/>
  <c r="Y93" i="2262"/>
  <c r="Y94" i="2262"/>
  <c r="Y95" i="2262"/>
  <c r="Y96" i="2262"/>
  <c r="Y97" i="2262"/>
  <c r="Y98" i="2262"/>
  <c r="Y99" i="2262"/>
  <c r="Y100" i="2262"/>
  <c r="Y101" i="2262"/>
  <c r="Y102" i="2262"/>
  <c r="Y103" i="2262"/>
  <c r="Y104" i="2262"/>
  <c r="Y105" i="2262"/>
  <c r="Y106" i="2262"/>
  <c r="Y107" i="2262"/>
  <c r="Y108" i="2262"/>
  <c r="Y109" i="2262"/>
  <c r="Y110" i="2262"/>
  <c r="Y111" i="2262"/>
  <c r="Y112" i="2262"/>
  <c r="Y113" i="2262"/>
  <c r="Y114" i="2262"/>
  <c r="Y115" i="2262"/>
  <c r="Y116" i="2262"/>
  <c r="Y117" i="2262"/>
  <c r="Y118" i="2262"/>
  <c r="Y119" i="2262"/>
  <c r="Y120" i="2262"/>
  <c r="Y121" i="2262"/>
  <c r="Y122" i="2262"/>
  <c r="Y123" i="2262"/>
  <c r="Y124" i="2262"/>
  <c r="Y125" i="2262"/>
  <c r="Y126" i="2262"/>
  <c r="Y127" i="2262"/>
  <c r="Y128" i="2262"/>
  <c r="Y129" i="2262"/>
  <c r="Y130" i="2262"/>
  <c r="Y131" i="2262"/>
  <c r="Y132" i="2262"/>
  <c r="Y133" i="2262"/>
  <c r="Y134" i="2262"/>
  <c r="Y135" i="2262"/>
  <c r="Y136" i="2262"/>
  <c r="Y137" i="2262"/>
  <c r="Y138" i="2262"/>
  <c r="Y139" i="2262"/>
  <c r="Y140" i="2262"/>
  <c r="Y141" i="2262"/>
  <c r="Y142" i="2262"/>
  <c r="Y143" i="2262"/>
  <c r="Y144" i="2262"/>
  <c r="Y145" i="2262"/>
  <c r="Y146" i="2262"/>
  <c r="Y147" i="2262"/>
  <c r="Y148" i="2262"/>
  <c r="Y149" i="2262"/>
  <c r="Y150" i="2262"/>
  <c r="Y151" i="2262"/>
  <c r="Y152" i="2262"/>
  <c r="Y153" i="2262"/>
  <c r="Y154" i="2262"/>
  <c r="Y155" i="2262"/>
  <c r="Y156" i="2262"/>
  <c r="Y157" i="2262"/>
  <c r="Y158" i="2262"/>
  <c r="Y159" i="2262"/>
  <c r="Y160" i="2262"/>
  <c r="Y161" i="2262"/>
  <c r="Y162" i="2262"/>
  <c r="Y163" i="2262"/>
  <c r="Y164" i="2262"/>
  <c r="Y165" i="2262"/>
  <c r="Y166" i="2262"/>
  <c r="Y167" i="2262"/>
  <c r="Y168" i="2262"/>
  <c r="Y169" i="2262"/>
  <c r="Y170" i="2262"/>
  <c r="Y171" i="2262"/>
  <c r="Y172" i="2262"/>
  <c r="Y173" i="2262"/>
  <c r="Y174" i="2262"/>
  <c r="Y175" i="2262"/>
  <c r="Y176" i="2262"/>
  <c r="Y177" i="2262"/>
  <c r="Y178" i="2262"/>
  <c r="Y179" i="2262"/>
  <c r="Y180" i="2262"/>
  <c r="Y181" i="2262"/>
  <c r="Y182" i="2262"/>
  <c r="Y183" i="2262"/>
  <c r="Y184" i="2262"/>
  <c r="Y185" i="2262"/>
  <c r="Y186" i="2262"/>
  <c r="Y187" i="2262"/>
  <c r="Y188" i="2262"/>
  <c r="Y189" i="2262"/>
  <c r="Y190" i="2262"/>
  <c r="Y191" i="2262"/>
  <c r="Y192" i="2262"/>
  <c r="Y193" i="2262"/>
  <c r="Y194" i="2262"/>
  <c r="Y195" i="2262"/>
  <c r="Y196" i="2262"/>
  <c r="Y197" i="2262"/>
  <c r="Y198" i="2262"/>
  <c r="Y199" i="2262"/>
  <c r="Y200" i="2262"/>
  <c r="Y201" i="2262"/>
  <c r="Y202" i="2262"/>
  <c r="Y203" i="2262"/>
  <c r="Y204" i="2262"/>
  <c r="Y205" i="2262"/>
  <c r="Y206" i="2262"/>
  <c r="Y207" i="2262"/>
  <c r="Y208" i="2262"/>
  <c r="Y209" i="2262"/>
  <c r="Y210" i="2262"/>
  <c r="Y211" i="2262"/>
  <c r="Y212" i="2262"/>
  <c r="Y213" i="2262"/>
  <c r="Y214" i="2262"/>
  <c r="Y215" i="2262"/>
  <c r="Y216" i="2262"/>
  <c r="Y217" i="2262"/>
  <c r="Y218" i="2262"/>
  <c r="Y219" i="2262"/>
  <c r="Y220" i="2262"/>
  <c r="Y221" i="2262"/>
  <c r="Y222" i="2262"/>
  <c r="Y223" i="2262"/>
  <c r="Y224" i="2262"/>
  <c r="Y225" i="2262"/>
  <c r="Y226" i="2262"/>
  <c r="Y227" i="2262"/>
  <c r="Y228" i="2262"/>
  <c r="Y229" i="2262"/>
  <c r="Y230" i="2262"/>
  <c r="Y231" i="2262"/>
  <c r="Y232" i="2262"/>
  <c r="Y233" i="2262"/>
  <c r="Y234" i="2262"/>
  <c r="Y235" i="2262"/>
  <c r="Y236" i="2262"/>
  <c r="Y237" i="2262"/>
  <c r="Y238" i="2262"/>
  <c r="Y239" i="2262"/>
  <c r="Y240" i="2262"/>
  <c r="Y241" i="2262"/>
  <c r="Y242" i="2262"/>
  <c r="Y243" i="2262"/>
  <c r="Y244" i="2262"/>
  <c r="Y245" i="2262"/>
  <c r="Y246" i="2262"/>
  <c r="Y247" i="2262"/>
  <c r="Y248" i="2262"/>
  <c r="Y249" i="2262"/>
  <c r="Y250" i="2262"/>
  <c r="Y251" i="2262"/>
  <c r="Y252" i="2262"/>
  <c r="Y253" i="2262"/>
  <c r="Y254" i="2262"/>
  <c r="Y255" i="2262"/>
  <c r="Y256" i="2262"/>
  <c r="Y257" i="2262"/>
  <c r="Y258" i="2262"/>
  <c r="Y259" i="2262"/>
  <c r="Y260" i="2262"/>
  <c r="Y261" i="2262"/>
  <c r="Y262" i="2262"/>
  <c r="Y263" i="2262"/>
  <c r="Y264" i="2262"/>
  <c r="Y265" i="2262"/>
  <c r="Y266" i="2262"/>
  <c r="Y267" i="2262"/>
  <c r="Y268" i="2262"/>
  <c r="Y269" i="2262"/>
  <c r="Y270" i="2262"/>
  <c r="Y271" i="2262"/>
  <c r="Y272" i="2262"/>
  <c r="Y273" i="2262"/>
  <c r="Y274" i="2262"/>
  <c r="Y275" i="2262"/>
  <c r="Y276" i="2262"/>
  <c r="Y277" i="2262"/>
  <c r="Y278" i="2262"/>
  <c r="Y279" i="2262"/>
  <c r="Y280" i="2262"/>
  <c r="Y281" i="2262"/>
  <c r="Y282" i="2262"/>
  <c r="Y283" i="2262"/>
  <c r="Y284" i="2262"/>
  <c r="Y285" i="2262"/>
  <c r="Y286" i="2262"/>
  <c r="Y287" i="2262"/>
  <c r="Y288" i="2262"/>
  <c r="Y289" i="2262"/>
  <c r="Y290" i="2262"/>
  <c r="Y291" i="2262"/>
  <c r="Y292" i="2262"/>
  <c r="Y293" i="2262"/>
  <c r="Y294" i="2262"/>
  <c r="Y295" i="2262"/>
  <c r="Y296" i="2262"/>
  <c r="Y297" i="2262"/>
  <c r="Y298" i="2262"/>
  <c r="Y299" i="2262"/>
  <c r="Y300" i="2262"/>
  <c r="Y301" i="2262"/>
  <c r="Y302" i="2262"/>
  <c r="Y303" i="2262"/>
  <c r="Y304" i="2262"/>
  <c r="Y305" i="2262"/>
  <c r="Y306" i="2262"/>
  <c r="Y307" i="2262"/>
  <c r="Y308" i="2262"/>
  <c r="Y309" i="2262"/>
  <c r="Y310" i="2262"/>
  <c r="Y311" i="2262"/>
  <c r="Y312" i="2262"/>
  <c r="Y313" i="2262"/>
  <c r="Y314" i="2262"/>
  <c r="Y315" i="2262"/>
  <c r="Y316" i="2262"/>
  <c r="Y317" i="2262"/>
  <c r="Y318" i="2262"/>
  <c r="Y319" i="2262"/>
  <c r="Y320" i="2262"/>
  <c r="Y321" i="2262"/>
  <c r="Y322" i="2262"/>
  <c r="Y323" i="2262"/>
  <c r="Y324" i="2262"/>
  <c r="Y325" i="2262"/>
  <c r="Y326" i="2262"/>
  <c r="Y327" i="2262"/>
  <c r="Y7" i="2262"/>
  <c r="M8" i="2262"/>
  <c r="M9" i="2262"/>
  <c r="M10" i="2262"/>
  <c r="M11" i="2262"/>
  <c r="M12" i="2262"/>
  <c r="M13" i="2262"/>
  <c r="M14" i="2262"/>
  <c r="M15" i="2262"/>
  <c r="M16" i="2262"/>
  <c r="M17" i="2262"/>
  <c r="M18" i="2262"/>
  <c r="M19" i="2262"/>
  <c r="M20" i="2262"/>
  <c r="M21" i="2262"/>
  <c r="M22" i="2262"/>
  <c r="M23" i="2262"/>
  <c r="M24" i="2262"/>
  <c r="M25" i="2262"/>
  <c r="M26" i="2262"/>
  <c r="M27" i="2262"/>
  <c r="M28" i="2262"/>
  <c r="M29" i="2262"/>
  <c r="M30" i="2262"/>
  <c r="M31" i="2262"/>
  <c r="M32" i="2262"/>
  <c r="M33" i="2262"/>
  <c r="M34" i="2262"/>
  <c r="M35" i="2262"/>
  <c r="M36" i="2262"/>
  <c r="M37" i="2262"/>
  <c r="M38" i="2262"/>
  <c r="M39" i="2262"/>
  <c r="M40" i="2262"/>
  <c r="M41" i="2262"/>
  <c r="M42" i="2262"/>
  <c r="M43" i="2262"/>
  <c r="M44" i="2262"/>
  <c r="M45" i="2262"/>
  <c r="M46" i="2262"/>
  <c r="M47" i="2262"/>
  <c r="M48" i="2262"/>
  <c r="M49" i="2262"/>
  <c r="M50" i="2262"/>
  <c r="M51" i="2262"/>
  <c r="M52" i="2262"/>
  <c r="M53" i="2262"/>
  <c r="M54" i="2262"/>
  <c r="M55" i="2262"/>
  <c r="M56" i="2262"/>
  <c r="M57" i="2262"/>
  <c r="M58" i="2262"/>
  <c r="M59" i="2262"/>
  <c r="M60" i="2262"/>
  <c r="M61" i="2262"/>
  <c r="M62" i="2262"/>
  <c r="M63" i="2262"/>
  <c r="M64" i="2262"/>
  <c r="M65" i="2262"/>
  <c r="M66" i="2262"/>
  <c r="M67" i="2262"/>
  <c r="M68" i="2262"/>
  <c r="M69" i="2262"/>
  <c r="M70" i="2262"/>
  <c r="M71" i="2262"/>
  <c r="M72" i="2262"/>
  <c r="M73" i="2262"/>
  <c r="M74" i="2262"/>
  <c r="M75" i="2262"/>
  <c r="M76" i="2262"/>
  <c r="M77" i="2262"/>
  <c r="M78" i="2262"/>
  <c r="M79" i="2262"/>
  <c r="M80" i="2262"/>
  <c r="M81" i="2262"/>
  <c r="M82" i="2262"/>
  <c r="M83" i="2262"/>
  <c r="M84" i="2262"/>
  <c r="M85" i="2262"/>
  <c r="M86" i="2262"/>
  <c r="M87" i="2262"/>
  <c r="M88" i="2262"/>
  <c r="M89" i="2262"/>
  <c r="M90" i="2262"/>
  <c r="M91" i="2262"/>
  <c r="M92" i="2262"/>
  <c r="M93" i="2262"/>
  <c r="M94" i="2262"/>
  <c r="M95" i="2262"/>
  <c r="M96" i="2262"/>
  <c r="M97" i="2262"/>
  <c r="M98" i="2262"/>
  <c r="M99" i="2262"/>
  <c r="M100" i="2262"/>
  <c r="M101" i="2262"/>
  <c r="M102" i="2262"/>
  <c r="M103" i="2262"/>
  <c r="M104" i="2262"/>
  <c r="M105" i="2262"/>
  <c r="M106" i="2262"/>
  <c r="M107" i="2262"/>
  <c r="M108" i="2262"/>
  <c r="M109" i="2262"/>
  <c r="M110" i="2262"/>
  <c r="M111" i="2262"/>
  <c r="M112" i="2262"/>
  <c r="M113" i="2262"/>
  <c r="M114" i="2262"/>
  <c r="M115" i="2262"/>
  <c r="M116" i="2262"/>
  <c r="M117" i="2262"/>
  <c r="M118" i="2262"/>
  <c r="M119" i="2262"/>
  <c r="M120" i="2262"/>
  <c r="M121" i="2262"/>
  <c r="M122" i="2262"/>
  <c r="M123" i="2262"/>
  <c r="M124" i="2262"/>
  <c r="M125" i="2262"/>
  <c r="M126" i="2262"/>
  <c r="M127" i="2262"/>
  <c r="M128" i="2262"/>
  <c r="M129" i="2262"/>
  <c r="M130" i="2262"/>
  <c r="M131" i="2262"/>
  <c r="M132" i="2262"/>
  <c r="M133" i="2262"/>
  <c r="M134" i="2262"/>
  <c r="M135" i="2262"/>
  <c r="M136" i="2262"/>
  <c r="M137" i="2262"/>
  <c r="M138" i="2262"/>
  <c r="M139" i="2262"/>
  <c r="M140" i="2262"/>
  <c r="M141" i="2262"/>
  <c r="M142" i="2262"/>
  <c r="M143" i="2262"/>
  <c r="M144" i="2262"/>
  <c r="M145" i="2262"/>
  <c r="M146" i="2262"/>
  <c r="M147" i="2262"/>
  <c r="M148" i="2262"/>
  <c r="M149" i="2262"/>
  <c r="M150" i="2262"/>
  <c r="M151" i="2262"/>
  <c r="M152" i="2262"/>
  <c r="M153" i="2262"/>
  <c r="M154" i="2262"/>
  <c r="M155" i="2262"/>
  <c r="M156" i="2262"/>
  <c r="M157" i="2262"/>
  <c r="M158" i="2262"/>
  <c r="M159" i="2262"/>
  <c r="M160" i="2262"/>
  <c r="M161" i="2262"/>
  <c r="M162" i="2262"/>
  <c r="M163" i="2262"/>
  <c r="M164" i="2262"/>
  <c r="M165" i="2262"/>
  <c r="M166" i="2262"/>
  <c r="M167" i="2262"/>
  <c r="M168" i="2262"/>
  <c r="M169" i="2262"/>
  <c r="M170" i="2262"/>
  <c r="M171" i="2262"/>
  <c r="M172" i="2262"/>
  <c r="M173" i="2262"/>
  <c r="M174" i="2262"/>
  <c r="M175" i="2262"/>
  <c r="M176" i="2262"/>
  <c r="M177" i="2262"/>
  <c r="M178" i="2262"/>
  <c r="M179" i="2262"/>
  <c r="M180" i="2262"/>
  <c r="M181" i="2262"/>
  <c r="M182" i="2262"/>
  <c r="M183" i="2262"/>
  <c r="M184" i="2262"/>
  <c r="M185" i="2262"/>
  <c r="M186" i="2262"/>
  <c r="M187" i="2262"/>
  <c r="M188" i="2262"/>
  <c r="M189" i="2262"/>
  <c r="M190" i="2262"/>
  <c r="M191" i="2262"/>
  <c r="M192" i="2262"/>
  <c r="M193" i="2262"/>
  <c r="M194" i="2262"/>
  <c r="M195" i="2262"/>
  <c r="M196" i="2262"/>
  <c r="M197" i="2262"/>
  <c r="M198" i="2262"/>
  <c r="M199" i="2262"/>
  <c r="M200" i="2262"/>
  <c r="M201" i="2262"/>
  <c r="M202" i="2262"/>
  <c r="M203" i="2262"/>
  <c r="M204" i="2262"/>
  <c r="M205" i="2262"/>
  <c r="M206" i="2262"/>
  <c r="M207" i="2262"/>
  <c r="M208" i="2262"/>
  <c r="M209" i="2262"/>
  <c r="M210" i="2262"/>
  <c r="M211" i="2262"/>
  <c r="M212" i="2262"/>
  <c r="M213" i="2262"/>
  <c r="M214" i="2262"/>
  <c r="M215" i="2262"/>
  <c r="M216" i="2262"/>
  <c r="M217" i="2262"/>
  <c r="M218" i="2262"/>
  <c r="M219" i="2262"/>
  <c r="M220" i="2262"/>
  <c r="M221" i="2262"/>
  <c r="M222" i="2262"/>
  <c r="M223" i="2262"/>
  <c r="M224" i="2262"/>
  <c r="M225" i="2262"/>
  <c r="M226" i="2262"/>
  <c r="M227" i="2262"/>
  <c r="M228" i="2262"/>
  <c r="M229" i="2262"/>
  <c r="M230" i="2262"/>
  <c r="M231" i="2262"/>
  <c r="M232" i="2262"/>
  <c r="M233" i="2262"/>
  <c r="M234" i="2262"/>
  <c r="M235" i="2262"/>
  <c r="M236" i="2262"/>
  <c r="M237" i="2262"/>
  <c r="M238" i="2262"/>
  <c r="M239" i="2262"/>
  <c r="M240" i="2262"/>
  <c r="M241" i="2262"/>
  <c r="M242" i="2262"/>
  <c r="M243" i="2262"/>
  <c r="M244" i="2262"/>
  <c r="M245" i="2262"/>
  <c r="M246" i="2262"/>
  <c r="M247" i="2262"/>
  <c r="M248" i="2262"/>
  <c r="M249" i="2262"/>
  <c r="M250" i="2262"/>
  <c r="M251" i="2262"/>
  <c r="M252" i="2262"/>
  <c r="M253" i="2262"/>
  <c r="M254" i="2262"/>
  <c r="M255" i="2262"/>
  <c r="M256" i="2262"/>
  <c r="M257" i="2262"/>
  <c r="M258" i="2262"/>
  <c r="M259" i="2262"/>
  <c r="M260" i="2262"/>
  <c r="M261" i="2262"/>
  <c r="M262" i="2262"/>
  <c r="M263" i="2262"/>
  <c r="M264" i="2262"/>
  <c r="M265" i="2262"/>
  <c r="M266" i="2262"/>
  <c r="M267" i="2262"/>
  <c r="M268" i="2262"/>
  <c r="M269" i="2262"/>
  <c r="M270" i="2262"/>
  <c r="M271" i="2262"/>
  <c r="M272" i="2262"/>
  <c r="M273" i="2262"/>
  <c r="M274" i="2262"/>
  <c r="M275" i="2262"/>
  <c r="M276" i="2262"/>
  <c r="M277" i="2262"/>
  <c r="M278" i="2262"/>
  <c r="M279" i="2262"/>
  <c r="M280" i="2262"/>
  <c r="M281" i="2262"/>
  <c r="M282" i="2262"/>
  <c r="M283" i="2262"/>
  <c r="M284" i="2262"/>
  <c r="M285" i="2262"/>
  <c r="M286" i="2262"/>
  <c r="M287" i="2262"/>
  <c r="M288" i="2262"/>
  <c r="M289" i="2262"/>
  <c r="M290" i="2262"/>
  <c r="M291" i="2262"/>
  <c r="M292" i="2262"/>
  <c r="M293" i="2262"/>
  <c r="M294" i="2262"/>
  <c r="M295" i="2262"/>
  <c r="M296" i="2262"/>
  <c r="M297" i="2262"/>
  <c r="M298" i="2262"/>
  <c r="M299" i="2262"/>
  <c r="M300" i="2262"/>
  <c r="M301" i="2262"/>
  <c r="M302" i="2262"/>
  <c r="M303" i="2262"/>
  <c r="M304" i="2262"/>
  <c r="M305" i="2262"/>
  <c r="M306" i="2262"/>
  <c r="M307" i="2262"/>
  <c r="M308" i="2262"/>
  <c r="M309" i="2262"/>
  <c r="M310" i="2262"/>
  <c r="M311" i="2262"/>
  <c r="M312" i="2262"/>
  <c r="M313" i="2262"/>
  <c r="M314" i="2262"/>
  <c r="M315" i="2262"/>
  <c r="M316" i="2262"/>
  <c r="M317" i="2262"/>
  <c r="M318" i="2262"/>
  <c r="M319" i="2262"/>
  <c r="M320" i="2262"/>
  <c r="M321" i="2262"/>
  <c r="M322" i="2262"/>
  <c r="M323" i="2262"/>
  <c r="M324" i="2262"/>
  <c r="M325" i="2262"/>
  <c r="M326" i="2262"/>
  <c r="M327" i="2262"/>
  <c r="M7" i="2262"/>
  <c r="K8" i="2262"/>
  <c r="K9" i="2262"/>
  <c r="K10" i="2262"/>
  <c r="K11" i="2262"/>
  <c r="K12" i="2262"/>
  <c r="K13" i="2262"/>
  <c r="K14" i="2262"/>
  <c r="K15" i="2262"/>
  <c r="K16" i="2262"/>
  <c r="K17" i="2262"/>
  <c r="K18" i="2262"/>
  <c r="K19" i="2262"/>
  <c r="K20" i="2262"/>
  <c r="K21" i="2262"/>
  <c r="K22" i="2262"/>
  <c r="K23" i="2262"/>
  <c r="K24" i="2262"/>
  <c r="K25" i="2262"/>
  <c r="K26" i="2262"/>
  <c r="K27" i="2262"/>
  <c r="K28" i="2262"/>
  <c r="K29" i="2262"/>
  <c r="K30" i="2262"/>
  <c r="K31" i="2262"/>
  <c r="K32" i="2262"/>
  <c r="K33" i="2262"/>
  <c r="K34" i="2262"/>
  <c r="K35" i="2262"/>
  <c r="K36" i="2262"/>
  <c r="K37" i="2262"/>
  <c r="K38" i="2262"/>
  <c r="K39" i="2262"/>
  <c r="K40" i="2262"/>
  <c r="K41" i="2262"/>
  <c r="K42" i="2262"/>
  <c r="K43" i="2262"/>
  <c r="K45" i="2262"/>
  <c r="K46" i="2262"/>
  <c r="K47" i="2262"/>
  <c r="K48" i="2262"/>
  <c r="K49" i="2262"/>
  <c r="K50" i="2262"/>
  <c r="K51" i="2262"/>
  <c r="K52" i="2262"/>
  <c r="K53" i="2262"/>
  <c r="K54" i="2262"/>
  <c r="K55" i="2262"/>
  <c r="K56" i="2262"/>
  <c r="K57" i="2262"/>
  <c r="K58" i="2262"/>
  <c r="K59" i="2262"/>
  <c r="K60" i="2262"/>
  <c r="K61" i="2262"/>
  <c r="K62" i="2262"/>
  <c r="K63" i="2262"/>
  <c r="K64" i="2262"/>
  <c r="K65" i="2262"/>
  <c r="K66" i="2262"/>
  <c r="K67" i="2262"/>
  <c r="K68" i="2262"/>
  <c r="K69" i="2262"/>
  <c r="K70" i="2262"/>
  <c r="K71" i="2262"/>
  <c r="K72" i="2262"/>
  <c r="K73" i="2262"/>
  <c r="K74" i="2262"/>
  <c r="K75" i="2262"/>
  <c r="K76" i="2262"/>
  <c r="K77" i="2262"/>
  <c r="K78" i="2262"/>
  <c r="K79" i="2262"/>
  <c r="K80" i="2262"/>
  <c r="K81" i="2262"/>
  <c r="K82" i="2262"/>
  <c r="K83" i="2262"/>
  <c r="K84" i="2262"/>
  <c r="K85" i="2262"/>
  <c r="K86" i="2262"/>
  <c r="K87" i="2262"/>
  <c r="K88" i="2262"/>
  <c r="K89" i="2262"/>
  <c r="K90" i="2262"/>
  <c r="K91" i="2262"/>
  <c r="K92" i="2262"/>
  <c r="K93" i="2262"/>
  <c r="K94" i="2262"/>
  <c r="K95" i="2262"/>
  <c r="K96" i="2262"/>
  <c r="K97" i="2262"/>
  <c r="K98" i="2262"/>
  <c r="K99" i="2262"/>
  <c r="K100" i="2262"/>
  <c r="K101" i="2262"/>
  <c r="K102" i="2262"/>
  <c r="K103" i="2262"/>
  <c r="K104" i="2262"/>
  <c r="K105" i="2262"/>
  <c r="K106" i="2262"/>
  <c r="K107" i="2262"/>
  <c r="K108" i="2262"/>
  <c r="K109" i="2262"/>
  <c r="K110" i="2262"/>
  <c r="K111" i="2262"/>
  <c r="K112" i="2262"/>
  <c r="K113" i="2262"/>
  <c r="K114" i="2262"/>
  <c r="K115" i="2262"/>
  <c r="K116" i="2262"/>
  <c r="K117" i="2262"/>
  <c r="K118" i="2262"/>
  <c r="K119" i="2262"/>
  <c r="K120" i="2262"/>
  <c r="K121" i="2262"/>
  <c r="K122" i="2262"/>
  <c r="K123" i="2262"/>
  <c r="K124" i="2262"/>
  <c r="K125" i="2262"/>
  <c r="K126" i="2262"/>
  <c r="K127" i="2262"/>
  <c r="K128" i="2262"/>
  <c r="K129" i="2262"/>
  <c r="K130" i="2262"/>
  <c r="K131" i="2262"/>
  <c r="K132" i="2262"/>
  <c r="K133" i="2262"/>
  <c r="K134" i="2262"/>
  <c r="K135" i="2262"/>
  <c r="K136" i="2262"/>
  <c r="K137" i="2262"/>
  <c r="K138" i="2262"/>
  <c r="K139" i="2262"/>
  <c r="K140" i="2262"/>
  <c r="K141" i="2262"/>
  <c r="K142" i="2262"/>
  <c r="K143" i="2262"/>
  <c r="K144" i="2262"/>
  <c r="K145" i="2262"/>
  <c r="K146" i="2262"/>
  <c r="K147" i="2262"/>
  <c r="K148" i="2262"/>
  <c r="K149" i="2262"/>
  <c r="K150" i="2262"/>
  <c r="K151" i="2262"/>
  <c r="K152" i="2262"/>
  <c r="K153" i="2262"/>
  <c r="K154" i="2262"/>
  <c r="K155" i="2262"/>
  <c r="K156" i="2262"/>
  <c r="K157" i="2262"/>
  <c r="K158" i="2262"/>
  <c r="K159" i="2262"/>
  <c r="K160" i="2262"/>
  <c r="K161" i="2262"/>
  <c r="K162" i="2262"/>
  <c r="K163" i="2262"/>
  <c r="K164" i="2262"/>
  <c r="K165" i="2262"/>
  <c r="K166" i="2262"/>
  <c r="K167" i="2262"/>
  <c r="K168" i="2262"/>
  <c r="K169" i="2262"/>
  <c r="K170" i="2262"/>
  <c r="K171" i="2262"/>
  <c r="K172" i="2262"/>
  <c r="K173" i="2262"/>
  <c r="K174" i="2262"/>
  <c r="K175" i="2262"/>
  <c r="K176" i="2262"/>
  <c r="K177" i="2262"/>
  <c r="K178" i="2262"/>
  <c r="K179" i="2262"/>
  <c r="K180" i="2262"/>
  <c r="K181" i="2262"/>
  <c r="K182" i="2262"/>
  <c r="K183" i="2262"/>
  <c r="K184" i="2262"/>
  <c r="K185" i="2262"/>
  <c r="K186" i="2262"/>
  <c r="K187" i="2262"/>
  <c r="K188" i="2262"/>
  <c r="K189" i="2262"/>
  <c r="K190" i="2262"/>
  <c r="K191" i="2262"/>
  <c r="K192" i="2262"/>
  <c r="K193" i="2262"/>
  <c r="K194" i="2262"/>
  <c r="K195" i="2262"/>
  <c r="K196" i="2262"/>
  <c r="K197" i="2262"/>
  <c r="K198" i="2262"/>
  <c r="K199" i="2262"/>
  <c r="K200" i="2262"/>
  <c r="K201" i="2262"/>
  <c r="K202" i="2262"/>
  <c r="K203" i="2262"/>
  <c r="K204" i="2262"/>
  <c r="K205" i="2262"/>
  <c r="K206" i="2262"/>
  <c r="K207" i="2262"/>
  <c r="K208" i="2262"/>
  <c r="K209" i="2262"/>
  <c r="K210" i="2262"/>
  <c r="K211" i="2262"/>
  <c r="K212" i="2262"/>
  <c r="K213" i="2262"/>
  <c r="K214" i="2262"/>
  <c r="K215" i="2262"/>
  <c r="K216" i="2262"/>
  <c r="K217" i="2262"/>
  <c r="K218" i="2262"/>
  <c r="K219" i="2262"/>
  <c r="K220" i="2262"/>
  <c r="K221" i="2262"/>
  <c r="K222" i="2262"/>
  <c r="K223" i="2262"/>
  <c r="K224" i="2262"/>
  <c r="K225" i="2262"/>
  <c r="K226" i="2262"/>
  <c r="K227" i="2262"/>
  <c r="K228" i="2262"/>
  <c r="K229" i="2262"/>
  <c r="K230" i="2262"/>
  <c r="K231" i="2262"/>
  <c r="K232" i="2262"/>
  <c r="K233" i="2262"/>
  <c r="K234" i="2262"/>
  <c r="K235" i="2262"/>
  <c r="K236" i="2262"/>
  <c r="K237" i="2262"/>
  <c r="K238" i="2262"/>
  <c r="K239" i="2262"/>
  <c r="K240" i="2262"/>
  <c r="K241" i="2262"/>
  <c r="K242" i="2262"/>
  <c r="K243" i="2262"/>
  <c r="K244" i="2262"/>
  <c r="K245" i="2262"/>
  <c r="K246" i="2262"/>
  <c r="K247" i="2262"/>
  <c r="K248" i="2262"/>
  <c r="K249" i="2262"/>
  <c r="K250" i="2262"/>
  <c r="K251" i="2262"/>
  <c r="K252" i="2262"/>
  <c r="K253" i="2262"/>
  <c r="K254" i="2262"/>
  <c r="K255" i="2262"/>
  <c r="K256" i="2262"/>
  <c r="K257" i="2262"/>
  <c r="K258" i="2262"/>
  <c r="K259" i="2262"/>
  <c r="K260" i="2262"/>
  <c r="K261" i="2262"/>
  <c r="K262" i="2262"/>
  <c r="K263" i="2262"/>
  <c r="K264" i="2262"/>
  <c r="K265" i="2262"/>
  <c r="K266" i="2262"/>
  <c r="K267" i="2262"/>
  <c r="K268" i="2262"/>
  <c r="K269" i="2262"/>
  <c r="K270" i="2262"/>
  <c r="K271" i="2262"/>
  <c r="K272" i="2262"/>
  <c r="K273" i="2262"/>
  <c r="K274" i="2262"/>
  <c r="K275" i="2262"/>
  <c r="K276" i="2262"/>
  <c r="K277" i="2262"/>
  <c r="K278" i="2262"/>
  <c r="K279" i="2262"/>
  <c r="K280" i="2262"/>
  <c r="K281" i="2262"/>
  <c r="K282" i="2262"/>
  <c r="K283" i="2262"/>
  <c r="K284" i="2262"/>
  <c r="K285" i="2262"/>
  <c r="K286" i="2262"/>
  <c r="K287" i="2262"/>
  <c r="K288" i="2262"/>
  <c r="K289" i="2262"/>
  <c r="K290" i="2262"/>
  <c r="K291" i="2262"/>
  <c r="K292" i="2262"/>
  <c r="K293" i="2262"/>
  <c r="K294" i="2262"/>
  <c r="K295" i="2262"/>
  <c r="K296" i="2262"/>
  <c r="K297" i="2262"/>
  <c r="K298" i="2262"/>
  <c r="K299" i="2262"/>
  <c r="K300" i="2262"/>
  <c r="K301" i="2262"/>
  <c r="K302" i="2262"/>
  <c r="K303" i="2262"/>
  <c r="K304" i="2262"/>
  <c r="K305" i="2262"/>
  <c r="K306" i="2262"/>
  <c r="K307" i="2262"/>
  <c r="K308" i="2262"/>
  <c r="K309" i="2262"/>
  <c r="K310" i="2262"/>
  <c r="K311" i="2262"/>
  <c r="K312" i="2262"/>
  <c r="K313" i="2262"/>
  <c r="K314" i="2262"/>
  <c r="K315" i="2262"/>
  <c r="K316" i="2262"/>
  <c r="K317" i="2262"/>
  <c r="K318" i="2262"/>
  <c r="K319" i="2262"/>
  <c r="K320" i="2262"/>
  <c r="K321" i="2262"/>
  <c r="K322" i="2262"/>
  <c r="K323" i="2262"/>
  <c r="K324" i="2262"/>
  <c r="K325" i="2262"/>
  <c r="K326" i="2262"/>
  <c r="K327" i="2262"/>
  <c r="K7" i="2262"/>
  <c r="I8" i="2262"/>
  <c r="I9" i="2262"/>
  <c r="I10" i="2262"/>
  <c r="I11" i="2262"/>
  <c r="I12" i="2262"/>
  <c r="I13" i="2262"/>
  <c r="I14" i="2262"/>
  <c r="I15" i="2262"/>
  <c r="I16" i="2262"/>
  <c r="I17" i="2262"/>
  <c r="I18" i="2262"/>
  <c r="I19" i="2262"/>
  <c r="I20" i="2262"/>
  <c r="I21" i="2262"/>
  <c r="I22" i="2262"/>
  <c r="I23" i="2262"/>
  <c r="I24" i="2262"/>
  <c r="I25" i="2262"/>
  <c r="I26" i="2262"/>
  <c r="I27" i="2262"/>
  <c r="I28" i="2262"/>
  <c r="I29" i="2262"/>
  <c r="I30" i="2262"/>
  <c r="I31" i="2262"/>
  <c r="I32" i="2262"/>
  <c r="I33" i="2262"/>
  <c r="I34" i="2262"/>
  <c r="I35" i="2262"/>
  <c r="I36" i="2262"/>
  <c r="I37" i="2262"/>
  <c r="I38" i="2262"/>
  <c r="I39" i="2262"/>
  <c r="I40" i="2262"/>
  <c r="I41" i="2262"/>
  <c r="I42" i="2262"/>
  <c r="I43" i="2262"/>
  <c r="I47" i="2262"/>
  <c r="I48" i="2262"/>
  <c r="I49" i="2262"/>
  <c r="I50" i="2262"/>
  <c r="I51" i="2262"/>
  <c r="I52" i="2262"/>
  <c r="I53" i="2262"/>
  <c r="I54" i="2262"/>
  <c r="I55" i="2262"/>
  <c r="I56" i="2262"/>
  <c r="I57" i="2262"/>
  <c r="I58" i="2262"/>
  <c r="I59" i="2262"/>
  <c r="I60" i="2262"/>
  <c r="I61" i="2262"/>
  <c r="I62" i="2262"/>
  <c r="I63" i="2262"/>
  <c r="I64" i="2262"/>
  <c r="I65" i="2262"/>
  <c r="I66" i="2262"/>
  <c r="I67" i="2262"/>
  <c r="I68" i="2262"/>
  <c r="I69" i="2262"/>
  <c r="I70" i="2262"/>
  <c r="I71" i="2262"/>
  <c r="I72" i="2262"/>
  <c r="I73" i="2262"/>
  <c r="I74" i="2262"/>
  <c r="I75" i="2262"/>
  <c r="I76" i="2262"/>
  <c r="I77" i="2262"/>
  <c r="I78" i="2262"/>
  <c r="I79" i="2262"/>
  <c r="I80" i="2262"/>
  <c r="I81" i="2262"/>
  <c r="I82" i="2262"/>
  <c r="I83" i="2262"/>
  <c r="I84" i="2262"/>
  <c r="I85" i="2262"/>
  <c r="I89" i="2262"/>
  <c r="I90" i="2262"/>
  <c r="I91" i="2262"/>
  <c r="I94" i="2262"/>
  <c r="I95" i="2262"/>
  <c r="I96" i="2262"/>
  <c r="I97" i="2262"/>
  <c r="I98" i="2262"/>
  <c r="I99" i="2262"/>
  <c r="I100" i="2262"/>
  <c r="I101" i="2262"/>
  <c r="I102" i="2262"/>
  <c r="I103" i="2262"/>
  <c r="I104" i="2262"/>
  <c r="I105" i="2262"/>
  <c r="I106" i="2262"/>
  <c r="I107" i="2262"/>
  <c r="I108" i="2262"/>
  <c r="I109" i="2262"/>
  <c r="I110" i="2262"/>
  <c r="I111" i="2262"/>
  <c r="I112" i="2262"/>
  <c r="I113" i="2262"/>
  <c r="I114" i="2262"/>
  <c r="I115" i="2262"/>
  <c r="I116" i="2262"/>
  <c r="I117" i="2262"/>
  <c r="I118" i="2262"/>
  <c r="I119" i="2262"/>
  <c r="I120" i="2262"/>
  <c r="I121" i="2262"/>
  <c r="I122" i="2262"/>
  <c r="I123" i="2262"/>
  <c r="I124" i="2262"/>
  <c r="I125" i="2262"/>
  <c r="I126" i="2262"/>
  <c r="I127" i="2262"/>
  <c r="I128" i="2262"/>
  <c r="I129" i="2262"/>
  <c r="I130" i="2262"/>
  <c r="I131" i="2262"/>
  <c r="I132" i="2262"/>
  <c r="I133" i="2262"/>
  <c r="I134" i="2262"/>
  <c r="I135" i="2262"/>
  <c r="I136" i="2262"/>
  <c r="I137" i="2262"/>
  <c r="I138" i="2262"/>
  <c r="I139" i="2262"/>
  <c r="I140" i="2262"/>
  <c r="I141" i="2262"/>
  <c r="I142" i="2262"/>
  <c r="I143" i="2262"/>
  <c r="I144" i="2262"/>
  <c r="I145" i="2262"/>
  <c r="I146" i="2262"/>
  <c r="I147" i="2262"/>
  <c r="I148" i="2262"/>
  <c r="I149" i="2262"/>
  <c r="I150" i="2262"/>
  <c r="I151" i="2262"/>
  <c r="I152" i="2262"/>
  <c r="I153" i="2262"/>
  <c r="I154" i="2262"/>
  <c r="I155" i="2262"/>
  <c r="I156" i="2262"/>
  <c r="I157" i="2262"/>
  <c r="I158" i="2262"/>
  <c r="I159" i="2262"/>
  <c r="I160" i="2262"/>
  <c r="I161" i="2262"/>
  <c r="I162" i="2262"/>
  <c r="I163" i="2262"/>
  <c r="I164" i="2262"/>
  <c r="I165" i="2262"/>
  <c r="I166" i="2262"/>
  <c r="I167" i="2262"/>
  <c r="I168" i="2262"/>
  <c r="I169" i="2262"/>
  <c r="I170" i="2262"/>
  <c r="I171" i="2262"/>
  <c r="I172" i="2262"/>
  <c r="I173" i="2262"/>
  <c r="I174" i="2262"/>
  <c r="I179" i="2262"/>
  <c r="I180" i="2262"/>
  <c r="I184" i="2262"/>
  <c r="I185" i="2262"/>
  <c r="I187" i="2262"/>
  <c r="I188" i="2262"/>
  <c r="I189" i="2262"/>
  <c r="I190" i="2262"/>
  <c r="I191" i="2262"/>
  <c r="I192" i="2262"/>
  <c r="I193" i="2262"/>
  <c r="I194" i="2262"/>
  <c r="I195" i="2262"/>
  <c r="I196" i="2262"/>
  <c r="I197" i="2262"/>
  <c r="I198" i="2262"/>
  <c r="I199" i="2262"/>
  <c r="I200" i="2262"/>
  <c r="I201" i="2262"/>
  <c r="I202" i="2262"/>
  <c r="I203" i="2262"/>
  <c r="I204" i="2262"/>
  <c r="I205" i="2262"/>
  <c r="I206" i="2262"/>
  <c r="I207" i="2262"/>
  <c r="I208" i="2262"/>
  <c r="I209" i="2262"/>
  <c r="I210" i="2262"/>
  <c r="I211" i="2262"/>
  <c r="I212" i="2262"/>
  <c r="I213" i="2262"/>
  <c r="I214" i="2262"/>
  <c r="I215" i="2262"/>
  <c r="I216" i="2262"/>
  <c r="I217" i="2262"/>
  <c r="I218" i="2262"/>
  <c r="I219" i="2262"/>
  <c r="I220" i="2262"/>
  <c r="I221" i="2262"/>
  <c r="I222" i="2262"/>
  <c r="I223" i="2262"/>
  <c r="I224" i="2262"/>
  <c r="I225" i="2262"/>
  <c r="I226" i="2262"/>
  <c r="I227" i="2262"/>
  <c r="I228" i="2262"/>
  <c r="I229" i="2262"/>
  <c r="I230" i="2262"/>
  <c r="I231" i="2262"/>
  <c r="I232" i="2262"/>
  <c r="I233" i="2262"/>
  <c r="I234" i="2262"/>
  <c r="I235" i="2262"/>
  <c r="I236" i="2262"/>
  <c r="I237" i="2262"/>
  <c r="I238" i="2262"/>
  <c r="I239" i="2262"/>
  <c r="I240" i="2262"/>
  <c r="I241" i="2262"/>
  <c r="I242" i="2262"/>
  <c r="I243" i="2262"/>
  <c r="I244" i="2262"/>
  <c r="I245" i="2262"/>
  <c r="I246" i="2262"/>
  <c r="I247" i="2262"/>
  <c r="I248" i="2262"/>
  <c r="I249" i="2262"/>
  <c r="I250" i="2262"/>
  <c r="I251" i="2262"/>
  <c r="I252" i="2262"/>
  <c r="I253" i="2262"/>
  <c r="I254" i="2262"/>
  <c r="I255" i="2262"/>
  <c r="I256" i="2262"/>
  <c r="I257" i="2262"/>
  <c r="I258" i="2262"/>
  <c r="I259" i="2262"/>
  <c r="I260" i="2262"/>
  <c r="I261" i="2262"/>
  <c r="I262" i="2262"/>
  <c r="I263" i="2262"/>
  <c r="I264" i="2262"/>
  <c r="I265" i="2262"/>
  <c r="I266" i="2262"/>
  <c r="I267" i="2262"/>
  <c r="I268" i="2262"/>
  <c r="I269" i="2262"/>
  <c r="I270" i="2262"/>
  <c r="I271" i="2262"/>
  <c r="I272" i="2262"/>
  <c r="I273" i="2262"/>
  <c r="I274" i="2262"/>
  <c r="I275" i="2262"/>
  <c r="I276" i="2262"/>
  <c r="I277" i="2262"/>
  <c r="I278" i="2262"/>
  <c r="I279" i="2262"/>
  <c r="I280" i="2262"/>
  <c r="I281" i="2262"/>
  <c r="I282" i="2262"/>
  <c r="I283" i="2262"/>
  <c r="I284" i="2262"/>
  <c r="I285" i="2262"/>
  <c r="I286" i="2262"/>
  <c r="I287" i="2262"/>
  <c r="I288" i="2262"/>
  <c r="I289" i="2262"/>
  <c r="I290" i="2262"/>
  <c r="I291" i="2262"/>
  <c r="I292" i="2262"/>
  <c r="I293" i="2262"/>
  <c r="I294" i="2262"/>
  <c r="I295" i="2262"/>
  <c r="I296" i="2262"/>
  <c r="I297" i="2262"/>
  <c r="I298" i="2262"/>
  <c r="I299" i="2262"/>
  <c r="I300" i="2262"/>
  <c r="I301" i="2262"/>
  <c r="I302" i="2262"/>
  <c r="I303" i="2262"/>
  <c r="I304" i="2262"/>
  <c r="I305" i="2262"/>
  <c r="I306" i="2262"/>
  <c r="I307" i="2262"/>
  <c r="I308" i="2262"/>
  <c r="I309" i="2262"/>
  <c r="I310" i="2262"/>
  <c r="I311" i="2262"/>
  <c r="I312" i="2262"/>
  <c r="I313" i="2262"/>
  <c r="I314" i="2262"/>
  <c r="I315" i="2262"/>
  <c r="I316" i="2262"/>
  <c r="I317" i="2262"/>
  <c r="I318" i="2262"/>
  <c r="I319" i="2262"/>
  <c r="I320" i="2262"/>
  <c r="I321" i="2262"/>
  <c r="I322" i="2262"/>
  <c r="I323" i="2262"/>
  <c r="I324" i="2262"/>
  <c r="I325" i="2262"/>
  <c r="I326" i="2262"/>
  <c r="I327" i="2262"/>
  <c r="I7" i="2262"/>
  <c r="G8" i="2262"/>
  <c r="G9" i="2262"/>
  <c r="G10" i="2262"/>
  <c r="G11" i="2262"/>
  <c r="G12" i="2262"/>
  <c r="G13" i="2262"/>
  <c r="G14" i="2262"/>
  <c r="G15" i="2262"/>
  <c r="G16" i="2262"/>
  <c r="G17" i="2262"/>
  <c r="G18" i="2262"/>
  <c r="G19" i="2262"/>
  <c r="G20" i="2262"/>
  <c r="G21" i="2262"/>
  <c r="G22" i="2262"/>
  <c r="G23" i="2262"/>
  <c r="G24" i="2262"/>
  <c r="G25" i="2262"/>
  <c r="G26" i="2262"/>
  <c r="G27" i="2262"/>
  <c r="G28" i="2262"/>
  <c r="G29" i="2262"/>
  <c r="G30" i="2262"/>
  <c r="G31" i="2262"/>
  <c r="G32" i="2262"/>
  <c r="G33" i="2262"/>
  <c r="G34" i="2262"/>
  <c r="G35" i="2262"/>
  <c r="G36" i="2262"/>
  <c r="G37" i="2262"/>
  <c r="G38" i="2262"/>
  <c r="G39" i="2262"/>
  <c r="G40" i="2262"/>
  <c r="G41" i="2262"/>
  <c r="G42" i="2262"/>
  <c r="G43" i="2262"/>
  <c r="G47" i="2262"/>
  <c r="G48" i="2262"/>
  <c r="G49" i="2262"/>
  <c r="G50" i="2262"/>
  <c r="G51" i="2262"/>
  <c r="G52" i="2262"/>
  <c r="G53" i="2262"/>
  <c r="G54" i="2262"/>
  <c r="G55" i="2262"/>
  <c r="G56" i="2262"/>
  <c r="G57" i="2262"/>
  <c r="G58" i="2262"/>
  <c r="G59" i="2262"/>
  <c r="G60" i="2262"/>
  <c r="G61" i="2262"/>
  <c r="G62" i="2262"/>
  <c r="G63" i="2262"/>
  <c r="G64" i="2262"/>
  <c r="G65" i="2262"/>
  <c r="G66" i="2262"/>
  <c r="G67" i="2262"/>
  <c r="G68" i="2262"/>
  <c r="G69" i="2262"/>
  <c r="G70" i="2262"/>
  <c r="G71" i="2262"/>
  <c r="G72" i="2262"/>
  <c r="G73" i="2262"/>
  <c r="G74" i="2262"/>
  <c r="G75" i="2262"/>
  <c r="G76" i="2262"/>
  <c r="G77" i="2262"/>
  <c r="G78" i="2262"/>
  <c r="G79" i="2262"/>
  <c r="G80" i="2262"/>
  <c r="G81" i="2262"/>
  <c r="G82" i="2262"/>
  <c r="G83" i="2262"/>
  <c r="G84" i="2262"/>
  <c r="G85" i="2262"/>
  <c r="G86" i="2262"/>
  <c r="G87" i="2262"/>
  <c r="G88" i="2262"/>
  <c r="G90" i="2262"/>
  <c r="G91" i="2262"/>
  <c r="G92" i="2262"/>
  <c r="G93" i="2262"/>
  <c r="G94" i="2262"/>
  <c r="G95" i="2262"/>
  <c r="G96" i="2262"/>
  <c r="G97" i="2262"/>
  <c r="G98" i="2262"/>
  <c r="G99" i="2262"/>
  <c r="G100" i="2262"/>
  <c r="G101" i="2262"/>
  <c r="G102" i="2262"/>
  <c r="G103" i="2262"/>
  <c r="G104" i="2262"/>
  <c r="G105" i="2262"/>
  <c r="G106" i="2262"/>
  <c r="G107" i="2262"/>
  <c r="G108" i="2262"/>
  <c r="G109" i="2262"/>
  <c r="G110" i="2262"/>
  <c r="G111" i="2262"/>
  <c r="G112" i="2262"/>
  <c r="G118" i="2262"/>
  <c r="G119" i="2262"/>
  <c r="G120" i="2262"/>
  <c r="G121" i="2262"/>
  <c r="G122" i="2262"/>
  <c r="G123" i="2262"/>
  <c r="G124" i="2262"/>
  <c r="G125" i="2262"/>
  <c r="G126" i="2262"/>
  <c r="G127" i="2262"/>
  <c r="G128" i="2262"/>
  <c r="G129" i="2262"/>
  <c r="G130" i="2262"/>
  <c r="G131" i="2262"/>
  <c r="G132" i="2262"/>
  <c r="G133" i="2262"/>
  <c r="G134" i="2262"/>
  <c r="G135" i="2262"/>
  <c r="G136" i="2262"/>
  <c r="G137" i="2262"/>
  <c r="G138" i="2262"/>
  <c r="G139" i="2262"/>
  <c r="G140" i="2262"/>
  <c r="G141" i="2262"/>
  <c r="G142" i="2262"/>
  <c r="G143" i="2262"/>
  <c r="G144" i="2262"/>
  <c r="G145" i="2262"/>
  <c r="G146" i="2262"/>
  <c r="G147" i="2262"/>
  <c r="G148" i="2262"/>
  <c r="G149" i="2262"/>
  <c r="G150" i="2262"/>
  <c r="G151" i="2262"/>
  <c r="G152" i="2262"/>
  <c r="G153" i="2262"/>
  <c r="G154" i="2262"/>
  <c r="G155" i="2262"/>
  <c r="G156" i="2262"/>
  <c r="G157" i="2262"/>
  <c r="G159" i="2262"/>
  <c r="G160" i="2262"/>
  <c r="G161" i="2262"/>
  <c r="G162" i="2262"/>
  <c r="G163" i="2262"/>
  <c r="G164" i="2262"/>
  <c r="G165" i="2262"/>
  <c r="G166" i="2262"/>
  <c r="G167" i="2262"/>
  <c r="G168" i="2262"/>
  <c r="G169" i="2262"/>
  <c r="G170" i="2262"/>
  <c r="G171" i="2262"/>
  <c r="G172" i="2262"/>
  <c r="G173" i="2262"/>
  <c r="G174" i="2262"/>
  <c r="G175" i="2262"/>
  <c r="G176" i="2262"/>
  <c r="G177" i="2262"/>
  <c r="G178" i="2262"/>
  <c r="G179" i="2262"/>
  <c r="G180" i="2262"/>
  <c r="G181" i="2262"/>
  <c r="G182" i="2262"/>
  <c r="G183" i="2262"/>
  <c r="G184" i="2262"/>
  <c r="G185" i="2262"/>
  <c r="G186" i="2262"/>
  <c r="G187" i="2262"/>
  <c r="G188" i="2262"/>
  <c r="G189" i="2262"/>
  <c r="G190" i="2262"/>
  <c r="G191" i="2262"/>
  <c r="G192" i="2262"/>
  <c r="G301" i="2262"/>
  <c r="G302" i="2262"/>
  <c r="G303" i="2262"/>
  <c r="G304" i="2262"/>
  <c r="G305" i="2262"/>
  <c r="G306" i="2262"/>
  <c r="G327" i="2262"/>
  <c r="G7" i="2262"/>
  <c r="E52" i="2273" l="1"/>
  <c r="E51" i="2273"/>
  <c r="D32" i="2273"/>
  <c r="C30" i="2273"/>
  <c r="C29" i="2273"/>
  <c r="C36" i="2273"/>
  <c r="C27" i="2273"/>
  <c r="C26" i="2273"/>
  <c r="C24" i="2273"/>
  <c r="C23" i="2273"/>
  <c r="C15" i="2273"/>
  <c r="C16" i="2273"/>
  <c r="C17" i="2273"/>
  <c r="C18" i="2273"/>
  <c r="C19" i="2273"/>
  <c r="C20" i="2273"/>
  <c r="C14" i="2273"/>
  <c r="AJ160" i="2262" l="1"/>
  <c r="J3" i="2262" l="1"/>
  <c r="F30" i="2273" l="1"/>
  <c r="F33" i="2273" s="1"/>
  <c r="AC192" i="2262"/>
  <c r="AC191" i="2262"/>
  <c r="AC190" i="2262"/>
  <c r="AC189" i="2262"/>
  <c r="AC188" i="2262"/>
  <c r="AC187" i="2262"/>
  <c r="AC186" i="2262"/>
  <c r="AC185" i="2262"/>
  <c r="AC184" i="2262"/>
  <c r="AC183" i="2262"/>
  <c r="AC182" i="2262"/>
  <c r="AC181" i="2262"/>
  <c r="AC180" i="2262"/>
  <c r="AC179" i="2262"/>
  <c r="AC178" i="2262"/>
  <c r="AC177" i="2262"/>
  <c r="AC176" i="2262"/>
  <c r="AC175" i="2262"/>
  <c r="AC174" i="2262"/>
  <c r="AC173" i="2262"/>
  <c r="AC172" i="2262"/>
  <c r="AC171" i="2262"/>
  <c r="AC170" i="2262"/>
  <c r="AC169" i="2262"/>
  <c r="AC168" i="2262"/>
  <c r="AC167" i="2262"/>
  <c r="AC166" i="2262"/>
  <c r="AC165" i="2262"/>
  <c r="AC164" i="2262"/>
  <c r="AC163" i="2262"/>
  <c r="AC162" i="2262"/>
  <c r="AC161" i="2262"/>
  <c r="AC160" i="2262"/>
  <c r="AC159" i="2262"/>
  <c r="AC158" i="2262"/>
  <c r="AC157" i="2262"/>
  <c r="AC156" i="2262"/>
  <c r="AC155" i="2262"/>
  <c r="AC154" i="2262"/>
  <c r="AC153" i="2262"/>
  <c r="AC152" i="2262"/>
  <c r="AC151" i="2262"/>
  <c r="AC150" i="2262"/>
  <c r="AC149" i="2262"/>
  <c r="AC148" i="2262"/>
  <c r="AC147" i="2262"/>
  <c r="AC146" i="2262"/>
  <c r="AC145" i="2262"/>
  <c r="AC144" i="2262"/>
  <c r="AC143" i="2262"/>
  <c r="AC142" i="2262"/>
  <c r="AC141" i="2262"/>
  <c r="AC140" i="2262"/>
  <c r="AC139" i="2262"/>
  <c r="AC138" i="2262"/>
  <c r="AC137" i="2262"/>
  <c r="AC136" i="2262"/>
  <c r="AC135" i="2262"/>
  <c r="AC134" i="2262"/>
  <c r="AC133" i="2262"/>
  <c r="AC132" i="2262"/>
  <c r="AC131" i="2262"/>
  <c r="AC130" i="2262"/>
  <c r="AC129" i="2262"/>
  <c r="AC128" i="2262"/>
  <c r="AC127" i="2262"/>
  <c r="AC126" i="2262"/>
  <c r="AC125" i="2262"/>
  <c r="AC124" i="2262"/>
  <c r="AC123" i="2262"/>
  <c r="AC122" i="2262"/>
  <c r="AC121" i="2262"/>
  <c r="AC120" i="2262"/>
  <c r="AC119" i="2262"/>
  <c r="AC118" i="2262"/>
  <c r="AC117" i="2262"/>
  <c r="AC116" i="2262"/>
  <c r="AC115" i="2262"/>
  <c r="AC114" i="2262"/>
  <c r="AC113" i="2262"/>
  <c r="AC112" i="2262"/>
  <c r="AC111" i="2262"/>
  <c r="AC110" i="2262"/>
  <c r="AC109" i="2262"/>
  <c r="AC108" i="2262"/>
  <c r="AC107" i="2262"/>
  <c r="AC106" i="2262"/>
  <c r="AC105" i="2262"/>
  <c r="AC104" i="2262"/>
  <c r="AC103" i="2262"/>
  <c r="AC102" i="2262"/>
  <c r="AC101" i="2262"/>
  <c r="AC100" i="2262"/>
  <c r="AC99" i="2262"/>
  <c r="AC98" i="2262"/>
  <c r="AC97" i="2262"/>
  <c r="AC96" i="2262"/>
  <c r="AC95" i="2262"/>
  <c r="AC94" i="2262"/>
  <c r="AC93" i="2262"/>
  <c r="AC92" i="2262"/>
  <c r="AC91" i="2262"/>
  <c r="AC90" i="2262"/>
  <c r="AC89" i="2262"/>
  <c r="AC88" i="2262"/>
  <c r="AC87" i="2262"/>
  <c r="AC86" i="2262"/>
  <c r="AC85" i="2262"/>
  <c r="AC84" i="2262"/>
  <c r="AC83" i="2262"/>
  <c r="AC82" i="2262"/>
  <c r="AC81" i="2262"/>
  <c r="AC80" i="2262"/>
  <c r="AC79" i="2262"/>
  <c r="AC78" i="2262"/>
  <c r="AC77" i="2262"/>
  <c r="AC76" i="2262"/>
  <c r="AC75" i="2262"/>
  <c r="AC74" i="2262"/>
  <c r="AC73" i="2262"/>
  <c r="AC72" i="2262"/>
  <c r="AC71" i="2262"/>
  <c r="AC70" i="2262"/>
  <c r="AC69" i="2262"/>
  <c r="AC68" i="2262"/>
  <c r="AC67" i="2262"/>
  <c r="AC66" i="2262"/>
  <c r="AC65" i="2262"/>
  <c r="AC64" i="2262"/>
  <c r="AC63" i="2262"/>
  <c r="AC62" i="2262"/>
  <c r="AC61" i="2262"/>
  <c r="AC60" i="2262"/>
  <c r="AC59" i="2262"/>
  <c r="AC58" i="2262"/>
  <c r="AC57" i="2262"/>
  <c r="AC56" i="2262"/>
  <c r="AC55" i="2262"/>
  <c r="AC54" i="2262"/>
  <c r="AC53" i="2262"/>
  <c r="AC52" i="2262"/>
  <c r="AC51" i="2262"/>
  <c r="AC50" i="2262"/>
  <c r="AC49" i="2262"/>
  <c r="AC48" i="2262"/>
  <c r="AC47" i="2262"/>
  <c r="AC46" i="2262"/>
  <c r="AC45" i="2262"/>
  <c r="AC44" i="2262"/>
  <c r="AC43" i="2262"/>
  <c r="AC42" i="2262"/>
  <c r="AC41" i="2262"/>
  <c r="AC40" i="2262"/>
  <c r="AC39" i="2262"/>
  <c r="AC38" i="2262"/>
  <c r="AC37" i="2262"/>
  <c r="AC36" i="2262"/>
  <c r="AC35" i="2262"/>
  <c r="AC34" i="2262"/>
  <c r="AC33" i="2262"/>
  <c r="AC32" i="2262"/>
  <c r="AC31" i="2262"/>
  <c r="AC30" i="2262"/>
  <c r="AC29" i="2262"/>
  <c r="AC28" i="2262"/>
  <c r="AC27" i="2262"/>
  <c r="AC26" i="2262"/>
  <c r="AC25" i="2262"/>
  <c r="AC24" i="2262"/>
  <c r="AC23" i="2262"/>
  <c r="AC22" i="2262"/>
  <c r="AC21" i="2262"/>
  <c r="AC20" i="2262"/>
  <c r="AC19" i="2262"/>
  <c r="AC18" i="2262"/>
  <c r="AC17" i="2262"/>
  <c r="AC16" i="2262"/>
  <c r="AC15" i="2262"/>
  <c r="AC14" i="2262"/>
  <c r="AC13" i="2262"/>
  <c r="AC12" i="2262"/>
  <c r="AC11" i="2262"/>
  <c r="AC10" i="2262"/>
  <c r="AC9" i="2262"/>
  <c r="AC8" i="2262"/>
  <c r="AC7" i="2262"/>
  <c r="C1" i="2262"/>
  <c r="AM161" i="2262" l="1"/>
  <c r="G35" i="2274" l="1"/>
  <c r="K32" i="2274"/>
  <c r="K31" i="2274"/>
  <c r="K30" i="2274"/>
  <c r="K29" i="2274"/>
  <c r="G32" i="2274"/>
  <c r="G31" i="2274"/>
  <c r="G30" i="2274"/>
  <c r="G29" i="2274"/>
  <c r="D32" i="2274"/>
  <c r="D31" i="2274"/>
  <c r="D30" i="2274"/>
  <c r="D29" i="2274"/>
  <c r="I29" i="2274" s="1"/>
  <c r="I32" i="2274" l="1"/>
  <c r="I30" i="2274"/>
  <c r="I31" i="2274"/>
  <c r="AK300" i="2262"/>
  <c r="AM300" i="2262" s="1"/>
  <c r="AK299" i="2262"/>
  <c r="AM299" i="2262" s="1"/>
  <c r="AK228" i="2262"/>
  <c r="AM228" i="2262" s="1"/>
  <c r="AA301" i="2262" l="1"/>
  <c r="AA300" i="2262"/>
  <c r="AA299" i="2262"/>
  <c r="AA298" i="2262"/>
  <c r="AA297" i="2262"/>
  <c r="AA296" i="2262"/>
  <c r="AA295" i="2262"/>
  <c r="AA294" i="2262"/>
  <c r="AA293" i="2262"/>
  <c r="AA292" i="2262"/>
  <c r="AA291" i="2262"/>
  <c r="AA290" i="2262"/>
  <c r="AA289" i="2262"/>
  <c r="AA288" i="2262"/>
  <c r="AA287" i="2262"/>
  <c r="AA286" i="2262"/>
  <c r="AA285" i="2262"/>
  <c r="AA284" i="2262"/>
  <c r="AA283" i="2262"/>
  <c r="AA282" i="2262"/>
  <c r="AA281" i="2262"/>
  <c r="AA280" i="2262"/>
  <c r="AA279" i="2262"/>
  <c r="AA278" i="2262"/>
  <c r="AA277" i="2262"/>
  <c r="AA276" i="2262"/>
  <c r="AA275" i="2262"/>
  <c r="AA274" i="2262"/>
  <c r="AA273" i="2262"/>
  <c r="AA272" i="2262"/>
  <c r="AA271" i="2262"/>
  <c r="AA270" i="2262"/>
  <c r="AA269" i="2262"/>
  <c r="AA268" i="2262"/>
  <c r="AA267" i="2262"/>
  <c r="AA266" i="2262"/>
  <c r="AA265" i="2262"/>
  <c r="AA264" i="2262"/>
  <c r="AA263" i="2262"/>
  <c r="AA262" i="2262"/>
  <c r="AA261" i="2262"/>
  <c r="AA260" i="2262"/>
  <c r="AA259" i="2262"/>
  <c r="AA258" i="2262"/>
  <c r="AA257" i="2262"/>
  <c r="AA256" i="2262"/>
  <c r="AA255" i="2262"/>
  <c r="AA254" i="2262"/>
  <c r="AA253" i="2262"/>
  <c r="AA252" i="2262"/>
  <c r="AA251" i="2262"/>
  <c r="AA250" i="2262"/>
  <c r="AA249" i="2262"/>
  <c r="AA248" i="2262"/>
  <c r="AA247" i="2262"/>
  <c r="AA246" i="2262"/>
  <c r="AA245" i="2262"/>
  <c r="AA244" i="2262"/>
  <c r="AA243" i="2262"/>
  <c r="AA242" i="2262"/>
  <c r="AA241" i="2262"/>
  <c r="AA240" i="2262"/>
  <c r="AA239" i="2262"/>
  <c r="AA238" i="2262"/>
  <c r="AA237" i="2262"/>
  <c r="AA236" i="2262"/>
  <c r="AA235" i="2262"/>
  <c r="AA234" i="2262"/>
  <c r="AA233" i="2262"/>
  <c r="AA232" i="2262"/>
  <c r="AA231" i="2262"/>
  <c r="AA230" i="2262"/>
  <c r="AA229" i="2262"/>
  <c r="AA228" i="2262"/>
  <c r="AA227" i="2262"/>
  <c r="AA226" i="2262"/>
  <c r="AA225" i="2262"/>
  <c r="AA224" i="2262"/>
  <c r="AA223" i="2262"/>
  <c r="AA222" i="2262"/>
  <c r="AA221" i="2262"/>
  <c r="AA220" i="2262"/>
  <c r="AA219" i="2262"/>
  <c r="AA218" i="2262"/>
  <c r="AA217" i="2262"/>
  <c r="AA216" i="2262"/>
  <c r="AA215" i="2262"/>
  <c r="AA214" i="2262"/>
  <c r="AA213" i="2262"/>
  <c r="AA212" i="2262"/>
  <c r="AA211" i="2262"/>
  <c r="AA210" i="2262"/>
  <c r="AA209" i="2262"/>
  <c r="AA208" i="2262"/>
  <c r="AA207" i="2262"/>
  <c r="AA206" i="2262"/>
  <c r="AA205" i="2262"/>
  <c r="AA204" i="2262"/>
  <c r="AA203" i="2262"/>
  <c r="AA202" i="2262"/>
  <c r="AA201" i="2262"/>
  <c r="AA200" i="2262"/>
  <c r="AA199" i="2262"/>
  <c r="AA198" i="2262"/>
  <c r="AA197" i="2262"/>
  <c r="AA196" i="2262"/>
  <c r="AA195" i="2262"/>
  <c r="AA194" i="2262"/>
  <c r="AA193" i="2262"/>
  <c r="G10" i="2274" l="1"/>
  <c r="G9" i="2274"/>
  <c r="K47" i="2274"/>
  <c r="I47" i="2274"/>
  <c r="T47" i="2274" s="1"/>
  <c r="K46" i="2274"/>
  <c r="I46" i="2274"/>
  <c r="W46" i="2274" s="1"/>
  <c r="K45" i="2274"/>
  <c r="I45" i="2274"/>
  <c r="V45" i="2274" s="1"/>
  <c r="K44" i="2274"/>
  <c r="I44" i="2274"/>
  <c r="U44" i="2274" s="1"/>
  <c r="K43" i="2274"/>
  <c r="G43" i="2274"/>
  <c r="I43" i="2274" s="1"/>
  <c r="V43" i="2274" s="1"/>
  <c r="K42" i="2274"/>
  <c r="I42" i="2274"/>
  <c r="V42" i="2274" s="1"/>
  <c r="K41" i="2274"/>
  <c r="I41" i="2274"/>
  <c r="S41" i="2274" s="1"/>
  <c r="K40" i="2274"/>
  <c r="I40" i="2274"/>
  <c r="T40" i="2274" s="1"/>
  <c r="K39" i="2274"/>
  <c r="I39" i="2274"/>
  <c r="U39" i="2274" s="1"/>
  <c r="I38" i="2274"/>
  <c r="R38" i="2274" s="1"/>
  <c r="K37" i="2274"/>
  <c r="I37" i="2274"/>
  <c r="V37" i="2274" s="1"/>
  <c r="K36" i="2274"/>
  <c r="I36" i="2274"/>
  <c r="U36" i="2274" s="1"/>
  <c r="K35" i="2274"/>
  <c r="I35" i="2274"/>
  <c r="V35" i="2274" s="1"/>
  <c r="Y33" i="2274"/>
  <c r="X33" i="2274"/>
  <c r="H23" i="2274"/>
  <c r="G21" i="2274"/>
  <c r="N20" i="2274"/>
  <c r="K20" i="2274"/>
  <c r="O19" i="2274"/>
  <c r="O20" i="2274" s="1"/>
  <c r="K19" i="2274"/>
  <c r="H19" i="2274"/>
  <c r="C19" i="2274"/>
  <c r="G19" i="2274" s="1"/>
  <c r="K18" i="2274"/>
  <c r="K17" i="2274"/>
  <c r="O16" i="2274"/>
  <c r="O17" i="2274" s="1"/>
  <c r="N16" i="2274"/>
  <c r="K16" i="2274"/>
  <c r="H16" i="2274"/>
  <c r="C16" i="2274"/>
  <c r="G16" i="2274" s="1"/>
  <c r="K15" i="2274"/>
  <c r="H15" i="2274"/>
  <c r="C15" i="2274"/>
  <c r="D15" i="2274" s="1"/>
  <c r="K14" i="2274"/>
  <c r="K13" i="2274"/>
  <c r="H13" i="2274"/>
  <c r="C13" i="2274"/>
  <c r="D13" i="2274" s="1"/>
  <c r="K12" i="2274"/>
  <c r="H12" i="2274"/>
  <c r="C12" i="2274"/>
  <c r="G12" i="2274" s="1"/>
  <c r="K11" i="2274"/>
  <c r="H11" i="2274"/>
  <c r="H17" i="2274" s="1"/>
  <c r="C11" i="2274"/>
  <c r="G11" i="2274" s="1"/>
  <c r="K10" i="2274"/>
  <c r="D10" i="2274"/>
  <c r="K9" i="2274"/>
  <c r="D9" i="2274"/>
  <c r="K8" i="2274"/>
  <c r="K7" i="2274"/>
  <c r="H7" i="2274"/>
  <c r="C7" i="2274"/>
  <c r="D7" i="2274" s="1"/>
  <c r="K6" i="2274"/>
  <c r="H6" i="2274"/>
  <c r="H18" i="2274" s="1"/>
  <c r="C6" i="2274"/>
  <c r="C18" i="2274" s="1"/>
  <c r="D12" i="2274" l="1"/>
  <c r="I12" i="2274" s="1"/>
  <c r="D6" i="2274"/>
  <c r="D16" i="2274"/>
  <c r="I16" i="2274" s="1"/>
  <c r="D19" i="2274"/>
  <c r="I19" i="2274" s="1"/>
  <c r="H8" i="2274"/>
  <c r="T42" i="2274"/>
  <c r="T37" i="2274"/>
  <c r="W41" i="2274"/>
  <c r="D18" i="2274"/>
  <c r="G18" i="2274"/>
  <c r="C17" i="2274"/>
  <c r="H20" i="2274"/>
  <c r="V38" i="2274"/>
  <c r="R40" i="2274"/>
  <c r="V40" i="2274"/>
  <c r="T45" i="2274"/>
  <c r="S46" i="2274"/>
  <c r="R47" i="2274"/>
  <c r="V47" i="2274"/>
  <c r="G6" i="2274"/>
  <c r="I6" i="2274" s="1"/>
  <c r="H14" i="2274"/>
  <c r="R37" i="2274"/>
  <c r="R42" i="2274"/>
  <c r="R45" i="2274"/>
  <c r="G25" i="2274"/>
  <c r="G7" i="2274"/>
  <c r="I7" i="2274" s="1"/>
  <c r="G13" i="2274"/>
  <c r="I13" i="2274" s="1"/>
  <c r="G15" i="2274"/>
  <c r="I15" i="2274" s="1"/>
  <c r="I10" i="2274"/>
  <c r="U10" i="2274" s="1"/>
  <c r="I9" i="2274"/>
  <c r="T9" i="2274" s="1"/>
  <c r="C20" i="2274"/>
  <c r="G20" i="2274" s="1"/>
  <c r="C14" i="2274"/>
  <c r="G14" i="2274" s="1"/>
  <c r="D11" i="2274"/>
  <c r="I11" i="2274" s="1"/>
  <c r="C8" i="2274"/>
  <c r="G8" i="2274" s="1"/>
  <c r="G28" i="2274"/>
  <c r="G26" i="2274"/>
  <c r="G24" i="2274"/>
  <c r="G23" i="2274"/>
  <c r="G22" i="2274"/>
  <c r="D21" i="2274"/>
  <c r="I21" i="2274" s="1"/>
  <c r="K28" i="2274"/>
  <c r="K27" i="2274"/>
  <c r="K26" i="2274"/>
  <c r="K21" i="2274"/>
  <c r="K22" i="2274"/>
  <c r="K23" i="2274"/>
  <c r="K24" i="2274"/>
  <c r="K25" i="2274"/>
  <c r="G27" i="2274"/>
  <c r="W35" i="2274"/>
  <c r="U35" i="2274"/>
  <c r="S35" i="2274"/>
  <c r="Q35" i="2274"/>
  <c r="T35" i="2274"/>
  <c r="R35" i="2274"/>
  <c r="V36" i="2274"/>
  <c r="T36" i="2274"/>
  <c r="R36" i="2274"/>
  <c r="W36" i="2274"/>
  <c r="S36" i="2274"/>
  <c r="Q36" i="2274"/>
  <c r="V39" i="2274"/>
  <c r="T39" i="2274"/>
  <c r="R39" i="2274"/>
  <c r="W39" i="2274"/>
  <c r="S39" i="2274"/>
  <c r="Q39" i="2274"/>
  <c r="W43" i="2274"/>
  <c r="U43" i="2274"/>
  <c r="S43" i="2274"/>
  <c r="Q43" i="2274"/>
  <c r="T43" i="2274"/>
  <c r="R43" i="2274"/>
  <c r="V44" i="2274"/>
  <c r="T44" i="2274"/>
  <c r="R44" i="2274"/>
  <c r="W44" i="2274"/>
  <c r="S44" i="2274"/>
  <c r="Q44" i="2274"/>
  <c r="W38" i="2274"/>
  <c r="U38" i="2274"/>
  <c r="S38" i="2274"/>
  <c r="Q38" i="2274"/>
  <c r="T38" i="2274"/>
  <c r="V41" i="2274"/>
  <c r="T41" i="2274"/>
  <c r="R41" i="2274"/>
  <c r="Q41" i="2274"/>
  <c r="U41" i="2274"/>
  <c r="V46" i="2274"/>
  <c r="T46" i="2274"/>
  <c r="R46" i="2274"/>
  <c r="Q46" i="2274"/>
  <c r="U46" i="2274"/>
  <c r="Q37" i="2274"/>
  <c r="S37" i="2274"/>
  <c r="U37" i="2274"/>
  <c r="W37" i="2274"/>
  <c r="Q40" i="2274"/>
  <c r="S40" i="2274"/>
  <c r="U40" i="2274"/>
  <c r="W40" i="2274"/>
  <c r="Q42" i="2274"/>
  <c r="S42" i="2274"/>
  <c r="U42" i="2274"/>
  <c r="W42" i="2274"/>
  <c r="Q45" i="2274"/>
  <c r="S45" i="2274"/>
  <c r="U45" i="2274"/>
  <c r="W45" i="2274"/>
  <c r="Q47" i="2274"/>
  <c r="S47" i="2274"/>
  <c r="U47" i="2274"/>
  <c r="W47" i="2274"/>
  <c r="X43" i="2274" l="1"/>
  <c r="Y46" i="2274"/>
  <c r="X38" i="2274"/>
  <c r="S10" i="2274"/>
  <c r="Q9" i="2274"/>
  <c r="I18" i="2274"/>
  <c r="T18" i="2274" s="1"/>
  <c r="T13" i="2274"/>
  <c r="V13" i="2274"/>
  <c r="W13" i="2274"/>
  <c r="U13" i="2274"/>
  <c r="R13" i="2274"/>
  <c r="S13" i="2274"/>
  <c r="Q13" i="2274"/>
  <c r="X47" i="2274"/>
  <c r="X45" i="2274"/>
  <c r="Y45" i="2274"/>
  <c r="Y40" i="2274"/>
  <c r="Y37" i="2274"/>
  <c r="Y41" i="2274"/>
  <c r="Y44" i="2274"/>
  <c r="X35" i="2274"/>
  <c r="V10" i="2274"/>
  <c r="T10" i="2274"/>
  <c r="W10" i="2274"/>
  <c r="V9" i="2274"/>
  <c r="X44" i="2274"/>
  <c r="Y47" i="2274"/>
  <c r="X42" i="2274"/>
  <c r="Y42" i="2274"/>
  <c r="X40" i="2274"/>
  <c r="X37" i="2274"/>
  <c r="X46" i="2274"/>
  <c r="X41" i="2274"/>
  <c r="Y38" i="2274"/>
  <c r="Y39" i="2274"/>
  <c r="X39" i="2274"/>
  <c r="Y36" i="2274"/>
  <c r="X36" i="2274"/>
  <c r="D17" i="2274"/>
  <c r="G17" i="2274"/>
  <c r="Y43" i="2274"/>
  <c r="Y35" i="2274"/>
  <c r="R10" i="2274"/>
  <c r="Q10" i="2274"/>
  <c r="S9" i="2274"/>
  <c r="R9" i="2274"/>
  <c r="W9" i="2274"/>
  <c r="U9" i="2274"/>
  <c r="V19" i="2274"/>
  <c r="T19" i="2274"/>
  <c r="R19" i="2274"/>
  <c r="U19" i="2274"/>
  <c r="Q19" i="2274"/>
  <c r="W19" i="2274"/>
  <c r="S19" i="2274"/>
  <c r="W12" i="2274"/>
  <c r="U12" i="2274"/>
  <c r="S12" i="2274"/>
  <c r="Q12" i="2274"/>
  <c r="V12" i="2274"/>
  <c r="R12" i="2274"/>
  <c r="T12" i="2274"/>
  <c r="V7" i="2274"/>
  <c r="T7" i="2274"/>
  <c r="R7" i="2274"/>
  <c r="U7" i="2274"/>
  <c r="Q7" i="2274"/>
  <c r="W7" i="2274"/>
  <c r="S7" i="2274"/>
  <c r="W16" i="2274"/>
  <c r="U16" i="2274"/>
  <c r="S16" i="2274"/>
  <c r="Q16" i="2274"/>
  <c r="T16" i="2274"/>
  <c r="V16" i="2274"/>
  <c r="R16" i="2274"/>
  <c r="W6" i="2274"/>
  <c r="U6" i="2274"/>
  <c r="S6" i="2274"/>
  <c r="Q6" i="2274"/>
  <c r="T6" i="2274"/>
  <c r="V6" i="2274"/>
  <c r="R6" i="2274"/>
  <c r="V21" i="2274"/>
  <c r="T21" i="2274"/>
  <c r="R21" i="2274"/>
  <c r="W21" i="2274"/>
  <c r="S21" i="2274"/>
  <c r="U21" i="2274"/>
  <c r="Q21" i="2274"/>
  <c r="D22" i="2274"/>
  <c r="I22" i="2274" s="1"/>
  <c r="D24" i="2274"/>
  <c r="I24" i="2274" s="1"/>
  <c r="D26" i="2274"/>
  <c r="I26" i="2274" s="1"/>
  <c r="V18" i="2274"/>
  <c r="V15" i="2274"/>
  <c r="T15" i="2274"/>
  <c r="R15" i="2274"/>
  <c r="U15" i="2274"/>
  <c r="Q15" i="2274"/>
  <c r="W15" i="2274"/>
  <c r="S15" i="2274"/>
  <c r="V11" i="2274"/>
  <c r="T11" i="2274"/>
  <c r="R11" i="2274"/>
  <c r="W11" i="2274"/>
  <c r="S11" i="2274"/>
  <c r="U11" i="2274"/>
  <c r="Q11" i="2274"/>
  <c r="D20" i="2274"/>
  <c r="I20" i="2274" s="1"/>
  <c r="D27" i="2274"/>
  <c r="I27" i="2274" s="1"/>
  <c r="D23" i="2274"/>
  <c r="I23" i="2274" s="1"/>
  <c r="D25" i="2274"/>
  <c r="I25" i="2274" s="1"/>
  <c r="D28" i="2274"/>
  <c r="I28" i="2274" s="1"/>
  <c r="D8" i="2274"/>
  <c r="I8" i="2274" s="1"/>
  <c r="D14" i="2274"/>
  <c r="I14" i="2274" s="1"/>
  <c r="Q18" i="2274" l="1"/>
  <c r="S18" i="2274"/>
  <c r="R18" i="2274"/>
  <c r="Y21" i="2274"/>
  <c r="X13" i="2274"/>
  <c r="Y11" i="2274"/>
  <c r="X10" i="2274"/>
  <c r="W18" i="2274"/>
  <c r="U18" i="2274"/>
  <c r="X6" i="2274"/>
  <c r="Y6" i="2274"/>
  <c r="X16" i="2274"/>
  <c r="X12" i="2274"/>
  <c r="X9" i="2274"/>
  <c r="Y13" i="2274"/>
  <c r="Y9" i="2274"/>
  <c r="Y10" i="2274"/>
  <c r="I17" i="2274"/>
  <c r="X11" i="2274"/>
  <c r="Y15" i="2274"/>
  <c r="X7" i="2274"/>
  <c r="X19" i="2274"/>
  <c r="X15" i="2274"/>
  <c r="X21" i="2274"/>
  <c r="Y16" i="2274"/>
  <c r="Y7" i="2274"/>
  <c r="Y12" i="2274"/>
  <c r="Y19" i="2274"/>
  <c r="W14" i="2274"/>
  <c r="U14" i="2274"/>
  <c r="S14" i="2274"/>
  <c r="Q14" i="2274"/>
  <c r="T14" i="2274"/>
  <c r="V14" i="2274"/>
  <c r="R14" i="2274"/>
  <c r="W8" i="2274"/>
  <c r="U8" i="2274"/>
  <c r="S8" i="2274"/>
  <c r="Q8" i="2274"/>
  <c r="V8" i="2274"/>
  <c r="R8" i="2274"/>
  <c r="T8" i="2274"/>
  <c r="W25" i="2274"/>
  <c r="V25" i="2274"/>
  <c r="T25" i="2274"/>
  <c r="R25" i="2274"/>
  <c r="S25" i="2274"/>
  <c r="U25" i="2274"/>
  <c r="Q25" i="2274"/>
  <c r="V23" i="2274"/>
  <c r="T23" i="2274"/>
  <c r="R23" i="2274"/>
  <c r="W23" i="2274"/>
  <c r="S23" i="2274"/>
  <c r="U23" i="2274"/>
  <c r="Q23" i="2274"/>
  <c r="W20" i="2274"/>
  <c r="U20" i="2274"/>
  <c r="S20" i="2274"/>
  <c r="Q20" i="2274"/>
  <c r="V20" i="2274"/>
  <c r="R20" i="2274"/>
  <c r="T20" i="2274"/>
  <c r="V24" i="2274"/>
  <c r="T24" i="2274"/>
  <c r="R24" i="2274"/>
  <c r="W24" i="2274"/>
  <c r="S24" i="2274"/>
  <c r="U24" i="2274"/>
  <c r="Q24" i="2274"/>
  <c r="V22" i="2274"/>
  <c r="T22" i="2274"/>
  <c r="R22" i="2274"/>
  <c r="W22" i="2274"/>
  <c r="S22" i="2274"/>
  <c r="U22" i="2274"/>
  <c r="Q22" i="2274"/>
  <c r="W28" i="2274"/>
  <c r="U28" i="2274"/>
  <c r="S28" i="2274"/>
  <c r="Q28" i="2274"/>
  <c r="T28" i="2274"/>
  <c r="R28" i="2274"/>
  <c r="V28" i="2274"/>
  <c r="W27" i="2274"/>
  <c r="U27" i="2274"/>
  <c r="S27" i="2274"/>
  <c r="Q27" i="2274"/>
  <c r="V27" i="2274"/>
  <c r="R27" i="2274"/>
  <c r="T27" i="2274"/>
  <c r="W26" i="2274"/>
  <c r="U26" i="2274"/>
  <c r="S26" i="2274"/>
  <c r="Q26" i="2274"/>
  <c r="T26" i="2274"/>
  <c r="R26" i="2274"/>
  <c r="V26" i="2274"/>
  <c r="Y18" i="2274" l="1"/>
  <c r="Y23" i="2274"/>
  <c r="X18" i="2274"/>
  <c r="Y24" i="2274"/>
  <c r="Y22" i="2274"/>
  <c r="X20" i="2274"/>
  <c r="U17" i="2274"/>
  <c r="Q17" i="2274"/>
  <c r="R17" i="2274"/>
  <c r="W17" i="2274"/>
  <c r="S17" i="2274"/>
  <c r="V17" i="2274"/>
  <c r="T17" i="2274"/>
  <c r="X27" i="2274"/>
  <c r="Y26" i="2274"/>
  <c r="Y27" i="2274"/>
  <c r="X28" i="2274"/>
  <c r="X22" i="2274"/>
  <c r="X23" i="2274"/>
  <c r="Y8" i="2274"/>
  <c r="X26" i="2274"/>
  <c r="Y28" i="2274"/>
  <c r="X24" i="2274"/>
  <c r="Y20" i="2274"/>
  <c r="X25" i="2274"/>
  <c r="X8" i="2274"/>
  <c r="X14" i="2274"/>
  <c r="Y14" i="2274"/>
  <c r="Y25" i="2274"/>
  <c r="X17" i="2274" l="1"/>
  <c r="Y17" i="2274"/>
  <c r="AG302" i="2262"/>
  <c r="AF302" i="2262"/>
  <c r="AC301" i="2262"/>
  <c r="AC286" i="2262"/>
  <c r="AC285" i="2262"/>
  <c r="AC284" i="2262"/>
  <c r="AC283" i="2262"/>
  <c r="AC282" i="2262"/>
  <c r="AC281" i="2262"/>
  <c r="AC280" i="2262"/>
  <c r="AC279" i="2262"/>
  <c r="AC278" i="2262"/>
  <c r="AC277" i="2262"/>
  <c r="AC276" i="2262"/>
  <c r="AC275" i="2262"/>
  <c r="AC274" i="2262"/>
  <c r="AC273" i="2262"/>
  <c r="AC272" i="2262"/>
  <c r="AC271" i="2262"/>
  <c r="AC270" i="2262"/>
  <c r="AC269" i="2262"/>
  <c r="AC268" i="2262"/>
  <c r="AC267" i="2262"/>
  <c r="AC266" i="2262"/>
  <c r="AC265" i="2262"/>
  <c r="AC264" i="2262"/>
  <c r="AC263" i="2262"/>
  <c r="AC262" i="2262"/>
  <c r="AC261" i="2262"/>
  <c r="AC260" i="2262"/>
  <c r="AC259" i="2262"/>
  <c r="AC258" i="2262"/>
  <c r="AC257" i="2262"/>
  <c r="AC256" i="2262"/>
  <c r="AC255" i="2262"/>
  <c r="AC254" i="2262"/>
  <c r="AC253" i="2262"/>
  <c r="AC252" i="2262"/>
  <c r="AC251" i="2262"/>
  <c r="AC250" i="2262"/>
  <c r="AC249" i="2262"/>
  <c r="AC248" i="2262"/>
  <c r="AC247" i="2262"/>
  <c r="AC246" i="2262"/>
  <c r="AC245" i="2262"/>
  <c r="AC244" i="2262"/>
  <c r="AC243" i="2262"/>
  <c r="AC242" i="2262"/>
  <c r="AC241" i="2262"/>
  <c r="AC240" i="2262"/>
  <c r="AC239" i="2262"/>
  <c r="AC238" i="2262"/>
  <c r="AC237" i="2262"/>
  <c r="AC236" i="2262"/>
  <c r="AC235" i="2262"/>
  <c r="AC234" i="2262"/>
  <c r="AC233" i="2262"/>
  <c r="AC232" i="2262"/>
  <c r="AC231" i="2262"/>
  <c r="AC230" i="2262"/>
  <c r="AC229" i="2262"/>
  <c r="AC221" i="2262"/>
  <c r="AC220" i="2262"/>
  <c r="AC219" i="2262"/>
  <c r="AC218" i="2262"/>
  <c r="AC217" i="2262"/>
  <c r="AC216" i="2262"/>
  <c r="AC215" i="2262"/>
  <c r="AC214" i="2262"/>
  <c r="AC213" i="2262"/>
  <c r="AC212" i="2262"/>
  <c r="AC211" i="2262"/>
  <c r="AC210" i="2262"/>
  <c r="AC209" i="2262"/>
  <c r="AC208" i="2262"/>
  <c r="AC207" i="2262"/>
  <c r="AC206" i="2262"/>
  <c r="AC205" i="2262"/>
  <c r="AC204" i="2262"/>
  <c r="AC203" i="2262"/>
  <c r="AC202" i="2262"/>
  <c r="AC201" i="2262"/>
  <c r="AC200" i="2262"/>
  <c r="AC199" i="2262"/>
  <c r="AC198" i="2262"/>
  <c r="AC197" i="2262"/>
  <c r="AC196" i="2262"/>
  <c r="AC195" i="2262"/>
  <c r="AC194" i="2262"/>
  <c r="AC193" i="2262"/>
  <c r="AJ300" i="2262" l="1"/>
  <c r="AN300" i="2262" s="1"/>
  <c r="AJ299" i="2262"/>
  <c r="AN299" i="2262" s="1"/>
  <c r="AJ298" i="2262"/>
  <c r="AJ297" i="2262"/>
  <c r="AJ296" i="2262"/>
  <c r="AJ295" i="2262"/>
  <c r="AJ294" i="2262"/>
  <c r="AJ293" i="2262"/>
  <c r="AJ292" i="2262"/>
  <c r="AJ291" i="2262"/>
  <c r="AJ290" i="2262"/>
  <c r="AJ289" i="2262"/>
  <c r="AJ228" i="2262"/>
  <c r="AN228" i="2262" s="1"/>
  <c r="AJ227" i="2262"/>
  <c r="AJ226" i="2262"/>
  <c r="AJ225" i="2262"/>
  <c r="AJ224" i="2262"/>
  <c r="AJ223" i="2262"/>
  <c r="AJ301" i="2262"/>
  <c r="AJ288" i="2262"/>
  <c r="AJ287" i="2262"/>
  <c r="AJ286" i="2262"/>
  <c r="AJ285" i="2262"/>
  <c r="AJ284" i="2262"/>
  <c r="AJ283" i="2262"/>
  <c r="AJ282" i="2262"/>
  <c r="AJ281" i="2262"/>
  <c r="AJ280" i="2262"/>
  <c r="AJ279" i="2262"/>
  <c r="AJ278" i="2262"/>
  <c r="AJ277" i="2262"/>
  <c r="AJ276" i="2262"/>
  <c r="AJ275" i="2262"/>
  <c r="AJ274" i="2262"/>
  <c r="AJ273" i="2262"/>
  <c r="AJ272" i="2262"/>
  <c r="AJ271" i="2262"/>
  <c r="AJ270" i="2262"/>
  <c r="AJ269" i="2262"/>
  <c r="AJ268" i="2262"/>
  <c r="AJ267" i="2262"/>
  <c r="AJ266" i="2262"/>
  <c r="AJ265" i="2262"/>
  <c r="AJ264" i="2262"/>
  <c r="AJ263" i="2262"/>
  <c r="AJ262" i="2262"/>
  <c r="AJ261" i="2262"/>
  <c r="AJ260" i="2262"/>
  <c r="AJ259" i="2262"/>
  <c r="AJ258" i="2262"/>
  <c r="AJ257" i="2262"/>
  <c r="AJ256" i="2262"/>
  <c r="AJ255" i="2262"/>
  <c r="AJ254" i="2262"/>
  <c r="AJ253" i="2262"/>
  <c r="AJ252" i="2262"/>
  <c r="AJ251" i="2262"/>
  <c r="AJ250" i="2262"/>
  <c r="AJ249" i="2262"/>
  <c r="AJ248" i="2262"/>
  <c r="AJ247" i="2262"/>
  <c r="AJ246" i="2262"/>
  <c r="AJ245" i="2262"/>
  <c r="AJ244" i="2262"/>
  <c r="AJ243" i="2262"/>
  <c r="AJ242" i="2262"/>
  <c r="AJ241" i="2262"/>
  <c r="AJ240" i="2262"/>
  <c r="AJ239" i="2262"/>
  <c r="AJ238" i="2262"/>
  <c r="AJ237" i="2262"/>
  <c r="AJ236" i="2262"/>
  <c r="AJ235" i="2262"/>
  <c r="AJ234" i="2262"/>
  <c r="AJ233" i="2262"/>
  <c r="AJ232" i="2262"/>
  <c r="AJ231" i="2262"/>
  <c r="AJ230" i="2262"/>
  <c r="AJ229" i="2262"/>
  <c r="AJ222" i="2262"/>
  <c r="AJ221" i="2262"/>
  <c r="AJ220" i="2262"/>
  <c r="AJ219" i="2262"/>
  <c r="AJ218" i="2262"/>
  <c r="AJ217" i="2262"/>
  <c r="AJ216" i="2262"/>
  <c r="AJ215" i="2262"/>
  <c r="AJ214" i="2262"/>
  <c r="AJ213" i="2262"/>
  <c r="AJ212" i="2262"/>
  <c r="AJ211" i="2262"/>
  <c r="AJ210" i="2262"/>
  <c r="AJ209" i="2262"/>
  <c r="AJ208" i="2262"/>
  <c r="AJ207" i="2262"/>
  <c r="AJ206" i="2262"/>
  <c r="AJ205" i="2262"/>
  <c r="AJ204" i="2262"/>
  <c r="AJ203" i="2262"/>
  <c r="AJ202" i="2262"/>
  <c r="AJ201" i="2262"/>
  <c r="AJ200" i="2262"/>
  <c r="AJ199" i="2262"/>
  <c r="AJ198" i="2262"/>
  <c r="AJ197" i="2262"/>
  <c r="AJ196" i="2262"/>
  <c r="AJ195" i="2262"/>
  <c r="AJ194" i="2262"/>
  <c r="AJ193" i="2262"/>
  <c r="AJ192" i="2262"/>
  <c r="AJ191" i="2262"/>
  <c r="AJ190" i="2262"/>
  <c r="AJ189" i="2262"/>
  <c r="AJ188" i="2262"/>
  <c r="AJ187" i="2262"/>
  <c r="AJ186" i="2262"/>
  <c r="AJ185" i="2262"/>
  <c r="AJ184" i="2262"/>
  <c r="AJ183" i="2262"/>
  <c r="AJ182" i="2262"/>
  <c r="AJ181" i="2262"/>
  <c r="AJ180" i="2262"/>
  <c r="AJ179" i="2262"/>
  <c r="AJ178" i="2262"/>
  <c r="AJ177" i="2262"/>
  <c r="AJ176" i="2262"/>
  <c r="AJ175" i="2262"/>
  <c r="AJ174" i="2262"/>
  <c r="AJ173" i="2262"/>
  <c r="AJ172" i="2262"/>
  <c r="AJ171" i="2262"/>
  <c r="AJ170" i="2262"/>
  <c r="AJ169" i="2262"/>
  <c r="AJ168" i="2262"/>
  <c r="AJ167" i="2262"/>
  <c r="AJ166" i="2262"/>
  <c r="AJ165" i="2262"/>
  <c r="AJ164" i="2262"/>
  <c r="AJ163" i="2262"/>
  <c r="AJ162" i="2262"/>
  <c r="AJ161" i="2262"/>
  <c r="AN161" i="2262" s="1"/>
  <c r="AJ159" i="2262"/>
  <c r="AJ158" i="2262"/>
  <c r="AJ157" i="2262"/>
  <c r="AJ156" i="2262"/>
  <c r="AJ155" i="2262"/>
  <c r="AJ154" i="2262"/>
  <c r="AJ153" i="2262"/>
  <c r="AJ152" i="2262"/>
  <c r="AJ151" i="2262"/>
  <c r="AJ150" i="2262"/>
  <c r="AJ149" i="2262"/>
  <c r="AJ148" i="2262"/>
  <c r="AJ147" i="2262"/>
  <c r="AJ146" i="2262"/>
  <c r="AJ145" i="2262"/>
  <c r="AJ144" i="2262"/>
  <c r="AJ143" i="2262"/>
  <c r="AJ142" i="2262"/>
  <c r="AJ141" i="2262"/>
  <c r="AJ140" i="2262"/>
  <c r="AJ139" i="2262"/>
  <c r="AJ138" i="2262"/>
  <c r="AJ137" i="2262"/>
  <c r="AJ136" i="2262"/>
  <c r="AJ135" i="2262"/>
  <c r="AJ134" i="2262"/>
  <c r="AJ133" i="2262"/>
  <c r="AJ132" i="2262"/>
  <c r="AJ131" i="2262"/>
  <c r="AJ130" i="2262"/>
  <c r="AJ129" i="2262"/>
  <c r="AJ128" i="2262"/>
  <c r="AJ127" i="2262"/>
  <c r="AJ126" i="2262"/>
  <c r="AJ125" i="2262"/>
  <c r="AJ124" i="2262"/>
  <c r="AJ123" i="2262"/>
  <c r="AJ122" i="2262"/>
  <c r="AJ121" i="2262"/>
  <c r="AJ120" i="2262"/>
  <c r="AJ119" i="2262"/>
  <c r="AJ118" i="2262"/>
  <c r="AJ117" i="2262"/>
  <c r="AJ116" i="2262"/>
  <c r="AJ115" i="2262"/>
  <c r="AJ114" i="2262"/>
  <c r="AJ113" i="2262"/>
  <c r="AJ112" i="2262"/>
  <c r="AJ111" i="2262"/>
  <c r="AJ110" i="2262"/>
  <c r="AJ109" i="2262"/>
  <c r="AJ108" i="2262"/>
  <c r="AJ107" i="2262"/>
  <c r="AJ106" i="2262"/>
  <c r="AJ105" i="2262"/>
  <c r="AJ104" i="2262"/>
  <c r="AJ103" i="2262"/>
  <c r="AJ102" i="2262"/>
  <c r="AJ101" i="2262"/>
  <c r="AJ100" i="2262"/>
  <c r="AJ99" i="2262"/>
  <c r="AJ98" i="2262"/>
  <c r="AJ97" i="2262"/>
  <c r="AJ96" i="2262"/>
  <c r="AJ95" i="2262"/>
  <c r="AJ94" i="2262"/>
  <c r="AJ93" i="2262"/>
  <c r="AJ92" i="2262"/>
  <c r="AJ91" i="2262"/>
  <c r="AJ90" i="2262"/>
  <c r="AJ89" i="2262"/>
  <c r="AJ88" i="2262"/>
  <c r="AJ87" i="2262"/>
  <c r="AJ86" i="2262"/>
  <c r="AJ85" i="2262"/>
  <c r="AJ84" i="2262"/>
  <c r="AJ83" i="2262"/>
  <c r="AJ82" i="2262"/>
  <c r="AJ81" i="2262"/>
  <c r="AJ80" i="2262"/>
  <c r="AJ79" i="2262"/>
  <c r="AJ78" i="2262"/>
  <c r="AJ77" i="2262"/>
  <c r="AJ76" i="2262"/>
  <c r="AJ75" i="2262"/>
  <c r="AJ74" i="2262"/>
  <c r="AJ73" i="2262"/>
  <c r="AJ72" i="2262"/>
  <c r="AJ71" i="2262"/>
  <c r="AJ70" i="2262"/>
  <c r="AJ69" i="2262"/>
  <c r="AJ68" i="2262"/>
  <c r="AJ67" i="2262"/>
  <c r="AJ66" i="2262"/>
  <c r="AJ65" i="2262"/>
  <c r="AJ64" i="2262"/>
  <c r="AJ63" i="2262"/>
  <c r="AJ62" i="2262"/>
  <c r="AJ61" i="2262"/>
  <c r="AJ60" i="2262"/>
  <c r="AJ59" i="2262"/>
  <c r="AJ58" i="2262"/>
  <c r="AJ57" i="2262"/>
  <c r="AJ56" i="2262"/>
  <c r="AJ55" i="2262"/>
  <c r="AJ54" i="2262"/>
  <c r="AJ53" i="2262"/>
  <c r="AJ52" i="2262"/>
  <c r="AJ51" i="2262"/>
  <c r="AJ50" i="2262"/>
  <c r="AJ49" i="2262"/>
  <c r="AJ48" i="2262"/>
  <c r="AJ47" i="2262"/>
  <c r="AJ45" i="2262"/>
  <c r="AJ44" i="2262"/>
  <c r="AJ43" i="2262"/>
  <c r="AJ42" i="2262"/>
  <c r="AJ41" i="2262"/>
  <c r="AJ40" i="2262"/>
  <c r="AJ39" i="2262"/>
  <c r="AJ38" i="2262"/>
  <c r="AJ37" i="2262"/>
  <c r="AJ36" i="2262"/>
  <c r="AJ35" i="2262"/>
  <c r="AJ34" i="2262"/>
  <c r="AJ33" i="2262"/>
  <c r="AJ32" i="2262"/>
  <c r="AJ31" i="2262"/>
  <c r="AJ30" i="2262"/>
  <c r="AJ29" i="2262"/>
  <c r="AJ28" i="2262"/>
  <c r="AJ27" i="2262"/>
  <c r="AJ26" i="2262"/>
  <c r="AJ25" i="2262"/>
  <c r="AJ24" i="2262"/>
  <c r="AJ23" i="2262"/>
  <c r="AJ22" i="2262"/>
  <c r="AJ21" i="2262"/>
  <c r="AJ20" i="2262"/>
  <c r="AJ19" i="2262"/>
  <c r="AJ18" i="2262"/>
  <c r="AJ17" i="2262"/>
  <c r="AJ16" i="2262"/>
  <c r="AJ15" i="2262"/>
  <c r="AJ14" i="2262"/>
  <c r="AJ13" i="2262"/>
  <c r="AJ12" i="2262"/>
  <c r="AJ11" i="2262"/>
  <c r="AJ10" i="2262"/>
  <c r="AJ9" i="2262"/>
  <c r="AJ8" i="2262"/>
  <c r="AJ7" i="2262"/>
  <c r="L48" i="2273"/>
  <c r="AJ46" i="2262" l="1"/>
  <c r="R89" i="2262" l="1"/>
  <c r="P171" i="2262" l="1"/>
  <c r="P170" i="2262"/>
  <c r="P169" i="2262"/>
  <c r="P168" i="2262"/>
  <c r="P172" i="2262"/>
  <c r="AG143" i="2262" l="1"/>
  <c r="AF143" i="2262"/>
  <c r="AF234" i="2262" l="1"/>
  <c r="AG192" i="2262"/>
  <c r="AF192" i="2262"/>
  <c r="AF204" i="2262" l="1"/>
  <c r="AF242" i="2262"/>
  <c r="AF220" i="2262"/>
  <c r="AF212" i="2262"/>
  <c r="AF196" i="2262"/>
  <c r="AF280" i="2262"/>
  <c r="AF272" i="2262"/>
  <c r="AF268" i="2262"/>
  <c r="AF264" i="2262"/>
  <c r="AF260" i="2262"/>
  <c r="AF256" i="2262"/>
  <c r="AF252" i="2262"/>
  <c r="AF248" i="2262"/>
  <c r="AF244" i="2262"/>
  <c r="AF301" i="2262"/>
  <c r="AF287" i="2262"/>
  <c r="AF285" i="2262"/>
  <c r="AF283" i="2262"/>
  <c r="AF281" i="2262"/>
  <c r="AF279" i="2262"/>
  <c r="AF277" i="2262"/>
  <c r="AF275" i="2262"/>
  <c r="AF273" i="2262"/>
  <c r="AF271" i="2262"/>
  <c r="AF269" i="2262"/>
  <c r="AF267" i="2262"/>
  <c r="AF265" i="2262"/>
  <c r="AF263" i="2262"/>
  <c r="AF261" i="2262"/>
  <c r="AF259" i="2262"/>
  <c r="AF257" i="2262"/>
  <c r="AF255" i="2262"/>
  <c r="AF253" i="2262"/>
  <c r="AF251" i="2262"/>
  <c r="AF249" i="2262"/>
  <c r="AF247" i="2262"/>
  <c r="AF245" i="2262"/>
  <c r="AF243" i="2262"/>
  <c r="AF241" i="2262"/>
  <c r="AF239" i="2262"/>
  <c r="AF237" i="2262"/>
  <c r="AF235" i="2262"/>
  <c r="AF233" i="2262"/>
  <c r="AF231" i="2262"/>
  <c r="AF229" i="2262"/>
  <c r="AF221" i="2262"/>
  <c r="AF219" i="2262"/>
  <c r="AF217" i="2262"/>
  <c r="AF215" i="2262"/>
  <c r="AF213" i="2262"/>
  <c r="AF211" i="2262"/>
  <c r="AF209" i="2262"/>
  <c r="AF207" i="2262"/>
  <c r="AF205" i="2262"/>
  <c r="AF203" i="2262"/>
  <c r="AF201" i="2262"/>
  <c r="AF199" i="2262"/>
  <c r="AF197" i="2262"/>
  <c r="AF195" i="2262"/>
  <c r="AF193" i="2262"/>
  <c r="AF288" i="2262"/>
  <c r="AF289" i="2262" s="1"/>
  <c r="AF290" i="2262" s="1"/>
  <c r="AF291" i="2262" s="1"/>
  <c r="AF292" i="2262" s="1"/>
  <c r="AF293" i="2262" s="1"/>
  <c r="AF294" i="2262" s="1"/>
  <c r="AF295" i="2262" s="1"/>
  <c r="AF296" i="2262" s="1"/>
  <c r="AF297" i="2262" s="1"/>
  <c r="AF298" i="2262" s="1"/>
  <c r="AF299" i="2262" s="1"/>
  <c r="AF300" i="2262" s="1"/>
  <c r="AF286" i="2262"/>
  <c r="AF284" i="2262"/>
  <c r="AF282" i="2262"/>
  <c r="AF278" i="2262"/>
  <c r="AF276" i="2262"/>
  <c r="AF274" i="2262"/>
  <c r="AF270" i="2262"/>
  <c r="AF266" i="2262"/>
  <c r="AF262" i="2262"/>
  <c r="AF258" i="2262"/>
  <c r="AF254" i="2262"/>
  <c r="AF250" i="2262"/>
  <c r="AF246" i="2262"/>
  <c r="AF198" i="2262"/>
  <c r="AF206" i="2262"/>
  <c r="AF214" i="2262"/>
  <c r="AF222" i="2262"/>
  <c r="AF223" i="2262" s="1"/>
  <c r="AF224" i="2262" s="1"/>
  <c r="AF225" i="2262" s="1"/>
  <c r="AF226" i="2262" s="1"/>
  <c r="AF227" i="2262" s="1"/>
  <c r="AF228" i="2262" s="1"/>
  <c r="AF236" i="2262"/>
  <c r="AF200" i="2262"/>
  <c r="AF208" i="2262"/>
  <c r="AF216" i="2262"/>
  <c r="AF230" i="2262"/>
  <c r="AF238" i="2262"/>
  <c r="AF194" i="2262"/>
  <c r="AF202" i="2262"/>
  <c r="AF210" i="2262"/>
  <c r="AF218" i="2262"/>
  <c r="AF232" i="2262"/>
  <c r="AF240" i="2262"/>
  <c r="AG194" i="2262"/>
  <c r="AG196" i="2262"/>
  <c r="AG200" i="2262"/>
  <c r="AG202" i="2262"/>
  <c r="AG206" i="2262"/>
  <c r="AG210" i="2262"/>
  <c r="AG214" i="2262"/>
  <c r="AG218" i="2262"/>
  <c r="AG220" i="2262"/>
  <c r="AG230" i="2262"/>
  <c r="AG232" i="2262"/>
  <c r="AG236" i="2262"/>
  <c r="AG240" i="2262"/>
  <c r="AG244" i="2262"/>
  <c r="AG248" i="2262"/>
  <c r="AG254" i="2262"/>
  <c r="AG258" i="2262"/>
  <c r="AG262" i="2262"/>
  <c r="AG266" i="2262"/>
  <c r="AG272" i="2262"/>
  <c r="AG274" i="2262"/>
  <c r="AG278" i="2262"/>
  <c r="AG282" i="2262"/>
  <c r="AG284" i="2262"/>
  <c r="AG288" i="2262"/>
  <c r="AG289" i="2262" s="1"/>
  <c r="AG290" i="2262" s="1"/>
  <c r="AG291" i="2262" s="1"/>
  <c r="AG292" i="2262" s="1"/>
  <c r="AG293" i="2262" s="1"/>
  <c r="AG294" i="2262" s="1"/>
  <c r="AG295" i="2262" s="1"/>
  <c r="AG296" i="2262" s="1"/>
  <c r="AG297" i="2262" s="1"/>
  <c r="AG298" i="2262" s="1"/>
  <c r="AG299" i="2262" s="1"/>
  <c r="AG300" i="2262" s="1"/>
  <c r="AG198" i="2262"/>
  <c r="AG204" i="2262"/>
  <c r="AG208" i="2262"/>
  <c r="AG212" i="2262"/>
  <c r="AG216" i="2262"/>
  <c r="AG222" i="2262"/>
  <c r="AG223" i="2262" s="1"/>
  <c r="AG224" i="2262" s="1"/>
  <c r="AG225" i="2262" s="1"/>
  <c r="AG226" i="2262" s="1"/>
  <c r="AG227" i="2262" s="1"/>
  <c r="AG228" i="2262" s="1"/>
  <c r="AG234" i="2262"/>
  <c r="AG238" i="2262"/>
  <c r="AG242" i="2262"/>
  <c r="AG246" i="2262"/>
  <c r="AG250" i="2262"/>
  <c r="AG252" i="2262"/>
  <c r="AG256" i="2262"/>
  <c r="AG260" i="2262"/>
  <c r="AG264" i="2262"/>
  <c r="AG268" i="2262"/>
  <c r="AG270" i="2262"/>
  <c r="AG276" i="2262"/>
  <c r="AG280" i="2262"/>
  <c r="AG286" i="2262"/>
  <c r="AG193" i="2262"/>
  <c r="AG195" i="2262"/>
  <c r="AG197" i="2262"/>
  <c r="AG199" i="2262"/>
  <c r="AG201" i="2262"/>
  <c r="AG203" i="2262"/>
  <c r="AG205" i="2262"/>
  <c r="AG207" i="2262"/>
  <c r="AG209" i="2262"/>
  <c r="AG211" i="2262"/>
  <c r="AG213" i="2262"/>
  <c r="AG215" i="2262"/>
  <c r="AG217" i="2262"/>
  <c r="AG219" i="2262"/>
  <c r="AG221" i="2262"/>
  <c r="AG229" i="2262"/>
  <c r="AG231" i="2262"/>
  <c r="AG233" i="2262"/>
  <c r="AG235" i="2262"/>
  <c r="AG237" i="2262"/>
  <c r="AG239" i="2262"/>
  <c r="AG241" i="2262"/>
  <c r="AG243" i="2262"/>
  <c r="AG245" i="2262"/>
  <c r="AG247" i="2262"/>
  <c r="AG249" i="2262"/>
  <c r="AG251" i="2262"/>
  <c r="AG253" i="2262"/>
  <c r="AG255" i="2262"/>
  <c r="AG257" i="2262"/>
  <c r="AG259" i="2262"/>
  <c r="AG261" i="2262"/>
  <c r="AG263" i="2262"/>
  <c r="AG265" i="2262"/>
  <c r="AG267" i="2262"/>
  <c r="AG269" i="2262"/>
  <c r="AG271" i="2262"/>
  <c r="AG273" i="2262"/>
  <c r="AG275" i="2262"/>
  <c r="AG277" i="2262"/>
  <c r="AG279" i="2262"/>
  <c r="AG281" i="2262"/>
  <c r="AG283" i="2262"/>
  <c r="AG285" i="2262"/>
  <c r="AG287" i="2262"/>
  <c r="AG301" i="2262"/>
  <c r="AG191" i="2262" l="1"/>
  <c r="AF191" i="2262"/>
  <c r="AG190" i="2262"/>
  <c r="AF190" i="2262"/>
  <c r="AG189" i="2262"/>
  <c r="AF189" i="2262"/>
  <c r="AG188" i="2262"/>
  <c r="AF188" i="2262"/>
  <c r="AG187" i="2262"/>
  <c r="AF187" i="2262"/>
  <c r="AG186" i="2262"/>
  <c r="AF186" i="2262"/>
  <c r="AG185" i="2262"/>
  <c r="AF185" i="2262"/>
  <c r="AG184" i="2262"/>
  <c r="AF184" i="2262"/>
  <c r="AG183" i="2262"/>
  <c r="AF183" i="2262"/>
  <c r="AG182" i="2262"/>
  <c r="AF182" i="2262"/>
  <c r="AG181" i="2262"/>
  <c r="AF181" i="2262"/>
  <c r="AG180" i="2262"/>
  <c r="AF180" i="2262"/>
  <c r="AG179" i="2262"/>
  <c r="AF179" i="2262"/>
  <c r="AG178" i="2262"/>
  <c r="AF178" i="2262"/>
  <c r="AG177" i="2262"/>
  <c r="AF177" i="2262"/>
  <c r="AG176" i="2262"/>
  <c r="AF176" i="2262"/>
  <c r="AG175" i="2262"/>
  <c r="AF175" i="2262"/>
  <c r="AG174" i="2262"/>
  <c r="AF174" i="2262"/>
  <c r="AG173" i="2262"/>
  <c r="AF173" i="2262"/>
  <c r="AG172" i="2262"/>
  <c r="AF172" i="2262"/>
  <c r="AG171" i="2262"/>
  <c r="AF171" i="2262"/>
  <c r="AG170" i="2262"/>
  <c r="AF170" i="2262"/>
  <c r="AG169" i="2262"/>
  <c r="AF169" i="2262"/>
  <c r="AG168" i="2262"/>
  <c r="AF168" i="2262"/>
  <c r="AG167" i="2262"/>
  <c r="AF167" i="2262"/>
  <c r="AG166" i="2262"/>
  <c r="AF166" i="2262"/>
  <c r="AG165" i="2262"/>
  <c r="AF165" i="2262"/>
  <c r="AG164" i="2262"/>
  <c r="AF164" i="2262"/>
  <c r="AG163" i="2262"/>
  <c r="AF163" i="2262"/>
  <c r="AG162" i="2262"/>
  <c r="AF162" i="2262"/>
  <c r="AG161" i="2262"/>
  <c r="AF161" i="2262"/>
  <c r="AG160" i="2262"/>
  <c r="AF160" i="2262"/>
  <c r="AG159" i="2262"/>
  <c r="AF159" i="2262"/>
  <c r="AG158" i="2262"/>
  <c r="AF158" i="2262"/>
  <c r="AG157" i="2262"/>
  <c r="AF157" i="2262"/>
  <c r="AG156" i="2262"/>
  <c r="AF156" i="2262"/>
  <c r="AG155" i="2262"/>
  <c r="AF155" i="2262"/>
  <c r="AG154" i="2262"/>
  <c r="AF154" i="2262"/>
  <c r="AG153" i="2262"/>
  <c r="AF153" i="2262"/>
  <c r="AG152" i="2262"/>
  <c r="AF152" i="2262"/>
  <c r="AG151" i="2262"/>
  <c r="AF151" i="2262"/>
  <c r="AG150" i="2262"/>
  <c r="AF150" i="2262"/>
  <c r="AG149" i="2262"/>
  <c r="AF149" i="2262"/>
  <c r="AG148" i="2262"/>
  <c r="AF148" i="2262"/>
  <c r="AG147" i="2262"/>
  <c r="AF147" i="2262"/>
  <c r="AG146" i="2262"/>
  <c r="AF146" i="2262"/>
  <c r="AG145" i="2262"/>
  <c r="AF145" i="2262"/>
  <c r="AG144" i="2262"/>
  <c r="AF144" i="2262"/>
  <c r="AG142" i="2262"/>
  <c r="AF142" i="2262"/>
  <c r="AG141" i="2262"/>
  <c r="AF141" i="2262"/>
  <c r="AG140" i="2262"/>
  <c r="AF140" i="2262"/>
  <c r="AG139" i="2262"/>
  <c r="AF139" i="2262"/>
  <c r="AG138" i="2262"/>
  <c r="AF138" i="2262"/>
  <c r="AG137" i="2262"/>
  <c r="AF137" i="2262"/>
  <c r="AG136" i="2262"/>
  <c r="AF136" i="2262"/>
  <c r="AG135" i="2262"/>
  <c r="AF135" i="2262"/>
  <c r="AG134" i="2262"/>
  <c r="AF134" i="2262"/>
  <c r="AG133" i="2262"/>
  <c r="AF133" i="2262"/>
  <c r="AG132" i="2262"/>
  <c r="AF132" i="2262"/>
  <c r="AG131" i="2262"/>
  <c r="AF131" i="2262"/>
  <c r="AG130" i="2262"/>
  <c r="AF130" i="2262"/>
  <c r="AG129" i="2262"/>
  <c r="AF129" i="2262"/>
  <c r="AG128" i="2262"/>
  <c r="AF128" i="2262"/>
  <c r="AG127" i="2262"/>
  <c r="AF127" i="2262"/>
  <c r="AG126" i="2262"/>
  <c r="AF126" i="2262"/>
  <c r="AG125" i="2262"/>
  <c r="AF125" i="2262"/>
  <c r="AG124" i="2262"/>
  <c r="AF124" i="2262"/>
  <c r="AG123" i="2262"/>
  <c r="AF123" i="2262"/>
  <c r="AG122" i="2262"/>
  <c r="AF122" i="2262"/>
  <c r="AG121" i="2262"/>
  <c r="AF121" i="2262"/>
  <c r="AG120" i="2262"/>
  <c r="AF120" i="2262"/>
  <c r="AG119" i="2262"/>
  <c r="AF119" i="2262"/>
  <c r="AG118" i="2262"/>
  <c r="AF118" i="2262"/>
  <c r="AG117" i="2262"/>
  <c r="AF117" i="2262"/>
  <c r="AG116" i="2262"/>
  <c r="AF116" i="2262"/>
  <c r="AG115" i="2262"/>
  <c r="AF115" i="2262"/>
  <c r="AG114" i="2262"/>
  <c r="AF114" i="2262"/>
  <c r="AG113" i="2262"/>
  <c r="AF113" i="2262"/>
  <c r="AG112" i="2262"/>
  <c r="AF112" i="2262"/>
  <c r="AG111" i="2262"/>
  <c r="AF111" i="2262"/>
  <c r="AG110" i="2262"/>
  <c r="AF110" i="2262"/>
  <c r="AG109" i="2262"/>
  <c r="AF109" i="2262"/>
  <c r="AG108" i="2262"/>
  <c r="AF108" i="2262"/>
  <c r="AG107" i="2262"/>
  <c r="AF107" i="2262"/>
  <c r="AG106" i="2262"/>
  <c r="AF106" i="2262"/>
  <c r="AG105" i="2262"/>
  <c r="AF105" i="2262"/>
  <c r="AG104" i="2262"/>
  <c r="AF104" i="2262"/>
  <c r="AG103" i="2262"/>
  <c r="AF103" i="2262"/>
  <c r="AG102" i="2262"/>
  <c r="AF102" i="2262"/>
  <c r="AG101" i="2262"/>
  <c r="AF101" i="2262"/>
  <c r="AG100" i="2262"/>
  <c r="AF100" i="2262"/>
  <c r="AG99" i="2262"/>
  <c r="AF99" i="2262"/>
  <c r="AG98" i="2262"/>
  <c r="AF98" i="2262"/>
  <c r="AG97" i="2262"/>
  <c r="AF97" i="2262"/>
  <c r="AG96" i="2262"/>
  <c r="AF96" i="2262"/>
  <c r="AG95" i="2262"/>
  <c r="AF95" i="2262"/>
  <c r="AG94" i="2262"/>
  <c r="AF94" i="2262"/>
  <c r="AG93" i="2262"/>
  <c r="AF93" i="2262"/>
  <c r="AG92" i="2262"/>
  <c r="AF92" i="2262"/>
  <c r="AG91" i="2262"/>
  <c r="AF91" i="2262"/>
  <c r="AG90" i="2262"/>
  <c r="AF90" i="2262"/>
  <c r="AG89" i="2262"/>
  <c r="AF89" i="2262"/>
  <c r="AG88" i="2262"/>
  <c r="AF88" i="2262"/>
  <c r="AG87" i="2262"/>
  <c r="AF87" i="2262"/>
  <c r="AG86" i="2262"/>
  <c r="AF86" i="2262"/>
  <c r="AG85" i="2262"/>
  <c r="AF85" i="2262"/>
  <c r="AG84" i="2262"/>
  <c r="AF84" i="2262"/>
  <c r="AG83" i="2262"/>
  <c r="AF83" i="2262"/>
  <c r="AG82" i="2262"/>
  <c r="AF82" i="2262"/>
  <c r="AG81" i="2262"/>
  <c r="AF81" i="2262"/>
  <c r="AG80" i="2262"/>
  <c r="AF80" i="2262"/>
  <c r="AG79" i="2262"/>
  <c r="AF79" i="2262"/>
  <c r="AG78" i="2262"/>
  <c r="AF78" i="2262"/>
  <c r="AG77" i="2262"/>
  <c r="AF77" i="2262"/>
  <c r="AG76" i="2262"/>
  <c r="AF76" i="2262"/>
  <c r="AG75" i="2262"/>
  <c r="AF75" i="2262"/>
  <c r="AG74" i="2262"/>
  <c r="AF74" i="2262"/>
  <c r="AG73" i="2262"/>
  <c r="AF73" i="2262"/>
  <c r="AG72" i="2262"/>
  <c r="AF72" i="2262"/>
  <c r="AG71" i="2262"/>
  <c r="AF71" i="2262"/>
  <c r="AG70" i="2262"/>
  <c r="AF70" i="2262"/>
  <c r="AG69" i="2262"/>
  <c r="AF69" i="2262"/>
  <c r="AG68" i="2262"/>
  <c r="AF68" i="2262"/>
  <c r="AG67" i="2262"/>
  <c r="AF67" i="2262"/>
  <c r="AG66" i="2262"/>
  <c r="AF66" i="2262"/>
  <c r="AG65" i="2262"/>
  <c r="AF65" i="2262"/>
  <c r="AG64" i="2262"/>
  <c r="AF64" i="2262"/>
  <c r="AG63" i="2262"/>
  <c r="AF63" i="2262"/>
  <c r="AG62" i="2262"/>
  <c r="AF62" i="2262"/>
  <c r="AG61" i="2262"/>
  <c r="AF61" i="2262"/>
  <c r="AG60" i="2262"/>
  <c r="AF60" i="2262"/>
  <c r="AG59" i="2262"/>
  <c r="AF59" i="2262"/>
  <c r="AG58" i="2262"/>
  <c r="AF58" i="2262"/>
  <c r="AG57" i="2262"/>
  <c r="AF57" i="2262"/>
  <c r="AG56" i="2262"/>
  <c r="AF56" i="2262"/>
  <c r="AG55" i="2262"/>
  <c r="AF55" i="2262"/>
  <c r="AG54" i="2262"/>
  <c r="AG46" i="2262" s="1"/>
  <c r="AF54" i="2262"/>
  <c r="AF46" i="2262" s="1"/>
  <c r="AG53" i="2262"/>
  <c r="AF53" i="2262"/>
  <c r="AG52" i="2262"/>
  <c r="AF52" i="2262"/>
  <c r="AG51" i="2262"/>
  <c r="AF51" i="2262"/>
  <c r="AG50" i="2262"/>
  <c r="AF50" i="2262"/>
  <c r="AG49" i="2262"/>
  <c r="AF49" i="2262"/>
  <c r="AG48" i="2262"/>
  <c r="AF48" i="2262"/>
  <c r="AG47" i="2262"/>
  <c r="AF47" i="2262"/>
  <c r="AG45" i="2262"/>
  <c r="AF45" i="2262"/>
  <c r="AG44" i="2262"/>
  <c r="AF44" i="2262"/>
  <c r="AG43" i="2262"/>
  <c r="AF43" i="2262"/>
  <c r="AG42" i="2262"/>
  <c r="AF42" i="2262"/>
  <c r="AG41" i="2262"/>
  <c r="AF41" i="2262"/>
  <c r="AG40" i="2262"/>
  <c r="AF40" i="2262"/>
  <c r="AG39" i="2262"/>
  <c r="AF39" i="2262"/>
  <c r="AG38" i="2262"/>
  <c r="AF38" i="2262"/>
  <c r="AG37" i="2262"/>
  <c r="AF37" i="2262"/>
  <c r="AG36" i="2262"/>
  <c r="AF36" i="2262"/>
  <c r="AG35" i="2262"/>
  <c r="AF35" i="2262"/>
  <c r="AG34" i="2262"/>
  <c r="AF34" i="2262"/>
  <c r="AG33" i="2262"/>
  <c r="AF33" i="2262"/>
  <c r="AG32" i="2262"/>
  <c r="AF32" i="2262"/>
  <c r="AG31" i="2262"/>
  <c r="AF31" i="2262"/>
  <c r="AG30" i="2262"/>
  <c r="AF30" i="2262"/>
  <c r="AG29" i="2262"/>
  <c r="AF29" i="2262"/>
  <c r="AG28" i="2262"/>
  <c r="AF28" i="2262"/>
  <c r="AG27" i="2262"/>
  <c r="AF27" i="2262"/>
  <c r="AG26" i="2262"/>
  <c r="AF26" i="2262"/>
  <c r="AG25" i="2262"/>
  <c r="AF25" i="2262"/>
  <c r="AG24" i="2262"/>
  <c r="AF24" i="2262"/>
  <c r="AG23" i="2262"/>
  <c r="AF23" i="2262"/>
  <c r="AG22" i="2262"/>
  <c r="AF22" i="2262"/>
  <c r="AG21" i="2262"/>
  <c r="AF21" i="2262"/>
  <c r="AG20" i="2262"/>
  <c r="AF20" i="2262"/>
  <c r="AG19" i="2262"/>
  <c r="AF19" i="2262"/>
  <c r="AG18" i="2262"/>
  <c r="AF18" i="2262"/>
  <c r="AG17" i="2262"/>
  <c r="AF17" i="2262"/>
  <c r="AG16" i="2262"/>
  <c r="AF16" i="2262"/>
  <c r="AG15" i="2262"/>
  <c r="AF15" i="2262"/>
  <c r="AG14" i="2262"/>
  <c r="AF14" i="2262"/>
  <c r="AG13" i="2262"/>
  <c r="AF13" i="2262"/>
  <c r="AG12" i="2262"/>
  <c r="AF12" i="2262"/>
  <c r="AG11" i="2262"/>
  <c r="AF11" i="2262"/>
  <c r="AG10" i="2262"/>
  <c r="AF10" i="2262"/>
  <c r="AG9" i="2262"/>
  <c r="AF9" i="2262"/>
  <c r="AG8" i="2262"/>
  <c r="AF8" i="2262"/>
  <c r="AF7" i="2262"/>
  <c r="AG7" i="2262"/>
  <c r="I2" i="2262" l="1"/>
  <c r="U11" i="2262" s="1"/>
  <c r="AM4" i="2262"/>
  <c r="F44" i="2262"/>
  <c r="G44" i="2262" s="1"/>
  <c r="H44" i="2262"/>
  <c r="I44" i="2262" s="1"/>
  <c r="J44" i="2262"/>
  <c r="K44" i="2262" s="1"/>
  <c r="F45" i="2262"/>
  <c r="G45" i="2262" s="1"/>
  <c r="H46" i="2262"/>
  <c r="I46" i="2262" s="1"/>
  <c r="R47" i="2262"/>
  <c r="R48" i="2262"/>
  <c r="R49" i="2262"/>
  <c r="R50" i="2262"/>
  <c r="R51" i="2262"/>
  <c r="R53" i="2262"/>
  <c r="R54" i="2262"/>
  <c r="R46" i="2262" s="1"/>
  <c r="R55" i="2262"/>
  <c r="R56" i="2262"/>
  <c r="R57" i="2262"/>
  <c r="R58" i="2262"/>
  <c r="R59" i="2262"/>
  <c r="R60" i="2262"/>
  <c r="R61" i="2262"/>
  <c r="R62" i="2262"/>
  <c r="R63" i="2262"/>
  <c r="R64" i="2262"/>
  <c r="R65" i="2262"/>
  <c r="R66" i="2262"/>
  <c r="R68" i="2262"/>
  <c r="R69" i="2262"/>
  <c r="R70" i="2262"/>
  <c r="R72" i="2262"/>
  <c r="R74" i="2262"/>
  <c r="R75" i="2262"/>
  <c r="R76" i="2262"/>
  <c r="R77" i="2262"/>
  <c r="R78" i="2262"/>
  <c r="R79" i="2262"/>
  <c r="R80" i="2262"/>
  <c r="R82" i="2262"/>
  <c r="R83" i="2262"/>
  <c r="R84" i="2262"/>
  <c r="H86" i="2262"/>
  <c r="I86" i="2262" s="1"/>
  <c r="R86" i="2262"/>
  <c r="H87" i="2262"/>
  <c r="I87" i="2262" s="1"/>
  <c r="R87" i="2262"/>
  <c r="R45" i="2262" s="1"/>
  <c r="H88" i="2262"/>
  <c r="I88" i="2262" s="1"/>
  <c r="R88" i="2262"/>
  <c r="F89" i="2262"/>
  <c r="G89" i="2262" s="1"/>
  <c r="R90" i="2262"/>
  <c r="R91" i="2262"/>
  <c r="H92" i="2262"/>
  <c r="I92" i="2262" s="1"/>
  <c r="R92" i="2262"/>
  <c r="H93" i="2262"/>
  <c r="I93" i="2262" s="1"/>
  <c r="R93" i="2262"/>
  <c r="R94" i="2262"/>
  <c r="R95" i="2262"/>
  <c r="R97" i="2262"/>
  <c r="R98" i="2262"/>
  <c r="R99" i="2262"/>
  <c r="R100" i="2262"/>
  <c r="S103" i="2262"/>
  <c r="S104" i="2262"/>
  <c r="S105" i="2262"/>
  <c r="S106" i="2262"/>
  <c r="S107" i="2262"/>
  <c r="S108" i="2262"/>
  <c r="S109" i="2262"/>
  <c r="S110" i="2262"/>
  <c r="R111" i="2262"/>
  <c r="S111" i="2262"/>
  <c r="R112" i="2262"/>
  <c r="S112" i="2262"/>
  <c r="F113" i="2262"/>
  <c r="G113" i="2262" s="1"/>
  <c r="R113" i="2262"/>
  <c r="S113" i="2262"/>
  <c r="F114" i="2262"/>
  <c r="G114" i="2262" s="1"/>
  <c r="R114" i="2262"/>
  <c r="S114" i="2262"/>
  <c r="F115" i="2262"/>
  <c r="G115" i="2262" s="1"/>
  <c r="R115" i="2262"/>
  <c r="S115" i="2262"/>
  <c r="F116" i="2262"/>
  <c r="G116" i="2262" s="1"/>
  <c r="R116" i="2262"/>
  <c r="S116" i="2262"/>
  <c r="F117" i="2262"/>
  <c r="G117" i="2262" s="1"/>
  <c r="R117" i="2262"/>
  <c r="S117" i="2262"/>
  <c r="R118" i="2262"/>
  <c r="R119" i="2262"/>
  <c r="R120" i="2262"/>
  <c r="R121" i="2262"/>
  <c r="R122" i="2262"/>
  <c r="R123" i="2262"/>
  <c r="R125" i="2262"/>
  <c r="R126" i="2262"/>
  <c r="R127" i="2262"/>
  <c r="R128" i="2262"/>
  <c r="R129" i="2262"/>
  <c r="R131" i="2262"/>
  <c r="R132" i="2262"/>
  <c r="R133" i="2262"/>
  <c r="R135" i="2262"/>
  <c r="R136" i="2262"/>
  <c r="R138" i="2262"/>
  <c r="R140" i="2262"/>
  <c r="R141" i="2262"/>
  <c r="R142" i="2262"/>
  <c r="R143" i="2262"/>
  <c r="R144" i="2262"/>
  <c r="R145" i="2262"/>
  <c r="R146" i="2262"/>
  <c r="R147" i="2262"/>
  <c r="R150" i="2262"/>
  <c r="R151" i="2262"/>
  <c r="R152" i="2262"/>
  <c r="R153" i="2262"/>
  <c r="R154" i="2262"/>
  <c r="R155" i="2262"/>
  <c r="R156" i="2262"/>
  <c r="R157" i="2262"/>
  <c r="F158" i="2262"/>
  <c r="G158" i="2262" s="1"/>
  <c r="R159" i="2262"/>
  <c r="R160" i="2262"/>
  <c r="R161" i="2262"/>
  <c r="R162" i="2262"/>
  <c r="R163" i="2262"/>
  <c r="R164" i="2262"/>
  <c r="R165" i="2262"/>
  <c r="R166" i="2262"/>
  <c r="R167" i="2262"/>
  <c r="H175" i="2262"/>
  <c r="I175" i="2262" s="1"/>
  <c r="R175" i="2262"/>
  <c r="H176" i="2262"/>
  <c r="I176" i="2262" s="1"/>
  <c r="R176" i="2262"/>
  <c r="H177" i="2262"/>
  <c r="I177" i="2262" s="1"/>
  <c r="R177" i="2262"/>
  <c r="H178" i="2262"/>
  <c r="I178" i="2262" s="1"/>
  <c r="R178" i="2262"/>
  <c r="R179" i="2262"/>
  <c r="R180" i="2262"/>
  <c r="H181" i="2262"/>
  <c r="I181" i="2262" s="1"/>
  <c r="R181" i="2262"/>
  <c r="H182" i="2262"/>
  <c r="I182" i="2262" s="1"/>
  <c r="R182" i="2262"/>
  <c r="H183" i="2262"/>
  <c r="I183" i="2262" s="1"/>
  <c r="R183" i="2262"/>
  <c r="R184" i="2262"/>
  <c r="R185" i="2262"/>
  <c r="H186" i="2262"/>
  <c r="I186" i="2262" s="1"/>
  <c r="R186" i="2262"/>
  <c r="R190" i="2262"/>
  <c r="R192" i="2262"/>
  <c r="E193" i="2262"/>
  <c r="F193" i="2262"/>
  <c r="G193" i="2262" s="1"/>
  <c r="P193" i="2262"/>
  <c r="S193" i="2262"/>
  <c r="E194" i="2262"/>
  <c r="F194" i="2262"/>
  <c r="G194" i="2262" s="1"/>
  <c r="P194" i="2262"/>
  <c r="S194" i="2262"/>
  <c r="E195" i="2262"/>
  <c r="F195" i="2262"/>
  <c r="G195" i="2262" s="1"/>
  <c r="P195" i="2262"/>
  <c r="S195" i="2262"/>
  <c r="E196" i="2262"/>
  <c r="F196" i="2262"/>
  <c r="G196" i="2262" s="1"/>
  <c r="P196" i="2262"/>
  <c r="S196" i="2262"/>
  <c r="E197" i="2262"/>
  <c r="F197" i="2262"/>
  <c r="G197" i="2262" s="1"/>
  <c r="P197" i="2262"/>
  <c r="S197" i="2262"/>
  <c r="E198" i="2262"/>
  <c r="F198" i="2262"/>
  <c r="G198" i="2262" s="1"/>
  <c r="P198" i="2262"/>
  <c r="S198" i="2262"/>
  <c r="E199" i="2262"/>
  <c r="F199" i="2262"/>
  <c r="G199" i="2262" s="1"/>
  <c r="P199" i="2262"/>
  <c r="S199" i="2262"/>
  <c r="E200" i="2262"/>
  <c r="F200" i="2262"/>
  <c r="G200" i="2262" s="1"/>
  <c r="P200" i="2262"/>
  <c r="S200" i="2262"/>
  <c r="E201" i="2262"/>
  <c r="F201" i="2262"/>
  <c r="G201" i="2262" s="1"/>
  <c r="P201" i="2262"/>
  <c r="S201" i="2262"/>
  <c r="E202" i="2262"/>
  <c r="F202" i="2262"/>
  <c r="G202" i="2262" s="1"/>
  <c r="P202" i="2262"/>
  <c r="S202" i="2262"/>
  <c r="E203" i="2262"/>
  <c r="F203" i="2262"/>
  <c r="G203" i="2262" s="1"/>
  <c r="P203" i="2262"/>
  <c r="S203" i="2262"/>
  <c r="E204" i="2262"/>
  <c r="F204" i="2262"/>
  <c r="G204" i="2262" s="1"/>
  <c r="P204" i="2262"/>
  <c r="S204" i="2262"/>
  <c r="E205" i="2262"/>
  <c r="F205" i="2262"/>
  <c r="G205" i="2262" s="1"/>
  <c r="P205" i="2262"/>
  <c r="S205" i="2262"/>
  <c r="E206" i="2262"/>
  <c r="F206" i="2262"/>
  <c r="G206" i="2262" s="1"/>
  <c r="P206" i="2262"/>
  <c r="S206" i="2262"/>
  <c r="E207" i="2262"/>
  <c r="F207" i="2262"/>
  <c r="G207" i="2262" s="1"/>
  <c r="P207" i="2262"/>
  <c r="S207" i="2262"/>
  <c r="E208" i="2262"/>
  <c r="F208" i="2262"/>
  <c r="G208" i="2262" s="1"/>
  <c r="P208" i="2262"/>
  <c r="S208" i="2262"/>
  <c r="E209" i="2262"/>
  <c r="F209" i="2262"/>
  <c r="G209" i="2262" s="1"/>
  <c r="P209" i="2262"/>
  <c r="S209" i="2262"/>
  <c r="E210" i="2262"/>
  <c r="F210" i="2262"/>
  <c r="G210" i="2262" s="1"/>
  <c r="P210" i="2262"/>
  <c r="S210" i="2262"/>
  <c r="E211" i="2262"/>
  <c r="F211" i="2262"/>
  <c r="G211" i="2262" s="1"/>
  <c r="P211" i="2262"/>
  <c r="S211" i="2262"/>
  <c r="E212" i="2262"/>
  <c r="F212" i="2262"/>
  <c r="G212" i="2262" s="1"/>
  <c r="P212" i="2262"/>
  <c r="S212" i="2262"/>
  <c r="E213" i="2262"/>
  <c r="F213" i="2262"/>
  <c r="G213" i="2262" s="1"/>
  <c r="P213" i="2262"/>
  <c r="S213" i="2262"/>
  <c r="E214" i="2262"/>
  <c r="F214" i="2262"/>
  <c r="G214" i="2262" s="1"/>
  <c r="P214" i="2262"/>
  <c r="S214" i="2262"/>
  <c r="E215" i="2262"/>
  <c r="F215" i="2262"/>
  <c r="G215" i="2262" s="1"/>
  <c r="P215" i="2262"/>
  <c r="S215" i="2262"/>
  <c r="E216" i="2262"/>
  <c r="F216" i="2262"/>
  <c r="G216" i="2262" s="1"/>
  <c r="P216" i="2262"/>
  <c r="S216" i="2262"/>
  <c r="E217" i="2262"/>
  <c r="F217" i="2262"/>
  <c r="G217" i="2262" s="1"/>
  <c r="P217" i="2262"/>
  <c r="S217" i="2262"/>
  <c r="E218" i="2262"/>
  <c r="F218" i="2262"/>
  <c r="G218" i="2262" s="1"/>
  <c r="P218" i="2262"/>
  <c r="S218" i="2262"/>
  <c r="E219" i="2262"/>
  <c r="F219" i="2262"/>
  <c r="G219" i="2262" s="1"/>
  <c r="P219" i="2262"/>
  <c r="S219" i="2262"/>
  <c r="E220" i="2262"/>
  <c r="F220" i="2262"/>
  <c r="G220" i="2262" s="1"/>
  <c r="P220" i="2262"/>
  <c r="S220" i="2262"/>
  <c r="E221" i="2262"/>
  <c r="F221" i="2262"/>
  <c r="G221" i="2262" s="1"/>
  <c r="P221" i="2262"/>
  <c r="S221" i="2262"/>
  <c r="E222" i="2262"/>
  <c r="F222" i="2262"/>
  <c r="G222" i="2262" s="1"/>
  <c r="P222" i="2262"/>
  <c r="S222" i="2262"/>
  <c r="E223" i="2262"/>
  <c r="F223" i="2262"/>
  <c r="G223" i="2262" s="1"/>
  <c r="P223" i="2262"/>
  <c r="S223" i="2262"/>
  <c r="E224" i="2262"/>
  <c r="F224" i="2262"/>
  <c r="G224" i="2262" s="1"/>
  <c r="P224" i="2262"/>
  <c r="S224" i="2262"/>
  <c r="E225" i="2262"/>
  <c r="F225" i="2262"/>
  <c r="G225" i="2262" s="1"/>
  <c r="P225" i="2262"/>
  <c r="S225" i="2262"/>
  <c r="E226" i="2262"/>
  <c r="F226" i="2262"/>
  <c r="G226" i="2262" s="1"/>
  <c r="P226" i="2262"/>
  <c r="S226" i="2262"/>
  <c r="E227" i="2262"/>
  <c r="F227" i="2262"/>
  <c r="G227" i="2262" s="1"/>
  <c r="P227" i="2262"/>
  <c r="S227" i="2262"/>
  <c r="E228" i="2262"/>
  <c r="F228" i="2262"/>
  <c r="G228" i="2262" s="1"/>
  <c r="P228" i="2262"/>
  <c r="S228" i="2262"/>
  <c r="E229" i="2262"/>
  <c r="F229" i="2262"/>
  <c r="G229" i="2262" s="1"/>
  <c r="P229" i="2262"/>
  <c r="S229" i="2262"/>
  <c r="E230" i="2262"/>
  <c r="F230" i="2262"/>
  <c r="G230" i="2262" s="1"/>
  <c r="P230" i="2262"/>
  <c r="S230" i="2262"/>
  <c r="E231" i="2262"/>
  <c r="F231" i="2262"/>
  <c r="G231" i="2262" s="1"/>
  <c r="P231" i="2262"/>
  <c r="S231" i="2262"/>
  <c r="E232" i="2262"/>
  <c r="F232" i="2262"/>
  <c r="G232" i="2262" s="1"/>
  <c r="P232" i="2262"/>
  <c r="S232" i="2262"/>
  <c r="E233" i="2262"/>
  <c r="F233" i="2262"/>
  <c r="G233" i="2262" s="1"/>
  <c r="P233" i="2262"/>
  <c r="S233" i="2262"/>
  <c r="E234" i="2262"/>
  <c r="F234" i="2262"/>
  <c r="G234" i="2262" s="1"/>
  <c r="P234" i="2262"/>
  <c r="S234" i="2262"/>
  <c r="E235" i="2262"/>
  <c r="F235" i="2262"/>
  <c r="G235" i="2262" s="1"/>
  <c r="P235" i="2262"/>
  <c r="S235" i="2262"/>
  <c r="E236" i="2262"/>
  <c r="F236" i="2262"/>
  <c r="G236" i="2262" s="1"/>
  <c r="P236" i="2262"/>
  <c r="S236" i="2262"/>
  <c r="E237" i="2262"/>
  <c r="F237" i="2262"/>
  <c r="G237" i="2262" s="1"/>
  <c r="P237" i="2262"/>
  <c r="S237" i="2262"/>
  <c r="E238" i="2262"/>
  <c r="F238" i="2262"/>
  <c r="G238" i="2262" s="1"/>
  <c r="P238" i="2262"/>
  <c r="S238" i="2262"/>
  <c r="E239" i="2262"/>
  <c r="F239" i="2262"/>
  <c r="P239" i="2262"/>
  <c r="S239" i="2262"/>
  <c r="E240" i="2262"/>
  <c r="F240" i="2262"/>
  <c r="G240" i="2262" s="1"/>
  <c r="P240" i="2262"/>
  <c r="S240" i="2262"/>
  <c r="E241" i="2262"/>
  <c r="F241" i="2262"/>
  <c r="G241" i="2262" s="1"/>
  <c r="P241" i="2262"/>
  <c r="S241" i="2262"/>
  <c r="E242" i="2262"/>
  <c r="F242" i="2262"/>
  <c r="G242" i="2262" s="1"/>
  <c r="P242" i="2262"/>
  <c r="S242" i="2262"/>
  <c r="E243" i="2262"/>
  <c r="F243" i="2262"/>
  <c r="G243" i="2262" s="1"/>
  <c r="P243" i="2262"/>
  <c r="S243" i="2262"/>
  <c r="E244" i="2262"/>
  <c r="F244" i="2262"/>
  <c r="G244" i="2262" s="1"/>
  <c r="P244" i="2262"/>
  <c r="S244" i="2262"/>
  <c r="E245" i="2262"/>
  <c r="F245" i="2262"/>
  <c r="G245" i="2262" s="1"/>
  <c r="P245" i="2262"/>
  <c r="S245" i="2262"/>
  <c r="E246" i="2262"/>
  <c r="F246" i="2262"/>
  <c r="G246" i="2262" s="1"/>
  <c r="P246" i="2262"/>
  <c r="S246" i="2262"/>
  <c r="E247" i="2262"/>
  <c r="F247" i="2262"/>
  <c r="G247" i="2262" s="1"/>
  <c r="P247" i="2262"/>
  <c r="S247" i="2262"/>
  <c r="E248" i="2262"/>
  <c r="F248" i="2262"/>
  <c r="G248" i="2262" s="1"/>
  <c r="P248" i="2262"/>
  <c r="S248" i="2262"/>
  <c r="E249" i="2262"/>
  <c r="F249" i="2262"/>
  <c r="G249" i="2262" s="1"/>
  <c r="P249" i="2262"/>
  <c r="S249" i="2262"/>
  <c r="E250" i="2262"/>
  <c r="F250" i="2262"/>
  <c r="G250" i="2262" s="1"/>
  <c r="P250" i="2262"/>
  <c r="S250" i="2262"/>
  <c r="E251" i="2262"/>
  <c r="F251" i="2262"/>
  <c r="G251" i="2262" s="1"/>
  <c r="P251" i="2262"/>
  <c r="S251" i="2262"/>
  <c r="E252" i="2262"/>
  <c r="F252" i="2262"/>
  <c r="G252" i="2262" s="1"/>
  <c r="P252" i="2262"/>
  <c r="S252" i="2262"/>
  <c r="E253" i="2262"/>
  <c r="F253" i="2262"/>
  <c r="G253" i="2262" s="1"/>
  <c r="P253" i="2262"/>
  <c r="S253" i="2262"/>
  <c r="E254" i="2262"/>
  <c r="F254" i="2262"/>
  <c r="G254" i="2262" s="1"/>
  <c r="P254" i="2262"/>
  <c r="S254" i="2262"/>
  <c r="E255" i="2262"/>
  <c r="F255" i="2262"/>
  <c r="G255" i="2262" s="1"/>
  <c r="P255" i="2262"/>
  <c r="S255" i="2262"/>
  <c r="E256" i="2262"/>
  <c r="F256" i="2262"/>
  <c r="G256" i="2262" s="1"/>
  <c r="P256" i="2262"/>
  <c r="S256" i="2262"/>
  <c r="E257" i="2262"/>
  <c r="F257" i="2262"/>
  <c r="G257" i="2262" s="1"/>
  <c r="P257" i="2262"/>
  <c r="S257" i="2262"/>
  <c r="E258" i="2262"/>
  <c r="F258" i="2262"/>
  <c r="G258" i="2262" s="1"/>
  <c r="P258" i="2262"/>
  <c r="S258" i="2262"/>
  <c r="E259" i="2262"/>
  <c r="F259" i="2262"/>
  <c r="G259" i="2262" s="1"/>
  <c r="P259" i="2262"/>
  <c r="S259" i="2262"/>
  <c r="E260" i="2262"/>
  <c r="F260" i="2262"/>
  <c r="G260" i="2262" s="1"/>
  <c r="P260" i="2262"/>
  <c r="S260" i="2262"/>
  <c r="E261" i="2262"/>
  <c r="F261" i="2262"/>
  <c r="G261" i="2262" s="1"/>
  <c r="P261" i="2262"/>
  <c r="S261" i="2262"/>
  <c r="E262" i="2262"/>
  <c r="F262" i="2262"/>
  <c r="G262" i="2262" s="1"/>
  <c r="P262" i="2262"/>
  <c r="S262" i="2262"/>
  <c r="E263" i="2262"/>
  <c r="F263" i="2262"/>
  <c r="G263" i="2262" s="1"/>
  <c r="P263" i="2262"/>
  <c r="S263" i="2262"/>
  <c r="E264" i="2262"/>
  <c r="F264" i="2262"/>
  <c r="G264" i="2262" s="1"/>
  <c r="P264" i="2262"/>
  <c r="S264" i="2262"/>
  <c r="E265" i="2262"/>
  <c r="F265" i="2262"/>
  <c r="G265" i="2262" s="1"/>
  <c r="P265" i="2262"/>
  <c r="S265" i="2262"/>
  <c r="E266" i="2262"/>
  <c r="F266" i="2262"/>
  <c r="G266" i="2262" s="1"/>
  <c r="P266" i="2262"/>
  <c r="S266" i="2262"/>
  <c r="E267" i="2262"/>
  <c r="F267" i="2262"/>
  <c r="G267" i="2262" s="1"/>
  <c r="P267" i="2262"/>
  <c r="S267" i="2262"/>
  <c r="E268" i="2262"/>
  <c r="F268" i="2262"/>
  <c r="G268" i="2262" s="1"/>
  <c r="P268" i="2262"/>
  <c r="S268" i="2262"/>
  <c r="E269" i="2262"/>
  <c r="F269" i="2262"/>
  <c r="G269" i="2262" s="1"/>
  <c r="P269" i="2262"/>
  <c r="S269" i="2262"/>
  <c r="E270" i="2262"/>
  <c r="F270" i="2262"/>
  <c r="G270" i="2262" s="1"/>
  <c r="P270" i="2262"/>
  <c r="S270" i="2262"/>
  <c r="E271" i="2262"/>
  <c r="F271" i="2262"/>
  <c r="G271" i="2262" s="1"/>
  <c r="P271" i="2262"/>
  <c r="S271" i="2262"/>
  <c r="E272" i="2262"/>
  <c r="F272" i="2262"/>
  <c r="G272" i="2262" s="1"/>
  <c r="P272" i="2262"/>
  <c r="S272" i="2262"/>
  <c r="E273" i="2262"/>
  <c r="F273" i="2262"/>
  <c r="G273" i="2262" s="1"/>
  <c r="P273" i="2262"/>
  <c r="S273" i="2262"/>
  <c r="E274" i="2262"/>
  <c r="F274" i="2262"/>
  <c r="G274" i="2262" s="1"/>
  <c r="P274" i="2262"/>
  <c r="S274" i="2262"/>
  <c r="E275" i="2262"/>
  <c r="F275" i="2262"/>
  <c r="G275" i="2262" s="1"/>
  <c r="P275" i="2262"/>
  <c r="S275" i="2262"/>
  <c r="E276" i="2262"/>
  <c r="F276" i="2262"/>
  <c r="G276" i="2262" s="1"/>
  <c r="P276" i="2262"/>
  <c r="S276" i="2262"/>
  <c r="E277" i="2262"/>
  <c r="F277" i="2262"/>
  <c r="G277" i="2262" s="1"/>
  <c r="P277" i="2262"/>
  <c r="S277" i="2262"/>
  <c r="E278" i="2262"/>
  <c r="F278" i="2262"/>
  <c r="G278" i="2262" s="1"/>
  <c r="P278" i="2262"/>
  <c r="S278" i="2262"/>
  <c r="E279" i="2262"/>
  <c r="F279" i="2262"/>
  <c r="G279" i="2262" s="1"/>
  <c r="P279" i="2262"/>
  <c r="S279" i="2262"/>
  <c r="E280" i="2262"/>
  <c r="F280" i="2262"/>
  <c r="G280" i="2262" s="1"/>
  <c r="P280" i="2262"/>
  <c r="S280" i="2262"/>
  <c r="E281" i="2262"/>
  <c r="F281" i="2262"/>
  <c r="G281" i="2262" s="1"/>
  <c r="P281" i="2262"/>
  <c r="S281" i="2262"/>
  <c r="E282" i="2262"/>
  <c r="F282" i="2262"/>
  <c r="G282" i="2262" s="1"/>
  <c r="P282" i="2262"/>
  <c r="S282" i="2262"/>
  <c r="E283" i="2262"/>
  <c r="F283" i="2262"/>
  <c r="G283" i="2262" s="1"/>
  <c r="P283" i="2262"/>
  <c r="S283" i="2262"/>
  <c r="E284" i="2262"/>
  <c r="F284" i="2262"/>
  <c r="G284" i="2262" s="1"/>
  <c r="P284" i="2262"/>
  <c r="S284" i="2262"/>
  <c r="E285" i="2262"/>
  <c r="F285" i="2262"/>
  <c r="G285" i="2262" s="1"/>
  <c r="P285" i="2262"/>
  <c r="S285" i="2262"/>
  <c r="E286" i="2262"/>
  <c r="F286" i="2262"/>
  <c r="G286" i="2262" s="1"/>
  <c r="P286" i="2262"/>
  <c r="S286" i="2262"/>
  <c r="E287" i="2262"/>
  <c r="F287" i="2262"/>
  <c r="G287" i="2262" s="1"/>
  <c r="P287" i="2262"/>
  <c r="S287" i="2262"/>
  <c r="E288" i="2262"/>
  <c r="F288" i="2262"/>
  <c r="G288" i="2262" s="1"/>
  <c r="P288" i="2262"/>
  <c r="S288" i="2262"/>
  <c r="E289" i="2262"/>
  <c r="F289" i="2262"/>
  <c r="G289" i="2262" s="1"/>
  <c r="P289" i="2262"/>
  <c r="S289" i="2262"/>
  <c r="E290" i="2262"/>
  <c r="F290" i="2262"/>
  <c r="G290" i="2262" s="1"/>
  <c r="P290" i="2262"/>
  <c r="S290" i="2262"/>
  <c r="E291" i="2262"/>
  <c r="F291" i="2262"/>
  <c r="G291" i="2262" s="1"/>
  <c r="P291" i="2262"/>
  <c r="S291" i="2262"/>
  <c r="E292" i="2262"/>
  <c r="F292" i="2262"/>
  <c r="G292" i="2262" s="1"/>
  <c r="P292" i="2262"/>
  <c r="S292" i="2262"/>
  <c r="E293" i="2262"/>
  <c r="F293" i="2262"/>
  <c r="G293" i="2262" s="1"/>
  <c r="P293" i="2262"/>
  <c r="S293" i="2262"/>
  <c r="E294" i="2262"/>
  <c r="F294" i="2262"/>
  <c r="G294" i="2262" s="1"/>
  <c r="P294" i="2262"/>
  <c r="S294" i="2262"/>
  <c r="E295" i="2262"/>
  <c r="F295" i="2262"/>
  <c r="G295" i="2262" s="1"/>
  <c r="P295" i="2262"/>
  <c r="S295" i="2262"/>
  <c r="E296" i="2262"/>
  <c r="F296" i="2262"/>
  <c r="G296" i="2262" s="1"/>
  <c r="P296" i="2262"/>
  <c r="S296" i="2262"/>
  <c r="E297" i="2262"/>
  <c r="F297" i="2262"/>
  <c r="G297" i="2262" s="1"/>
  <c r="P297" i="2262"/>
  <c r="S297" i="2262"/>
  <c r="E298" i="2262"/>
  <c r="F298" i="2262"/>
  <c r="G298" i="2262" s="1"/>
  <c r="P298" i="2262"/>
  <c r="S298" i="2262"/>
  <c r="E299" i="2262"/>
  <c r="F299" i="2262"/>
  <c r="G299" i="2262" s="1"/>
  <c r="P299" i="2262"/>
  <c r="S299" i="2262"/>
  <c r="E300" i="2262"/>
  <c r="F300" i="2262"/>
  <c r="G300" i="2262" s="1"/>
  <c r="P300" i="2262"/>
  <c r="S300" i="2262"/>
  <c r="P301" i="2262"/>
  <c r="S301" i="2262"/>
  <c r="S303" i="2262"/>
  <c r="S304" i="2262"/>
  <c r="S305" i="2262"/>
  <c r="S306" i="2262"/>
  <c r="S307" i="2262" s="1"/>
  <c r="S308" i="2262" s="1"/>
  <c r="S309" i="2262" s="1"/>
  <c r="S310" i="2262" s="1"/>
  <c r="S311" i="2262" s="1"/>
  <c r="S312" i="2262" s="1"/>
  <c r="S313" i="2262" s="1"/>
  <c r="S314" i="2262" s="1"/>
  <c r="S315" i="2262" s="1"/>
  <c r="S316" i="2262" s="1"/>
  <c r="S317" i="2262" s="1"/>
  <c r="S318" i="2262" s="1"/>
  <c r="S319" i="2262" s="1"/>
  <c r="S320" i="2262" s="1"/>
  <c r="S321" i="2262" s="1"/>
  <c r="F307" i="2262"/>
  <c r="G307" i="2262" s="1"/>
  <c r="F322" i="2262"/>
  <c r="G322" i="2262" s="1"/>
  <c r="F323" i="2262"/>
  <c r="G323" i="2262" s="1"/>
  <c r="F324" i="2262"/>
  <c r="G324" i="2262" s="1"/>
  <c r="F325" i="2262"/>
  <c r="G325" i="2262" s="1"/>
  <c r="F326" i="2262"/>
  <c r="G326" i="2262" s="1"/>
  <c r="X329" i="2262"/>
  <c r="F46" i="2262" l="1"/>
  <c r="G46" i="2262" s="1"/>
  <c r="G239" i="2262"/>
  <c r="D4" i="2273"/>
  <c r="E4" i="2273" s="1"/>
  <c r="Q193" i="2262" s="1"/>
  <c r="U318" i="2262"/>
  <c r="U312" i="2262"/>
  <c r="U308" i="2262"/>
  <c r="U305" i="2262"/>
  <c r="U10" i="2262"/>
  <c r="U327" i="2262"/>
  <c r="N326" i="2262"/>
  <c r="U325" i="2262"/>
  <c r="N324" i="2262"/>
  <c r="U323" i="2262"/>
  <c r="N322" i="2262"/>
  <c r="U320" i="2262"/>
  <c r="U316" i="2262"/>
  <c r="U310" i="2262"/>
  <c r="N302" i="2262"/>
  <c r="U314" i="2262"/>
  <c r="U303" i="2262"/>
  <c r="N327" i="2262"/>
  <c r="U324" i="2262"/>
  <c r="N323" i="2262"/>
  <c r="U321" i="2262"/>
  <c r="U317" i="2262"/>
  <c r="U313" i="2262"/>
  <c r="U309" i="2262"/>
  <c r="U306" i="2262"/>
  <c r="U302" i="2262"/>
  <c r="U326" i="2262"/>
  <c r="N325" i="2262"/>
  <c r="U322" i="2262"/>
  <c r="U319" i="2262"/>
  <c r="U315" i="2262"/>
  <c r="U311" i="2262"/>
  <c r="U307" i="2262"/>
  <c r="U304" i="2262"/>
  <c r="U76" i="2262"/>
  <c r="U21" i="2262"/>
  <c r="U23" i="2262"/>
  <c r="U18" i="2262"/>
  <c r="U16" i="2262"/>
  <c r="U14" i="2262"/>
  <c r="U22" i="2262"/>
  <c r="U19" i="2262"/>
  <c r="U17" i="2262"/>
  <c r="U15" i="2262"/>
  <c r="N306" i="2262"/>
  <c r="N305" i="2262"/>
  <c r="N304" i="2262"/>
  <c r="N303" i="2262"/>
  <c r="N307" i="2262"/>
  <c r="V17" i="2262"/>
  <c r="U7" i="2262"/>
  <c r="U8" i="2262"/>
  <c r="AB105" i="2262"/>
  <c r="V14" i="2262"/>
  <c r="U13" i="2262"/>
  <c r="U12" i="2262"/>
  <c r="V7" i="2262"/>
  <c r="O116" i="2262"/>
  <c r="V10" i="2262"/>
  <c r="O258" i="2262"/>
  <c r="O231" i="2262"/>
  <c r="O228" i="2262"/>
  <c r="W21" i="2262"/>
  <c r="O229" i="2262"/>
  <c r="O225" i="2262"/>
  <c r="F308" i="2262"/>
  <c r="O253" i="2262"/>
  <c r="O242" i="2262"/>
  <c r="O226" i="2262"/>
  <c r="O304" i="2262"/>
  <c r="AB109" i="2262"/>
  <c r="O109" i="2262"/>
  <c r="P35" i="2262"/>
  <c r="P36" i="2262"/>
  <c r="P33" i="2262"/>
  <c r="P37" i="2262"/>
  <c r="P32" i="2262"/>
  <c r="P38" i="2262"/>
  <c r="P44" i="2262" s="1"/>
  <c r="P34" i="2262"/>
  <c r="P39" i="2262"/>
  <c r="O237" i="2262"/>
  <c r="O227" i="2262"/>
  <c r="AB111" i="2262"/>
  <c r="O277" i="2262"/>
  <c r="O266" i="2262"/>
  <c r="O264" i="2262"/>
  <c r="O234" i="2262"/>
  <c r="O198" i="2262"/>
  <c r="O245" i="2262"/>
  <c r="O209" i="2262"/>
  <c r="O203" i="2262"/>
  <c r="H45" i="2262"/>
  <c r="I45" i="2262" s="1"/>
  <c r="AB161" i="2262"/>
  <c r="V23" i="2262"/>
  <c r="V18" i="2262"/>
  <c r="W17" i="2262"/>
  <c r="V21" i="2262"/>
  <c r="W23" i="2262"/>
  <c r="W15" i="2262"/>
  <c r="V12" i="2262"/>
  <c r="W11" i="2262"/>
  <c r="O278" i="2262"/>
  <c r="O275" i="2262"/>
  <c r="O248" i="2262"/>
  <c r="O244" i="2262"/>
  <c r="O243" i="2262"/>
  <c r="O221" i="2262"/>
  <c r="O205" i="2262"/>
  <c r="O204" i="2262"/>
  <c r="O240" i="2262"/>
  <c r="O236" i="2262"/>
  <c r="O207" i="2262"/>
  <c r="O206" i="2262"/>
  <c r="O202" i="2262"/>
  <c r="O200" i="2262"/>
  <c r="O292" i="2262"/>
  <c r="O298" i="2262"/>
  <c r="O294" i="2262"/>
  <c r="O193" i="2262"/>
  <c r="AB104" i="2262"/>
  <c r="O300" i="2262"/>
  <c r="O299" i="2262"/>
  <c r="O267" i="2262"/>
  <c r="O232" i="2262"/>
  <c r="O195" i="2262"/>
  <c r="O194" i="2262"/>
  <c r="O117" i="2262"/>
  <c r="O295" i="2262"/>
  <c r="O270" i="2262"/>
  <c r="O268" i="2262"/>
  <c r="O265" i="2262"/>
  <c r="O263" i="2262"/>
  <c r="O212" i="2262"/>
  <c r="O112" i="2262"/>
  <c r="O271" i="2262"/>
  <c r="O260" i="2262"/>
  <c r="O259" i="2262"/>
  <c r="O255" i="2262"/>
  <c r="AB222" i="2262"/>
  <c r="AB117" i="2262"/>
  <c r="V15" i="2262"/>
  <c r="W7" i="2262"/>
  <c r="O296" i="2262"/>
  <c r="O274" i="2262"/>
  <c r="O273" i="2262"/>
  <c r="O272" i="2262"/>
  <c r="O256" i="2262"/>
  <c r="O252" i="2262"/>
  <c r="O251" i="2262"/>
  <c r="O247" i="2262"/>
  <c r="O220" i="2262"/>
  <c r="AB112" i="2262"/>
  <c r="W22" i="2262"/>
  <c r="O290" i="2262"/>
  <c r="AB290" i="2262"/>
  <c r="O288" i="2262"/>
  <c r="AB288" i="2262"/>
  <c r="O269" i="2262"/>
  <c r="AB218" i="2262"/>
  <c r="O208" i="2262"/>
  <c r="O197" i="2262"/>
  <c r="O111" i="2262"/>
  <c r="O305" i="2262"/>
  <c r="O301" i="2262"/>
  <c r="AB278" i="2262"/>
  <c r="O218" i="2262"/>
  <c r="O115" i="2262"/>
  <c r="AB305" i="2262"/>
  <c r="O262" i="2262"/>
  <c r="O257" i="2262"/>
  <c r="O246" i="2262"/>
  <c r="O241" i="2262"/>
  <c r="O235" i="2262"/>
  <c r="O230" i="2262"/>
  <c r="O201" i="2262"/>
  <c r="O196" i="2262"/>
  <c r="O110" i="2262"/>
  <c r="O211" i="2262"/>
  <c r="AB306" i="2262"/>
  <c r="O261" i="2262"/>
  <c r="O250" i="2262"/>
  <c r="O224" i="2262"/>
  <c r="O113" i="2262"/>
  <c r="AB303" i="2262"/>
  <c r="O210" i="2262"/>
  <c r="O199" i="2262"/>
  <c r="Z161" i="2262"/>
  <c r="W19" i="2262"/>
  <c r="O254" i="2262"/>
  <c r="O249" i="2262"/>
  <c r="O238" i="2262"/>
  <c r="O233" i="2262"/>
  <c r="O222" i="2262"/>
  <c r="O161" i="2262"/>
  <c r="O114" i="2262"/>
  <c r="O104" i="2262"/>
  <c r="O108" i="2262"/>
  <c r="W8" i="2262"/>
  <c r="O307" i="2262"/>
  <c r="AB307" i="2262"/>
  <c r="O293" i="2262"/>
  <c r="AB293" i="2262"/>
  <c r="O297" i="2262"/>
  <c r="AB297" i="2262"/>
  <c r="O291" i="2262"/>
  <c r="AB291" i="2262"/>
  <c r="O289" i="2262"/>
  <c r="AB289" i="2262"/>
  <c r="O287" i="2262"/>
  <c r="AB287" i="2262"/>
  <c r="O286" i="2262"/>
  <c r="AB282" i="2262"/>
  <c r="AB304" i="2262"/>
  <c r="O303" i="2262"/>
  <c r="O283" i="2262"/>
  <c r="AB283" i="2262"/>
  <c r="O282" i="2262"/>
  <c r="O279" i="2262"/>
  <c r="AB279" i="2262"/>
  <c r="O219" i="2262"/>
  <c r="AB219" i="2262"/>
  <c r="O306" i="2262"/>
  <c r="AB301" i="2262"/>
  <c r="AB298" i="2262"/>
  <c r="AB294" i="2262"/>
  <c r="O284" i="2262"/>
  <c r="AB284" i="2262"/>
  <c r="O280" i="2262"/>
  <c r="AB280" i="2262"/>
  <c r="AB299" i="2262"/>
  <c r="AB295" i="2262"/>
  <c r="O285" i="2262"/>
  <c r="AB285" i="2262"/>
  <c r="O281" i="2262"/>
  <c r="AB281" i="2262"/>
  <c r="O223" i="2262"/>
  <c r="AB223" i="2262"/>
  <c r="AB300" i="2262"/>
  <c r="AB296" i="2262"/>
  <c r="AB292" i="2262"/>
  <c r="AB286" i="2262"/>
  <c r="AB275" i="2262"/>
  <c r="AB271" i="2262"/>
  <c r="AB267" i="2262"/>
  <c r="AB263" i="2262"/>
  <c r="AB259" i="2262"/>
  <c r="AB255" i="2262"/>
  <c r="AB251" i="2262"/>
  <c r="AB247" i="2262"/>
  <c r="AB243" i="2262"/>
  <c r="AB235" i="2262"/>
  <c r="AB231" i="2262"/>
  <c r="AB227" i="2262"/>
  <c r="O213" i="2262"/>
  <c r="AB276" i="2262"/>
  <c r="O276" i="2262"/>
  <c r="AB272" i="2262"/>
  <c r="AB268" i="2262"/>
  <c r="AB264" i="2262"/>
  <c r="AB260" i="2262"/>
  <c r="AB256" i="2262"/>
  <c r="AB252" i="2262"/>
  <c r="AB248" i="2262"/>
  <c r="AB244" i="2262"/>
  <c r="AB240" i="2262"/>
  <c r="AB236" i="2262"/>
  <c r="AB232" i="2262"/>
  <c r="AB228" i="2262"/>
  <c r="AB224" i="2262"/>
  <c r="AB220" i="2262"/>
  <c r="O215" i="2262"/>
  <c r="AB215" i="2262"/>
  <c r="AB277" i="2262"/>
  <c r="AB273" i="2262"/>
  <c r="AB269" i="2262"/>
  <c r="AB265" i="2262"/>
  <c r="AB261" i="2262"/>
  <c r="AB257" i="2262"/>
  <c r="AB253" i="2262"/>
  <c r="AB249" i="2262"/>
  <c r="AB245" i="2262"/>
  <c r="AB241" i="2262"/>
  <c r="AB237" i="2262"/>
  <c r="AB233" i="2262"/>
  <c r="AB229" i="2262"/>
  <c r="AB225" i="2262"/>
  <c r="AB221" i="2262"/>
  <c r="O217" i="2262"/>
  <c r="AB217" i="2262"/>
  <c r="O214" i="2262"/>
  <c r="AB214" i="2262"/>
  <c r="AB274" i="2262"/>
  <c r="AB270" i="2262"/>
  <c r="AB266" i="2262"/>
  <c r="AB262" i="2262"/>
  <c r="AB258" i="2262"/>
  <c r="AB254" i="2262"/>
  <c r="AB250" i="2262"/>
  <c r="AB246" i="2262"/>
  <c r="AB242" i="2262"/>
  <c r="AB238" i="2262"/>
  <c r="AB234" i="2262"/>
  <c r="AB230" i="2262"/>
  <c r="AB226" i="2262"/>
  <c r="O216" i="2262"/>
  <c r="AB216" i="2262"/>
  <c r="AB213" i="2262"/>
  <c r="AB209" i="2262"/>
  <c r="AB205" i="2262"/>
  <c r="AB201" i="2262"/>
  <c r="AB197" i="2262"/>
  <c r="AB193" i="2262"/>
  <c r="AB114" i="2262"/>
  <c r="AB110" i="2262"/>
  <c r="AB108" i="2262"/>
  <c r="AB210" i="2262"/>
  <c r="AB206" i="2262"/>
  <c r="AB202" i="2262"/>
  <c r="AB198" i="2262"/>
  <c r="AB194" i="2262"/>
  <c r="AB116" i="2262"/>
  <c r="O107" i="2262"/>
  <c r="AB107" i="2262"/>
  <c r="O103" i="2262"/>
  <c r="AB103" i="2262"/>
  <c r="AB211" i="2262"/>
  <c r="AB207" i="2262"/>
  <c r="AB203" i="2262"/>
  <c r="AB199" i="2262"/>
  <c r="AB195" i="2262"/>
  <c r="AB113" i="2262"/>
  <c r="O105" i="2262"/>
  <c r="AB212" i="2262"/>
  <c r="AB208" i="2262"/>
  <c r="AB204" i="2262"/>
  <c r="AB200" i="2262"/>
  <c r="AB196" i="2262"/>
  <c r="AB115" i="2262"/>
  <c r="AB106" i="2262"/>
  <c r="O106" i="2262"/>
  <c r="V22" i="2262"/>
  <c r="V19" i="2262"/>
  <c r="W16" i="2262"/>
  <c r="V11" i="2262"/>
  <c r="V8" i="2262"/>
  <c r="V16" i="2262"/>
  <c r="W13" i="2262"/>
  <c r="W18" i="2262"/>
  <c r="V13" i="2262"/>
  <c r="W10" i="2262"/>
  <c r="W12" i="2262"/>
  <c r="W14" i="2262"/>
  <c r="F309" i="2262" l="1"/>
  <c r="G308" i="2262"/>
  <c r="AH307" i="2262"/>
  <c r="AI307" i="2262" s="1"/>
  <c r="AH304" i="2262"/>
  <c r="AI304" i="2262" s="1"/>
  <c r="AH306" i="2262"/>
  <c r="AI306" i="2262" s="1"/>
  <c r="AH303" i="2262"/>
  <c r="AI303" i="2262" s="1"/>
  <c r="AH305" i="2262"/>
  <c r="AI305" i="2262" s="1"/>
  <c r="AK155" i="2262"/>
  <c r="AM155" i="2262" s="1"/>
  <c r="AN155" i="2262" s="1"/>
  <c r="AK160" i="2262"/>
  <c r="AM160" i="2262" s="1"/>
  <c r="AN160" i="2262" s="1"/>
  <c r="O239" i="2262"/>
  <c r="AB239" i="2262"/>
  <c r="AK47" i="2262"/>
  <c r="AM47" i="2262" s="1"/>
  <c r="AN47" i="2262" s="1"/>
  <c r="AK50" i="2262"/>
  <c r="AM50" i="2262" s="1"/>
  <c r="AN50" i="2262" s="1"/>
  <c r="AK61" i="2262"/>
  <c r="AM61" i="2262" s="1"/>
  <c r="AN61" i="2262" s="1"/>
  <c r="AK63" i="2262"/>
  <c r="AM63" i="2262" s="1"/>
  <c r="AN63" i="2262" s="1"/>
  <c r="AK43" i="2262"/>
  <c r="AM43" i="2262" s="1"/>
  <c r="AN43" i="2262" s="1"/>
  <c r="AK49" i="2262"/>
  <c r="AM49" i="2262" s="1"/>
  <c r="AN49" i="2262" s="1"/>
  <c r="AK56" i="2262"/>
  <c r="AM56" i="2262" s="1"/>
  <c r="AN56" i="2262" s="1"/>
  <c r="AK70" i="2262"/>
  <c r="AM70" i="2262" s="1"/>
  <c r="AN70" i="2262" s="1"/>
  <c r="AK75" i="2262"/>
  <c r="AM75" i="2262" s="1"/>
  <c r="AN75" i="2262" s="1"/>
  <c r="AK79" i="2262"/>
  <c r="AM79" i="2262" s="1"/>
  <c r="AN79" i="2262" s="1"/>
  <c r="AK42" i="2262"/>
  <c r="AM42" i="2262" s="1"/>
  <c r="AN42" i="2262" s="1"/>
  <c r="AK54" i="2262"/>
  <c r="AM54" i="2262" s="1"/>
  <c r="AN54" i="2262" s="1"/>
  <c r="AK62" i="2262"/>
  <c r="AM62" i="2262" s="1"/>
  <c r="AN62" i="2262" s="1"/>
  <c r="AK64" i="2262"/>
  <c r="AM64" i="2262" s="1"/>
  <c r="AN64" i="2262" s="1"/>
  <c r="AK68" i="2262"/>
  <c r="AM68" i="2262" s="1"/>
  <c r="AN68" i="2262" s="1"/>
  <c r="AK72" i="2262"/>
  <c r="AM72" i="2262" s="1"/>
  <c r="AN72" i="2262" s="1"/>
  <c r="AK77" i="2262"/>
  <c r="AM77" i="2262" s="1"/>
  <c r="AN77" i="2262" s="1"/>
  <c r="AK83" i="2262"/>
  <c r="AM83" i="2262" s="1"/>
  <c r="AN83" i="2262" s="1"/>
  <c r="AK48" i="2262"/>
  <c r="AM48" i="2262" s="1"/>
  <c r="AN48" i="2262" s="1"/>
  <c r="AK55" i="2262"/>
  <c r="AM55" i="2262" s="1"/>
  <c r="AN55" i="2262" s="1"/>
  <c r="AK67" i="2262"/>
  <c r="AM67" i="2262" s="1"/>
  <c r="AN67" i="2262" s="1"/>
  <c r="AK76" i="2262"/>
  <c r="AM76" i="2262" s="1"/>
  <c r="AN76" i="2262" s="1"/>
  <c r="AK89" i="2262"/>
  <c r="AM89" i="2262" s="1"/>
  <c r="AN89" i="2262" s="1"/>
  <c r="AK97" i="2262"/>
  <c r="AM97" i="2262" s="1"/>
  <c r="AN97" i="2262" s="1"/>
  <c r="AK99" i="2262"/>
  <c r="AM99" i="2262" s="1"/>
  <c r="AN99" i="2262" s="1"/>
  <c r="AK100" i="2262"/>
  <c r="AM100" i="2262" s="1"/>
  <c r="AN100" i="2262" s="1"/>
  <c r="AK102" i="2262"/>
  <c r="AM102" i="2262" s="1"/>
  <c r="AN102" i="2262" s="1"/>
  <c r="AK118" i="2262"/>
  <c r="AM118" i="2262" s="1"/>
  <c r="AN118" i="2262" s="1"/>
  <c r="AK120" i="2262"/>
  <c r="AM120" i="2262" s="1"/>
  <c r="AN120" i="2262" s="1"/>
  <c r="AK121" i="2262"/>
  <c r="AM121" i="2262" s="1"/>
  <c r="AN121" i="2262" s="1"/>
  <c r="AK127" i="2262"/>
  <c r="AM127" i="2262" s="1"/>
  <c r="AN127" i="2262" s="1"/>
  <c r="AK139" i="2262"/>
  <c r="AM139" i="2262" s="1"/>
  <c r="AN139" i="2262" s="1"/>
  <c r="AK141" i="2262"/>
  <c r="AM141" i="2262" s="1"/>
  <c r="AN141" i="2262" s="1"/>
  <c r="AK143" i="2262"/>
  <c r="AM143" i="2262" s="1"/>
  <c r="AN143" i="2262" s="1"/>
  <c r="AK145" i="2262"/>
  <c r="AM145" i="2262" s="1"/>
  <c r="AN145" i="2262" s="1"/>
  <c r="AK152" i="2262"/>
  <c r="AM152" i="2262" s="1"/>
  <c r="AN152" i="2262" s="1"/>
  <c r="AK65" i="2262"/>
  <c r="AM65" i="2262" s="1"/>
  <c r="AN65" i="2262" s="1"/>
  <c r="AK66" i="2262"/>
  <c r="AM66" i="2262" s="1"/>
  <c r="AN66" i="2262" s="1"/>
  <c r="AK74" i="2262"/>
  <c r="AM74" i="2262" s="1"/>
  <c r="AN74" i="2262" s="1"/>
  <c r="AK81" i="2262"/>
  <c r="AM81" i="2262" s="1"/>
  <c r="AN81" i="2262" s="1"/>
  <c r="AK86" i="2262"/>
  <c r="AM86" i="2262" s="1"/>
  <c r="AN86" i="2262" s="1"/>
  <c r="AK91" i="2262"/>
  <c r="AM91" i="2262" s="1"/>
  <c r="AN91" i="2262" s="1"/>
  <c r="AK95" i="2262"/>
  <c r="AM95" i="2262" s="1"/>
  <c r="AN95" i="2262" s="1"/>
  <c r="AK135" i="2262"/>
  <c r="AM135" i="2262" s="1"/>
  <c r="AN135" i="2262" s="1"/>
  <c r="AK138" i="2262"/>
  <c r="AM138" i="2262" s="1"/>
  <c r="AN138" i="2262" s="1"/>
  <c r="AK144" i="2262"/>
  <c r="AM144" i="2262" s="1"/>
  <c r="AN144" i="2262" s="1"/>
  <c r="AK149" i="2262"/>
  <c r="AM149" i="2262" s="1"/>
  <c r="AN149" i="2262" s="1"/>
  <c r="AK151" i="2262"/>
  <c r="AM151" i="2262" s="1"/>
  <c r="AN151" i="2262" s="1"/>
  <c r="AK157" i="2262"/>
  <c r="AM157" i="2262" s="1"/>
  <c r="AN157" i="2262" s="1"/>
  <c r="AK58" i="2262"/>
  <c r="AM58" i="2262" s="1"/>
  <c r="AN58" i="2262" s="1"/>
  <c r="AK78" i="2262"/>
  <c r="AM78" i="2262" s="1"/>
  <c r="AN78" i="2262" s="1"/>
  <c r="AK82" i="2262"/>
  <c r="AM82" i="2262" s="1"/>
  <c r="AN82" i="2262" s="1"/>
  <c r="AK88" i="2262"/>
  <c r="AM88" i="2262" s="1"/>
  <c r="AN88" i="2262" s="1"/>
  <c r="AK93" i="2262"/>
  <c r="AM93" i="2262" s="1"/>
  <c r="AN93" i="2262" s="1"/>
  <c r="AK136" i="2262"/>
  <c r="AM136" i="2262" s="1"/>
  <c r="AN136" i="2262" s="1"/>
  <c r="AK156" i="2262"/>
  <c r="AM156" i="2262" s="1"/>
  <c r="AN156" i="2262" s="1"/>
  <c r="AK57" i="2262"/>
  <c r="AM57" i="2262" s="1"/>
  <c r="AN57" i="2262" s="1"/>
  <c r="AK98" i="2262"/>
  <c r="AM98" i="2262" s="1"/>
  <c r="AN98" i="2262" s="1"/>
  <c r="AK119" i="2262"/>
  <c r="AM119" i="2262" s="1"/>
  <c r="AN119" i="2262" s="1"/>
  <c r="AK132" i="2262"/>
  <c r="AM132" i="2262" s="1"/>
  <c r="AN132" i="2262" s="1"/>
  <c r="AK142" i="2262"/>
  <c r="AM142" i="2262" s="1"/>
  <c r="AN142" i="2262" s="1"/>
  <c r="AK148" i="2262"/>
  <c r="AM148" i="2262" s="1"/>
  <c r="AN148" i="2262" s="1"/>
  <c r="AK87" i="2262"/>
  <c r="AM87" i="2262" s="1"/>
  <c r="AN87" i="2262" s="1"/>
  <c r="AK90" i="2262"/>
  <c r="AM90" i="2262" s="1"/>
  <c r="AN90" i="2262" s="1"/>
  <c r="AK96" i="2262"/>
  <c r="AM96" i="2262" s="1"/>
  <c r="AN96" i="2262" s="1"/>
  <c r="AK137" i="2262"/>
  <c r="AM137" i="2262" s="1"/>
  <c r="AN137" i="2262" s="1"/>
  <c r="AK147" i="2262"/>
  <c r="AM147" i="2262" s="1"/>
  <c r="AN147" i="2262" s="1"/>
  <c r="AK150" i="2262"/>
  <c r="AM150" i="2262" s="1"/>
  <c r="AN150" i="2262" s="1"/>
  <c r="AK92" i="2262"/>
  <c r="AM92" i="2262" s="1"/>
  <c r="AN92" i="2262" s="1"/>
  <c r="AK140" i="2262"/>
  <c r="AM140" i="2262" s="1"/>
  <c r="AN140" i="2262" s="1"/>
  <c r="AK59" i="2262"/>
  <c r="AM59" i="2262" s="1"/>
  <c r="AN59" i="2262" s="1"/>
  <c r="AK101" i="2262"/>
  <c r="AM101" i="2262" s="1"/>
  <c r="AN101" i="2262" s="1"/>
  <c r="AK146" i="2262"/>
  <c r="AM146" i="2262" s="1"/>
  <c r="AN146" i="2262" s="1"/>
  <c r="AK192" i="2262"/>
  <c r="AM192" i="2262" s="1"/>
  <c r="AN192" i="2262" s="1"/>
  <c r="AK80" i="2262"/>
  <c r="AM80" i="2262" s="1"/>
  <c r="AN80" i="2262" s="1"/>
  <c r="AK94" i="2262"/>
  <c r="AM94" i="2262" s="1"/>
  <c r="AN94" i="2262" s="1"/>
  <c r="AK131" i="2262"/>
  <c r="AM131" i="2262" s="1"/>
  <c r="AN131" i="2262" s="1"/>
  <c r="AK158" i="2262"/>
  <c r="AM158" i="2262" s="1"/>
  <c r="AN158" i="2262" s="1"/>
  <c r="P76" i="2262"/>
  <c r="P104" i="2262"/>
  <c r="P106" i="2262"/>
  <c r="P109" i="2262"/>
  <c r="P111" i="2262"/>
  <c r="P113" i="2262"/>
  <c r="P116" i="2262"/>
  <c r="P124" i="2262"/>
  <c r="P142" i="2262"/>
  <c r="P146" i="2262"/>
  <c r="P150" i="2262"/>
  <c r="P105" i="2262"/>
  <c r="P107" i="2262"/>
  <c r="P112" i="2262"/>
  <c r="P115" i="2262"/>
  <c r="P125" i="2262"/>
  <c r="P129" i="2262"/>
  <c r="P132" i="2262"/>
  <c r="P139" i="2262"/>
  <c r="P143" i="2262"/>
  <c r="P145" i="2262"/>
  <c r="P148" i="2262"/>
  <c r="P152" i="2262"/>
  <c r="P154" i="2262"/>
  <c r="P158" i="2262"/>
  <c r="P160" i="2262"/>
  <c r="P164" i="2262"/>
  <c r="P167" i="2262"/>
  <c r="P103" i="2262"/>
  <c r="P117" i="2262"/>
  <c r="P126" i="2262"/>
  <c r="P131" i="2262"/>
  <c r="P133" i="2262"/>
  <c r="P149" i="2262"/>
  <c r="P153" i="2262"/>
  <c r="P161" i="2262"/>
  <c r="P163" i="2262"/>
  <c r="P173" i="2262"/>
  <c r="P185" i="2262"/>
  <c r="P192" i="2262"/>
  <c r="P97" i="2262"/>
  <c r="P110" i="2262"/>
  <c r="P141" i="2262"/>
  <c r="P147" i="2262"/>
  <c r="P159" i="2262"/>
  <c r="P166" i="2262"/>
  <c r="P179" i="2262"/>
  <c r="P187" i="2262"/>
  <c r="P190" i="2262"/>
  <c r="P98" i="2262"/>
  <c r="P102" i="2262"/>
  <c r="P114" i="2262"/>
  <c r="P122" i="2262"/>
  <c r="P174" i="2262"/>
  <c r="P180" i="2262"/>
  <c r="P184" i="2262"/>
  <c r="P188" i="2262"/>
  <c r="P144" i="2262"/>
  <c r="P151" i="2262"/>
  <c r="P108" i="2262"/>
  <c r="P128" i="2262"/>
  <c r="P130" i="2262"/>
  <c r="P137" i="2262"/>
  <c r="P157" i="2262"/>
  <c r="P162" i="2262"/>
  <c r="P101" i="2262"/>
  <c r="P189" i="2262"/>
  <c r="P191" i="2262"/>
  <c r="AK9" i="2262"/>
  <c r="AM9" i="2262" s="1"/>
  <c r="AN9" i="2262" s="1"/>
  <c r="AK15" i="2262"/>
  <c r="AM15" i="2262" s="1"/>
  <c r="AN15" i="2262" s="1"/>
  <c r="AK16" i="2262"/>
  <c r="AM16" i="2262" s="1"/>
  <c r="AN16" i="2262" s="1"/>
  <c r="AK19" i="2262"/>
  <c r="AM19" i="2262" s="1"/>
  <c r="AN19" i="2262" s="1"/>
  <c r="AK20" i="2262"/>
  <c r="AM20" i="2262" s="1"/>
  <c r="AN20" i="2262" s="1"/>
  <c r="AK24" i="2262"/>
  <c r="AM24" i="2262" s="1"/>
  <c r="AN24" i="2262" s="1"/>
  <c r="AK27" i="2262"/>
  <c r="AM27" i="2262" s="1"/>
  <c r="AN27" i="2262" s="1"/>
  <c r="AK29" i="2262"/>
  <c r="AM29" i="2262" s="1"/>
  <c r="AN29" i="2262" s="1"/>
  <c r="AK34" i="2262"/>
  <c r="AM34" i="2262" s="1"/>
  <c r="AN34" i="2262" s="1"/>
  <c r="AK38" i="2262"/>
  <c r="AM38" i="2262" s="1"/>
  <c r="AN38" i="2262" s="1"/>
  <c r="AK39" i="2262"/>
  <c r="AM39" i="2262" s="1"/>
  <c r="AN39" i="2262" s="1"/>
  <c r="AK41" i="2262"/>
  <c r="AM41" i="2262" s="1"/>
  <c r="AN41" i="2262" s="1"/>
  <c r="AK10" i="2262"/>
  <c r="AM10" i="2262" s="1"/>
  <c r="AN10" i="2262" s="1"/>
  <c r="AK21" i="2262"/>
  <c r="AM21" i="2262" s="1"/>
  <c r="AN21" i="2262" s="1"/>
  <c r="AK37" i="2262"/>
  <c r="AM37" i="2262" s="1"/>
  <c r="AN37" i="2262" s="1"/>
  <c r="AK13" i="2262"/>
  <c r="AM13" i="2262" s="1"/>
  <c r="AN13" i="2262" s="1"/>
  <c r="AK14" i="2262"/>
  <c r="AM14" i="2262" s="1"/>
  <c r="AN14" i="2262" s="1"/>
  <c r="AK17" i="2262"/>
  <c r="AM17" i="2262" s="1"/>
  <c r="AN17" i="2262" s="1"/>
  <c r="AK18" i="2262"/>
  <c r="AM18" i="2262" s="1"/>
  <c r="AN18" i="2262" s="1"/>
  <c r="AK23" i="2262"/>
  <c r="AM23" i="2262" s="1"/>
  <c r="AN23" i="2262" s="1"/>
  <c r="AK26" i="2262"/>
  <c r="AM26" i="2262" s="1"/>
  <c r="AN26" i="2262" s="1"/>
  <c r="AK30" i="2262"/>
  <c r="AM30" i="2262" s="1"/>
  <c r="AN30" i="2262" s="1"/>
  <c r="AK40" i="2262"/>
  <c r="AM40" i="2262" s="1"/>
  <c r="AN40" i="2262" s="1"/>
  <c r="AK51" i="2262"/>
  <c r="AM51" i="2262" s="1"/>
  <c r="AN51" i="2262" s="1"/>
  <c r="AK53" i="2262"/>
  <c r="AM53" i="2262" s="1"/>
  <c r="AN53" i="2262" s="1"/>
  <c r="AK28" i="2262"/>
  <c r="AM28" i="2262" s="1"/>
  <c r="AN28" i="2262" s="1"/>
  <c r="AK33" i="2262"/>
  <c r="AM33" i="2262" s="1"/>
  <c r="AN33" i="2262" s="1"/>
  <c r="AK73" i="2262"/>
  <c r="AM73" i="2262" s="1"/>
  <c r="AN73" i="2262" s="1"/>
  <c r="AK123" i="2262"/>
  <c r="AM123" i="2262" s="1"/>
  <c r="AN123" i="2262" s="1"/>
  <c r="AK8" i="2262"/>
  <c r="AK22" i="2262"/>
  <c r="AM22" i="2262" s="1"/>
  <c r="AN22" i="2262" s="1"/>
  <c r="AK25" i="2262"/>
  <c r="AM25" i="2262" s="1"/>
  <c r="AN25" i="2262" s="1"/>
  <c r="AK32" i="2262"/>
  <c r="AM32" i="2262" s="1"/>
  <c r="AN32" i="2262" s="1"/>
  <c r="AK36" i="2262"/>
  <c r="AM36" i="2262" s="1"/>
  <c r="AN36" i="2262" s="1"/>
  <c r="AK71" i="2262"/>
  <c r="AM71" i="2262" s="1"/>
  <c r="AN71" i="2262" s="1"/>
  <c r="AK122" i="2262"/>
  <c r="AM122" i="2262" s="1"/>
  <c r="AN122" i="2262" s="1"/>
  <c r="AK166" i="2262"/>
  <c r="AM166" i="2262" s="1"/>
  <c r="AN166" i="2262" s="1"/>
  <c r="AK167" i="2262"/>
  <c r="AM167" i="2262" s="1"/>
  <c r="AN167" i="2262" s="1"/>
  <c r="AK169" i="2262"/>
  <c r="AM169" i="2262" s="1"/>
  <c r="AN169" i="2262" s="1"/>
  <c r="AK173" i="2262"/>
  <c r="AM173" i="2262" s="1"/>
  <c r="AN173" i="2262" s="1"/>
  <c r="AK174" i="2262"/>
  <c r="AM174" i="2262" s="1"/>
  <c r="AN174" i="2262" s="1"/>
  <c r="AK177" i="2262"/>
  <c r="AM177" i="2262" s="1"/>
  <c r="AN177" i="2262" s="1"/>
  <c r="AK31" i="2262"/>
  <c r="AM31" i="2262" s="1"/>
  <c r="AN31" i="2262" s="1"/>
  <c r="AK170" i="2262"/>
  <c r="AM170" i="2262" s="1"/>
  <c r="AN170" i="2262" s="1"/>
  <c r="AK171" i="2262"/>
  <c r="AM171" i="2262" s="1"/>
  <c r="AN171" i="2262" s="1"/>
  <c r="AK180" i="2262"/>
  <c r="AM180" i="2262" s="1"/>
  <c r="AN180" i="2262" s="1"/>
  <c r="AK188" i="2262"/>
  <c r="AM188" i="2262" s="1"/>
  <c r="AN188" i="2262" s="1"/>
  <c r="AK190" i="2262"/>
  <c r="AM190" i="2262" s="1"/>
  <c r="AN190" i="2262" s="1"/>
  <c r="AK191" i="2262"/>
  <c r="AM191" i="2262" s="1"/>
  <c r="AN191" i="2262" s="1"/>
  <c r="AK35" i="2262"/>
  <c r="AM35" i="2262" s="1"/>
  <c r="AN35" i="2262" s="1"/>
  <c r="AK172" i="2262"/>
  <c r="AM172" i="2262" s="1"/>
  <c r="AN172" i="2262" s="1"/>
  <c r="AK184" i="2262"/>
  <c r="AM184" i="2262" s="1"/>
  <c r="AN184" i="2262" s="1"/>
  <c r="AK189" i="2262"/>
  <c r="AM189" i="2262" s="1"/>
  <c r="AN189" i="2262" s="1"/>
  <c r="AK60" i="2262"/>
  <c r="AM60" i="2262" s="1"/>
  <c r="AN60" i="2262" s="1"/>
  <c r="AK168" i="2262"/>
  <c r="AM168" i="2262" s="1"/>
  <c r="AN168" i="2262" s="1"/>
  <c r="AK185" i="2262"/>
  <c r="AM185" i="2262" s="1"/>
  <c r="AN185" i="2262" s="1"/>
  <c r="AK175" i="2262"/>
  <c r="AM175" i="2262" s="1"/>
  <c r="AN175" i="2262" s="1"/>
  <c r="AK7" i="2262"/>
  <c r="AK52" i="2262"/>
  <c r="AM52" i="2262" s="1"/>
  <c r="AN52" i="2262" s="1"/>
  <c r="AK181" i="2262"/>
  <c r="AM181" i="2262" s="1"/>
  <c r="AN181" i="2262" s="1"/>
  <c r="AK182" i="2262"/>
  <c r="AM182" i="2262" s="1"/>
  <c r="AN182" i="2262" s="1"/>
  <c r="AK69" i="2262"/>
  <c r="AM69" i="2262" s="1"/>
  <c r="AN69" i="2262" s="1"/>
  <c r="AK176" i="2262"/>
  <c r="AM176" i="2262" s="1"/>
  <c r="AN176" i="2262" s="1"/>
  <c r="AK179" i="2262"/>
  <c r="AM179" i="2262" s="1"/>
  <c r="AN179" i="2262" s="1"/>
  <c r="AK183" i="2262"/>
  <c r="AM183" i="2262" s="1"/>
  <c r="AN183" i="2262" s="1"/>
  <c r="AK187" i="2262"/>
  <c r="AM187" i="2262" s="1"/>
  <c r="AN187" i="2262" s="1"/>
  <c r="AK12" i="2262"/>
  <c r="AM12" i="2262" s="1"/>
  <c r="AN12" i="2262" s="1"/>
  <c r="AK165" i="2262"/>
  <c r="AM165" i="2262" s="1"/>
  <c r="AN165" i="2262" s="1"/>
  <c r="AK178" i="2262"/>
  <c r="AM178" i="2262" s="1"/>
  <c r="AN178" i="2262" s="1"/>
  <c r="AK186" i="2262"/>
  <c r="AM186" i="2262" s="1"/>
  <c r="AN186" i="2262" s="1"/>
  <c r="AK11" i="2262"/>
  <c r="AM11" i="2262" s="1"/>
  <c r="AN11" i="2262" s="1"/>
  <c r="AK103" i="2262"/>
  <c r="AM103" i="2262" s="1"/>
  <c r="AN103" i="2262" s="1"/>
  <c r="AK105" i="2262"/>
  <c r="AM105" i="2262" s="1"/>
  <c r="AN105" i="2262" s="1"/>
  <c r="AK108" i="2262"/>
  <c r="AM108" i="2262" s="1"/>
  <c r="AN108" i="2262" s="1"/>
  <c r="AK112" i="2262"/>
  <c r="AM112" i="2262" s="1"/>
  <c r="AN112" i="2262" s="1"/>
  <c r="AK110" i="2262"/>
  <c r="AM110" i="2262" s="1"/>
  <c r="AN110" i="2262" s="1"/>
  <c r="AK114" i="2262"/>
  <c r="AM114" i="2262" s="1"/>
  <c r="AN114" i="2262" s="1"/>
  <c r="AK117" i="2262"/>
  <c r="AM117" i="2262" s="1"/>
  <c r="AN117" i="2262" s="1"/>
  <c r="AK104" i="2262"/>
  <c r="AM104" i="2262" s="1"/>
  <c r="AN104" i="2262" s="1"/>
  <c r="AK106" i="2262"/>
  <c r="AM106" i="2262" s="1"/>
  <c r="AN106" i="2262" s="1"/>
  <c r="AK113" i="2262"/>
  <c r="AM113" i="2262" s="1"/>
  <c r="AN113" i="2262" s="1"/>
  <c r="AK115" i="2262"/>
  <c r="AM115" i="2262" s="1"/>
  <c r="AN115" i="2262" s="1"/>
  <c r="AK111" i="2262"/>
  <c r="AM111" i="2262" s="1"/>
  <c r="AN111" i="2262" s="1"/>
  <c r="AK116" i="2262"/>
  <c r="AM116" i="2262" s="1"/>
  <c r="AN116" i="2262" s="1"/>
  <c r="AK109" i="2262"/>
  <c r="AM109" i="2262" s="1"/>
  <c r="AN109" i="2262" s="1"/>
  <c r="AK107" i="2262"/>
  <c r="AM107" i="2262" s="1"/>
  <c r="AN107" i="2262" s="1"/>
  <c r="AK302" i="2262"/>
  <c r="AM302" i="2262" s="1"/>
  <c r="AN302" i="2262" s="1"/>
  <c r="AK323" i="2262"/>
  <c r="AM323" i="2262" s="1"/>
  <c r="AN323" i="2262" s="1"/>
  <c r="AK324" i="2262"/>
  <c r="AM324" i="2262" s="1"/>
  <c r="AN324" i="2262" s="1"/>
  <c r="AK327" i="2262"/>
  <c r="AM327" i="2262" s="1"/>
  <c r="AN327" i="2262" s="1"/>
  <c r="AK322" i="2262"/>
  <c r="AM322" i="2262" s="1"/>
  <c r="AN322" i="2262" s="1"/>
  <c r="AK326" i="2262"/>
  <c r="AM326" i="2262" s="1"/>
  <c r="AN326" i="2262" s="1"/>
  <c r="AK325" i="2262"/>
  <c r="AM325" i="2262" s="1"/>
  <c r="AN325" i="2262" s="1"/>
  <c r="P28" i="2262"/>
  <c r="P30" i="2262"/>
  <c r="P29" i="2262"/>
  <c r="P17" i="2262"/>
  <c r="P21" i="2262"/>
  <c r="P40" i="2262"/>
  <c r="P42" i="2262"/>
  <c r="P48" i="2262"/>
  <c r="P50" i="2262"/>
  <c r="P64" i="2262"/>
  <c r="P66" i="2262"/>
  <c r="P11" i="2262"/>
  <c r="P12" i="2262"/>
  <c r="P13" i="2262"/>
  <c r="P22" i="2262"/>
  <c r="P23" i="2262"/>
  <c r="P14" i="2262"/>
  <c r="P15" i="2262"/>
  <c r="P18" i="2262"/>
  <c r="P19" i="2262"/>
  <c r="P41" i="2262"/>
  <c r="P43" i="2262"/>
  <c r="P54" i="2262"/>
  <c r="P46" i="2262" s="1"/>
  <c r="P57" i="2262"/>
  <c r="P63" i="2262"/>
  <c r="P65" i="2262"/>
  <c r="P69" i="2262"/>
  <c r="P71" i="2262"/>
  <c r="P78" i="2262"/>
  <c r="P80" i="2262"/>
  <c r="P8" i="2262"/>
  <c r="P52" i="2262"/>
  <c r="P55" i="2262"/>
  <c r="P60" i="2262"/>
  <c r="P67" i="2262"/>
  <c r="P73" i="2262"/>
  <c r="P84" i="2262"/>
  <c r="P86" i="2262"/>
  <c r="P87" i="2262"/>
  <c r="P45" i="2262" s="1"/>
  <c r="P16" i="2262"/>
  <c r="P62" i="2262"/>
  <c r="P72" i="2262"/>
  <c r="P85" i="2262"/>
  <c r="P90" i="2262"/>
  <c r="P92" i="2262"/>
  <c r="P121" i="2262"/>
  <c r="P10" i="2262"/>
  <c r="P59" i="2262"/>
  <c r="P61" i="2262"/>
  <c r="P81" i="2262"/>
  <c r="P82" i="2262"/>
  <c r="P94" i="2262"/>
  <c r="P120" i="2262"/>
  <c r="P123" i="2262"/>
  <c r="P175" i="2262"/>
  <c r="P58" i="2262"/>
  <c r="P68" i="2262"/>
  <c r="P182" i="2262"/>
  <c r="P49" i="2262"/>
  <c r="P51" i="2262"/>
  <c r="P53" i="2262"/>
  <c r="P70" i="2262"/>
  <c r="P127" i="2262"/>
  <c r="P176" i="2262"/>
  <c r="P181" i="2262"/>
  <c r="P88" i="2262"/>
  <c r="P178" i="2262"/>
  <c r="P186" i="2262"/>
  <c r="P7" i="2262"/>
  <c r="P77" i="2262"/>
  <c r="P89" i="2262"/>
  <c r="P91" i="2262"/>
  <c r="P56" i="2262"/>
  <c r="P79" i="2262"/>
  <c r="P119" i="2262"/>
  <c r="P177" i="2262"/>
  <c r="P47" i="2262"/>
  <c r="P93" i="2262"/>
  <c r="P95" i="2262"/>
  <c r="P183" i="2262"/>
  <c r="AK85" i="2262"/>
  <c r="AM85" i="2262" s="1"/>
  <c r="AN85" i="2262" s="1"/>
  <c r="AK130" i="2262"/>
  <c r="AM130" i="2262" s="1"/>
  <c r="AN130" i="2262" s="1"/>
  <c r="AK162" i="2262"/>
  <c r="AM162" i="2262" s="1"/>
  <c r="AN162" i="2262" s="1"/>
  <c r="AK84" i="2262"/>
  <c r="AM84" i="2262" s="1"/>
  <c r="AN84" i="2262" s="1"/>
  <c r="AK159" i="2262"/>
  <c r="AM159" i="2262" s="1"/>
  <c r="AN159" i="2262" s="1"/>
  <c r="AK129" i="2262"/>
  <c r="AM129" i="2262" s="1"/>
  <c r="AN129" i="2262" s="1"/>
  <c r="AK125" i="2262"/>
  <c r="AM125" i="2262" s="1"/>
  <c r="AN125" i="2262" s="1"/>
  <c r="AK128" i="2262"/>
  <c r="AM128" i="2262" s="1"/>
  <c r="AN128" i="2262" s="1"/>
  <c r="AK134" i="2262"/>
  <c r="AM134" i="2262" s="1"/>
  <c r="AN134" i="2262" s="1"/>
  <c r="AK154" i="2262"/>
  <c r="AM154" i="2262" s="1"/>
  <c r="AN154" i="2262" s="1"/>
  <c r="AK164" i="2262"/>
  <c r="AM164" i="2262" s="1"/>
  <c r="AN164" i="2262" s="1"/>
  <c r="AK153" i="2262"/>
  <c r="AM153" i="2262" s="1"/>
  <c r="AN153" i="2262" s="1"/>
  <c r="AK163" i="2262"/>
  <c r="AM163" i="2262" s="1"/>
  <c r="AN163" i="2262" s="1"/>
  <c r="AK126" i="2262"/>
  <c r="AM126" i="2262" s="1"/>
  <c r="AN126" i="2262" s="1"/>
  <c r="AK133" i="2262"/>
  <c r="AM133" i="2262" s="1"/>
  <c r="AN133" i="2262" s="1"/>
  <c r="AK124" i="2262"/>
  <c r="AM124" i="2262" s="1"/>
  <c r="AN124" i="2262" s="1"/>
  <c r="P75" i="2262"/>
  <c r="P100" i="2262"/>
  <c r="P96" i="2262"/>
  <c r="P118" i="2262"/>
  <c r="P134" i="2262"/>
  <c r="P136" i="2262"/>
  <c r="P156" i="2262"/>
  <c r="P74" i="2262"/>
  <c r="P99" i="2262"/>
  <c r="P135" i="2262"/>
  <c r="P155" i="2262"/>
  <c r="P165" i="2262"/>
  <c r="P140" i="2262"/>
  <c r="P138" i="2262"/>
  <c r="P83" i="2262"/>
  <c r="P25" i="2262"/>
  <c r="P26" i="2262"/>
  <c r="P24" i="2262"/>
  <c r="P27" i="2262"/>
  <c r="P31" i="2262"/>
  <c r="P9" i="2262"/>
  <c r="P20" i="2262"/>
  <c r="BC301" i="2262"/>
  <c r="BC300" i="2262"/>
  <c r="BC299" i="2262"/>
  <c r="BC298" i="2262"/>
  <c r="BC297" i="2262"/>
  <c r="BC296" i="2262"/>
  <c r="BC295" i="2262"/>
  <c r="BC294" i="2262"/>
  <c r="BC293" i="2262"/>
  <c r="BC292" i="2262"/>
  <c r="BC291" i="2262"/>
  <c r="BC290" i="2262"/>
  <c r="BC289" i="2262"/>
  <c r="BC288" i="2262"/>
  <c r="BC287" i="2262"/>
  <c r="BC286" i="2262"/>
  <c r="BC285" i="2262"/>
  <c r="BC284" i="2262"/>
  <c r="BC283" i="2262"/>
  <c r="BC282" i="2262"/>
  <c r="BC281" i="2262"/>
  <c r="BC280" i="2262"/>
  <c r="BC279" i="2262"/>
  <c r="BC278" i="2262"/>
  <c r="BC277" i="2262"/>
  <c r="BC276" i="2262"/>
  <c r="BC275" i="2262"/>
  <c r="BC274" i="2262"/>
  <c r="BC273" i="2262"/>
  <c r="BC272" i="2262"/>
  <c r="BC271" i="2262"/>
  <c r="BC270" i="2262"/>
  <c r="BC269" i="2262"/>
  <c r="BC268" i="2262"/>
  <c r="BC267" i="2262"/>
  <c r="BC266" i="2262"/>
  <c r="BC265" i="2262"/>
  <c r="BC264" i="2262"/>
  <c r="BC263" i="2262"/>
  <c r="BC262" i="2262"/>
  <c r="BC261" i="2262"/>
  <c r="BC260" i="2262"/>
  <c r="BC259" i="2262"/>
  <c r="BC258" i="2262"/>
  <c r="BC257" i="2262"/>
  <c r="BC256" i="2262"/>
  <c r="BC255" i="2262"/>
  <c r="BC254" i="2262"/>
  <c r="BC253" i="2262"/>
  <c r="BC252" i="2262"/>
  <c r="BC251" i="2262"/>
  <c r="BC250" i="2262"/>
  <c r="BC249" i="2262"/>
  <c r="BC248" i="2262"/>
  <c r="BC247" i="2262"/>
  <c r="BC246" i="2262"/>
  <c r="BC245" i="2262"/>
  <c r="BC244" i="2262"/>
  <c r="BC243" i="2262"/>
  <c r="BC242" i="2262"/>
  <c r="BC241" i="2262"/>
  <c r="BC240" i="2262"/>
  <c r="BC239" i="2262"/>
  <c r="BC238" i="2262"/>
  <c r="BC237" i="2262"/>
  <c r="BC236" i="2262"/>
  <c r="BC235" i="2262"/>
  <c r="BC234" i="2262"/>
  <c r="BC233" i="2262"/>
  <c r="BC232" i="2262"/>
  <c r="BC231" i="2262"/>
  <c r="BC230" i="2262"/>
  <c r="BC229" i="2262"/>
  <c r="BC228" i="2262"/>
  <c r="BC227" i="2262"/>
  <c r="BC226" i="2262"/>
  <c r="BC225" i="2262"/>
  <c r="BC224" i="2262"/>
  <c r="BC223" i="2262"/>
  <c r="BC222" i="2262"/>
  <c r="BC221" i="2262"/>
  <c r="BC220" i="2262"/>
  <c r="BC219" i="2262"/>
  <c r="BC218" i="2262"/>
  <c r="BC217" i="2262"/>
  <c r="BC216" i="2262"/>
  <c r="BC215" i="2262"/>
  <c r="BC214" i="2262"/>
  <c r="BC213" i="2262"/>
  <c r="BC212" i="2262"/>
  <c r="BC211" i="2262"/>
  <c r="BC210" i="2262"/>
  <c r="BC209" i="2262"/>
  <c r="BC208" i="2262"/>
  <c r="BC207" i="2262"/>
  <c r="BC206" i="2262"/>
  <c r="BC205" i="2262"/>
  <c r="BC204" i="2262"/>
  <c r="BC203" i="2262"/>
  <c r="BC202" i="2262"/>
  <c r="BC201" i="2262"/>
  <c r="BC200" i="2262"/>
  <c r="BC199" i="2262"/>
  <c r="BC198" i="2262"/>
  <c r="BC197" i="2262"/>
  <c r="BC196" i="2262"/>
  <c r="BC195" i="2262"/>
  <c r="BC194" i="2262"/>
  <c r="BC193" i="2262"/>
  <c r="F310" i="2262" l="1"/>
  <c r="G309" i="2262"/>
  <c r="O309" i="2262" s="1"/>
  <c r="AM8" i="2262"/>
  <c r="AN8" i="2262" s="1"/>
  <c r="AM7" i="2262"/>
  <c r="AN7" i="2262" s="1"/>
  <c r="N308" i="2262"/>
  <c r="AO307" i="2262"/>
  <c r="BA307" i="2262"/>
  <c r="AZ307" i="2262"/>
  <c r="AY307" i="2262"/>
  <c r="AW307" i="2262"/>
  <c r="AX307" i="2262"/>
  <c r="AV307" i="2262"/>
  <c r="AS307" i="2262"/>
  <c r="AP307" i="2262"/>
  <c r="AR307" i="2262"/>
  <c r="AQ307" i="2262"/>
  <c r="AO306" i="2262"/>
  <c r="BA306" i="2262"/>
  <c r="AZ306" i="2262"/>
  <c r="AY306" i="2262"/>
  <c r="AX306" i="2262"/>
  <c r="AW306" i="2262"/>
  <c r="AS306" i="2262"/>
  <c r="AV306" i="2262"/>
  <c r="AR306" i="2262"/>
  <c r="AQ306" i="2262"/>
  <c r="AP306" i="2262"/>
  <c r="AO304" i="2262"/>
  <c r="BA304" i="2262"/>
  <c r="AZ304" i="2262"/>
  <c r="AY304" i="2262"/>
  <c r="AX304" i="2262"/>
  <c r="AW304" i="2262"/>
  <c r="AS304" i="2262"/>
  <c r="AV304" i="2262"/>
  <c r="AQ304" i="2262"/>
  <c r="AR304" i="2262"/>
  <c r="AP304" i="2262"/>
  <c r="AO303" i="2262"/>
  <c r="BA303" i="2262"/>
  <c r="AZ303" i="2262"/>
  <c r="AY303" i="2262"/>
  <c r="AW303" i="2262"/>
  <c r="AX303" i="2262"/>
  <c r="AV303" i="2262"/>
  <c r="AS303" i="2262"/>
  <c r="AR303" i="2262"/>
  <c r="AP303" i="2262"/>
  <c r="AQ303" i="2262"/>
  <c r="AO305" i="2262"/>
  <c r="BA305" i="2262"/>
  <c r="AZ305" i="2262"/>
  <c r="AY305" i="2262"/>
  <c r="AW305" i="2262"/>
  <c r="AX305" i="2262"/>
  <c r="AV305" i="2262"/>
  <c r="AS305" i="2262"/>
  <c r="AR305" i="2262"/>
  <c r="AP305" i="2262"/>
  <c r="AQ305" i="2262"/>
  <c r="AB309" i="2262"/>
  <c r="O308" i="2262"/>
  <c r="AB308" i="2262"/>
  <c r="AK44" i="2262"/>
  <c r="N309" i="2262" l="1"/>
  <c r="G310" i="2262"/>
  <c r="F311" i="2262"/>
  <c r="AH309" i="2262"/>
  <c r="AI309" i="2262" s="1"/>
  <c r="AH308" i="2262"/>
  <c r="AI308" i="2262" s="1"/>
  <c r="AM44" i="2262"/>
  <c r="AN44" i="2262" s="1"/>
  <c r="G311" i="2262" l="1"/>
  <c r="F312" i="2262"/>
  <c r="N310" i="2262"/>
  <c r="AB310" i="2262"/>
  <c r="O310" i="2262"/>
  <c r="AO308" i="2262"/>
  <c r="BA308" i="2262"/>
  <c r="AZ308" i="2262"/>
  <c r="AY308" i="2262"/>
  <c r="AX308" i="2262"/>
  <c r="AW308" i="2262"/>
  <c r="AS308" i="2262"/>
  <c r="AV308" i="2262"/>
  <c r="AR308" i="2262"/>
  <c r="AQ308" i="2262"/>
  <c r="AP308" i="2262"/>
  <c r="AO309" i="2262"/>
  <c r="BA309" i="2262"/>
  <c r="AZ309" i="2262"/>
  <c r="AY309" i="2262"/>
  <c r="AW309" i="2262"/>
  <c r="AX309" i="2262"/>
  <c r="AV309" i="2262"/>
  <c r="AS309" i="2262"/>
  <c r="AR309" i="2262"/>
  <c r="AP309" i="2262"/>
  <c r="AQ309" i="2262"/>
  <c r="G312" i="2262" l="1"/>
  <c r="F313" i="2262"/>
  <c r="AH310" i="2262"/>
  <c r="AI310" i="2262" s="1"/>
  <c r="N311" i="2262"/>
  <c r="O311" i="2262"/>
  <c r="AB311" i="2262"/>
  <c r="A1" i="2274"/>
  <c r="AH311" i="2262" l="1"/>
  <c r="AI311" i="2262" s="1"/>
  <c r="G313" i="2262"/>
  <c r="F314" i="2262"/>
  <c r="AO310" i="2262"/>
  <c r="AZ310" i="2262"/>
  <c r="AX310" i="2262"/>
  <c r="AS310" i="2262"/>
  <c r="AR310" i="2262"/>
  <c r="AP310" i="2262"/>
  <c r="BA310" i="2262"/>
  <c r="AY310" i="2262"/>
  <c r="AW310" i="2262"/>
  <c r="AV310" i="2262"/>
  <c r="AQ310" i="2262"/>
  <c r="N312" i="2262"/>
  <c r="O312" i="2262"/>
  <c r="AB312" i="2262"/>
  <c r="D48" i="2273"/>
  <c r="C48" i="2273" s="1"/>
  <c r="AB313" i="2262" l="1"/>
  <c r="N313" i="2262"/>
  <c r="O313" i="2262"/>
  <c r="AH312" i="2262"/>
  <c r="AI312" i="2262" s="1"/>
  <c r="G314" i="2262"/>
  <c r="F315" i="2262"/>
  <c r="AO311" i="2262"/>
  <c r="AZ311" i="2262"/>
  <c r="AW311" i="2262"/>
  <c r="AV311" i="2262"/>
  <c r="AP311" i="2262"/>
  <c r="AQ311" i="2262"/>
  <c r="BA311" i="2262"/>
  <c r="AY311" i="2262"/>
  <c r="AX311" i="2262"/>
  <c r="AS311" i="2262"/>
  <c r="AR311" i="2262"/>
  <c r="AH313" i="2262" l="1"/>
  <c r="AI313" i="2262" s="1"/>
  <c r="AW313" i="2262" s="1"/>
  <c r="G315" i="2262"/>
  <c r="F316" i="2262"/>
  <c r="BA312" i="2262"/>
  <c r="AY312" i="2262"/>
  <c r="AW312" i="2262"/>
  <c r="AV312" i="2262"/>
  <c r="AQ312" i="2262"/>
  <c r="AO312" i="2262"/>
  <c r="AZ312" i="2262"/>
  <c r="AX312" i="2262"/>
  <c r="AS312" i="2262"/>
  <c r="AR312" i="2262"/>
  <c r="AP312" i="2262"/>
  <c r="N314" i="2262"/>
  <c r="O314" i="2262"/>
  <c r="AB314" i="2262"/>
  <c r="AY313" i="2262" l="1"/>
  <c r="AS313" i="2262"/>
  <c r="BA313" i="2262"/>
  <c r="AO313" i="2262"/>
  <c r="AQ313" i="2262"/>
  <c r="AV313" i="2262"/>
  <c r="AX313" i="2262"/>
  <c r="AP313" i="2262"/>
  <c r="AZ313" i="2262"/>
  <c r="AR313" i="2262"/>
  <c r="AH314" i="2262"/>
  <c r="AI314" i="2262" s="1"/>
  <c r="G316" i="2262"/>
  <c r="F317" i="2262"/>
  <c r="N315" i="2262"/>
  <c r="AB315" i="2262"/>
  <c r="O315" i="2262"/>
  <c r="AH315" i="2262" l="1"/>
  <c r="AI315" i="2262" s="1"/>
  <c r="O316" i="2262"/>
  <c r="N316" i="2262"/>
  <c r="AB316" i="2262"/>
  <c r="G317" i="2262"/>
  <c r="F318" i="2262"/>
  <c r="AO314" i="2262"/>
  <c r="AZ314" i="2262"/>
  <c r="AX314" i="2262"/>
  <c r="AS314" i="2262"/>
  <c r="AR314" i="2262"/>
  <c r="AP314" i="2262"/>
  <c r="BA314" i="2262"/>
  <c r="AY314" i="2262"/>
  <c r="AW314" i="2262"/>
  <c r="AV314" i="2262"/>
  <c r="AQ314" i="2262"/>
  <c r="T75" i="2262"/>
  <c r="T108" i="2262"/>
  <c r="T112" i="2262"/>
  <c r="T115" i="2262"/>
  <c r="T123" i="2262"/>
  <c r="T125" i="2262"/>
  <c r="T143" i="2262"/>
  <c r="T74" i="2262"/>
  <c r="T103" i="2262"/>
  <c r="T110" i="2262"/>
  <c r="T114" i="2262"/>
  <c r="T117" i="2262"/>
  <c r="T130" i="2262"/>
  <c r="T141" i="2262"/>
  <c r="T149" i="2262"/>
  <c r="T151" i="2262"/>
  <c r="T162" i="2262"/>
  <c r="T104" i="2262"/>
  <c r="T105" i="2262"/>
  <c r="T106" i="2262"/>
  <c r="T107" i="2262"/>
  <c r="T113" i="2262"/>
  <c r="T122" i="2262"/>
  <c r="T189" i="2262"/>
  <c r="T109" i="2262"/>
  <c r="T134" i="2262"/>
  <c r="T158" i="2262"/>
  <c r="T116" i="2262"/>
  <c r="T131" i="2262"/>
  <c r="T126" i="2262"/>
  <c r="T133" i="2262"/>
  <c r="T139" i="2262"/>
  <c r="T187" i="2262"/>
  <c r="T111" i="2262"/>
  <c r="T124" i="2262"/>
  <c r="T148" i="2262"/>
  <c r="T9" i="2262"/>
  <c r="T27" i="2262"/>
  <c r="T29" i="2262"/>
  <c r="T31" i="2262"/>
  <c r="T33" i="2262"/>
  <c r="T36" i="2262"/>
  <c r="T38" i="2262"/>
  <c r="T41" i="2262"/>
  <c r="T43" i="2262"/>
  <c r="T54" i="2262"/>
  <c r="T56" i="2262"/>
  <c r="T58" i="2262"/>
  <c r="T61" i="2262"/>
  <c r="T67" i="2262"/>
  <c r="T20" i="2262"/>
  <c r="T24" i="2262"/>
  <c r="T32" i="2262"/>
  <c r="T47" i="2262"/>
  <c r="T48" i="2262"/>
  <c r="T49" i="2262"/>
  <c r="T55" i="2262"/>
  <c r="T30" i="2262"/>
  <c r="T37" i="2262"/>
  <c r="T42" i="2262"/>
  <c r="T50" i="2262"/>
  <c r="T53" i="2262"/>
  <c r="T68" i="2262"/>
  <c r="T70" i="2262"/>
  <c r="T72" i="2262"/>
  <c r="T77" i="2262"/>
  <c r="T79" i="2262"/>
  <c r="T81" i="2262"/>
  <c r="T83" i="2262"/>
  <c r="T85" i="2262"/>
  <c r="T26" i="2262"/>
  <c r="T34" i="2262"/>
  <c r="T52" i="2262"/>
  <c r="T57" i="2262"/>
  <c r="T63" i="2262"/>
  <c r="T69" i="2262"/>
  <c r="T78" i="2262"/>
  <c r="T82" i="2262"/>
  <c r="T94" i="2262"/>
  <c r="T102" i="2262"/>
  <c r="T118" i="2262"/>
  <c r="T120" i="2262"/>
  <c r="T129" i="2262"/>
  <c r="T132" i="2262"/>
  <c r="T136" i="2262"/>
  <c r="T137" i="2262"/>
  <c r="T145" i="2262"/>
  <c r="T152" i="2262"/>
  <c r="T154" i="2262"/>
  <c r="T156" i="2262"/>
  <c r="T160" i="2262"/>
  <c r="T164" i="2262"/>
  <c r="T167" i="2262"/>
  <c r="T25" i="2262"/>
  <c r="T28" i="2262"/>
  <c r="T40" i="2262"/>
  <c r="T51" i="2262"/>
  <c r="T65" i="2262"/>
  <c r="T71" i="2262"/>
  <c r="T73" i="2262"/>
  <c r="T89" i="2262"/>
  <c r="T91" i="2262"/>
  <c r="T95" i="2262"/>
  <c r="T97" i="2262"/>
  <c r="T99" i="2262"/>
  <c r="T101" i="2262"/>
  <c r="T127" i="2262"/>
  <c r="T135" i="2262"/>
  <c r="T147" i="2262"/>
  <c r="T157" i="2262"/>
  <c r="T159" i="2262"/>
  <c r="T161" i="2262"/>
  <c r="T169" i="2262"/>
  <c r="T173" i="2262"/>
  <c r="T177" i="2262"/>
  <c r="T179" i="2262"/>
  <c r="T59" i="2262"/>
  <c r="T62" i="2262"/>
  <c r="T80" i="2262"/>
  <c r="T84" i="2262"/>
  <c r="T88" i="2262"/>
  <c r="T90" i="2262"/>
  <c r="T93" i="2262"/>
  <c r="T138" i="2262"/>
  <c r="T144" i="2262"/>
  <c r="T150" i="2262"/>
  <c r="T170" i="2262"/>
  <c r="T174" i="2262"/>
  <c r="T188" i="2262"/>
  <c r="T190" i="2262"/>
  <c r="T35" i="2262"/>
  <c r="T98" i="2262"/>
  <c r="T100" i="2262"/>
  <c r="T119" i="2262"/>
  <c r="T121" i="2262"/>
  <c r="T128" i="2262"/>
  <c r="T171" i="2262"/>
  <c r="T180" i="2262"/>
  <c r="T184" i="2262"/>
  <c r="T191" i="2262"/>
  <c r="T39" i="2262"/>
  <c r="T64" i="2262"/>
  <c r="T140" i="2262"/>
  <c r="T153" i="2262"/>
  <c r="T163" i="2262"/>
  <c r="T181" i="2262"/>
  <c r="T182" i="2262"/>
  <c r="T146" i="2262"/>
  <c r="T165" i="2262"/>
  <c r="T172" i="2262"/>
  <c r="T176" i="2262"/>
  <c r="T178" i="2262"/>
  <c r="T186" i="2262"/>
  <c r="T66" i="2262"/>
  <c r="T92" i="2262"/>
  <c r="T60" i="2262"/>
  <c r="T86" i="2262"/>
  <c r="T87" i="2262"/>
  <c r="T96" i="2262"/>
  <c r="T142" i="2262"/>
  <c r="T168" i="2262"/>
  <c r="T183" i="2262"/>
  <c r="T185" i="2262"/>
  <c r="T155" i="2262"/>
  <c r="T166" i="2262"/>
  <c r="T175" i="2262"/>
  <c r="T192" i="2262"/>
  <c r="AH316" i="2262" l="1"/>
  <c r="AI316" i="2262" s="1"/>
  <c r="AO316" i="2262" s="1"/>
  <c r="O317" i="2262"/>
  <c r="N317" i="2262"/>
  <c r="AB317" i="2262"/>
  <c r="G318" i="2262"/>
  <c r="F319" i="2262"/>
  <c r="AO315" i="2262"/>
  <c r="AZ315" i="2262"/>
  <c r="AW315" i="2262"/>
  <c r="AV315" i="2262"/>
  <c r="AP315" i="2262"/>
  <c r="AQ315" i="2262"/>
  <c r="BA315" i="2262"/>
  <c r="AY315" i="2262"/>
  <c r="AX315" i="2262"/>
  <c r="AS315" i="2262"/>
  <c r="AR315" i="2262"/>
  <c r="Q294" i="2262"/>
  <c r="Q286" i="2262"/>
  <c r="Q278" i="2262"/>
  <c r="Q270" i="2262"/>
  <c r="Q262" i="2262"/>
  <c r="Q222" i="2262"/>
  <c r="Q214" i="2262"/>
  <c r="Q209" i="2262"/>
  <c r="Q279" i="2262"/>
  <c r="Q293" i="2262"/>
  <c r="Q285" i="2262"/>
  <c r="Q277" i="2262"/>
  <c r="Q269" i="2262"/>
  <c r="Q261" i="2262"/>
  <c r="Q221" i="2262"/>
  <c r="Q213" i="2262"/>
  <c r="Q295" i="2262"/>
  <c r="Q215" i="2262"/>
  <c r="Q300" i="2262"/>
  <c r="Q292" i="2262"/>
  <c r="Q284" i="2262"/>
  <c r="Q276" i="2262"/>
  <c r="Q268" i="2262"/>
  <c r="Q260" i="2262"/>
  <c r="Q228" i="2262"/>
  <c r="Q220" i="2262"/>
  <c r="Q212" i="2262"/>
  <c r="Q287" i="2262"/>
  <c r="Q207" i="2262"/>
  <c r="Q299" i="2262"/>
  <c r="Q291" i="2262"/>
  <c r="Q283" i="2262"/>
  <c r="Q275" i="2262"/>
  <c r="Q267" i="2262"/>
  <c r="Q259" i="2262"/>
  <c r="Q227" i="2262"/>
  <c r="Q219" i="2262"/>
  <c r="Q211" i="2262"/>
  <c r="Q298" i="2262"/>
  <c r="Q290" i="2262"/>
  <c r="Q282" i="2262"/>
  <c r="Q274" i="2262"/>
  <c r="Q266" i="2262"/>
  <c r="Q258" i="2262"/>
  <c r="Q226" i="2262"/>
  <c r="Q218" i="2262"/>
  <c r="Q210" i="2262"/>
  <c r="Q271" i="2262"/>
  <c r="Q297" i="2262"/>
  <c r="Q289" i="2262"/>
  <c r="Q281" i="2262"/>
  <c r="Q273" i="2262"/>
  <c r="Q265" i="2262"/>
  <c r="Q257" i="2262"/>
  <c r="Q225" i="2262"/>
  <c r="Q217" i="2262"/>
  <c r="Q223" i="2262"/>
  <c r="Q296" i="2262"/>
  <c r="Q288" i="2262"/>
  <c r="Q280" i="2262"/>
  <c r="Q272" i="2262"/>
  <c r="Q264" i="2262"/>
  <c r="Q224" i="2262"/>
  <c r="Q216" i="2262"/>
  <c r="Q208" i="2262"/>
  <c r="Q263" i="2262"/>
  <c r="U66" i="2262"/>
  <c r="U172" i="2262"/>
  <c r="U146" i="2262"/>
  <c r="U153" i="2262"/>
  <c r="U191" i="2262"/>
  <c r="U128" i="2262"/>
  <c r="U192" i="2262"/>
  <c r="U166" i="2262"/>
  <c r="U185" i="2262"/>
  <c r="U168" i="2262"/>
  <c r="U96" i="2262"/>
  <c r="U86" i="2262"/>
  <c r="U92" i="2262"/>
  <c r="U186" i="2262"/>
  <c r="U176" i="2262"/>
  <c r="U165" i="2262"/>
  <c r="U182" i="2262"/>
  <c r="U163" i="2262"/>
  <c r="U140" i="2262"/>
  <c r="U39" i="2262"/>
  <c r="U184" i="2262"/>
  <c r="U171" i="2262"/>
  <c r="U121" i="2262"/>
  <c r="U100" i="2262"/>
  <c r="U35" i="2262"/>
  <c r="U188" i="2262"/>
  <c r="U170" i="2262"/>
  <c r="U144" i="2262"/>
  <c r="U93" i="2262"/>
  <c r="U88" i="2262"/>
  <c r="U80" i="2262"/>
  <c r="U59" i="2262"/>
  <c r="U177" i="2262"/>
  <c r="U169" i="2262"/>
  <c r="U159" i="2262"/>
  <c r="U147" i="2262"/>
  <c r="U127" i="2262"/>
  <c r="U99" i="2262"/>
  <c r="U95" i="2262"/>
  <c r="U89" i="2262"/>
  <c r="U71" i="2262"/>
  <c r="U51" i="2262"/>
  <c r="U28" i="2262"/>
  <c r="U167" i="2262"/>
  <c r="U160" i="2262"/>
  <c r="U154" i="2262"/>
  <c r="U145" i="2262"/>
  <c r="U136" i="2262"/>
  <c r="U129" i="2262"/>
  <c r="U118" i="2262"/>
  <c r="U94" i="2262"/>
  <c r="U78" i="2262"/>
  <c r="U63" i="2262"/>
  <c r="U52" i="2262"/>
  <c r="U26" i="2262"/>
  <c r="U83" i="2262"/>
  <c r="U79" i="2262"/>
  <c r="U72" i="2262"/>
  <c r="U68" i="2262"/>
  <c r="U50" i="2262"/>
  <c r="U37" i="2262"/>
  <c r="U55" i="2262"/>
  <c r="U48" i="2262"/>
  <c r="U32" i="2262"/>
  <c r="U20" i="2262"/>
  <c r="U61" i="2262"/>
  <c r="U56" i="2262"/>
  <c r="U43" i="2262"/>
  <c r="U33" i="2262"/>
  <c r="U29" i="2262"/>
  <c r="U9" i="2262"/>
  <c r="U124" i="2262"/>
  <c r="U187" i="2262"/>
  <c r="U133" i="2262"/>
  <c r="U131" i="2262"/>
  <c r="U158" i="2262"/>
  <c r="U109" i="2262"/>
  <c r="N109" i="2262"/>
  <c r="U122" i="2262"/>
  <c r="U107" i="2262"/>
  <c r="N107" i="2262"/>
  <c r="U105" i="2262"/>
  <c r="N105" i="2262"/>
  <c r="U162" i="2262"/>
  <c r="U149" i="2262"/>
  <c r="U130" i="2262"/>
  <c r="U114" i="2262"/>
  <c r="N114" i="2262"/>
  <c r="U103" i="2262"/>
  <c r="N103" i="2262"/>
  <c r="U143" i="2262"/>
  <c r="U123" i="2262"/>
  <c r="U112" i="2262"/>
  <c r="N112" i="2262"/>
  <c r="U75" i="2262"/>
  <c r="U175" i="2262"/>
  <c r="U155" i="2262"/>
  <c r="U183" i="2262"/>
  <c r="U142" i="2262"/>
  <c r="U60" i="2262"/>
  <c r="U178" i="2262"/>
  <c r="U181" i="2262"/>
  <c r="U64" i="2262"/>
  <c r="U180" i="2262"/>
  <c r="U119" i="2262"/>
  <c r="U98" i="2262"/>
  <c r="U190" i="2262"/>
  <c r="U174" i="2262"/>
  <c r="U150" i="2262"/>
  <c r="U138" i="2262"/>
  <c r="U90" i="2262"/>
  <c r="U84" i="2262"/>
  <c r="U62" i="2262"/>
  <c r="U179" i="2262"/>
  <c r="U173" i="2262"/>
  <c r="U161" i="2262"/>
  <c r="N161" i="2262"/>
  <c r="U157" i="2262"/>
  <c r="U135" i="2262"/>
  <c r="U101" i="2262"/>
  <c r="U97" i="2262"/>
  <c r="U91" i="2262"/>
  <c r="U73" i="2262"/>
  <c r="U65" i="2262"/>
  <c r="U40" i="2262"/>
  <c r="U25" i="2262"/>
  <c r="U164" i="2262"/>
  <c r="U156" i="2262"/>
  <c r="U152" i="2262"/>
  <c r="U137" i="2262"/>
  <c r="U132" i="2262"/>
  <c r="U120" i="2262"/>
  <c r="U102" i="2262"/>
  <c r="U82" i="2262"/>
  <c r="U69" i="2262"/>
  <c r="U57" i="2262"/>
  <c r="U34" i="2262"/>
  <c r="U85" i="2262"/>
  <c r="U81" i="2262"/>
  <c r="U77" i="2262"/>
  <c r="U70" i="2262"/>
  <c r="U53" i="2262"/>
  <c r="U42" i="2262"/>
  <c r="U30" i="2262"/>
  <c r="U49" i="2262"/>
  <c r="U47" i="2262"/>
  <c r="U24" i="2262"/>
  <c r="U67" i="2262"/>
  <c r="U58" i="2262"/>
  <c r="U41" i="2262"/>
  <c r="U36" i="2262"/>
  <c r="U31" i="2262"/>
  <c r="U27" i="2262"/>
  <c r="U148" i="2262"/>
  <c r="U111" i="2262"/>
  <c r="N111" i="2262"/>
  <c r="U139" i="2262"/>
  <c r="U126" i="2262"/>
  <c r="U116" i="2262"/>
  <c r="N116" i="2262"/>
  <c r="U134" i="2262"/>
  <c r="U189" i="2262"/>
  <c r="U113" i="2262"/>
  <c r="N113" i="2262"/>
  <c r="U106" i="2262"/>
  <c r="N106" i="2262"/>
  <c r="U104" i="2262"/>
  <c r="N104" i="2262"/>
  <c r="U151" i="2262"/>
  <c r="U141" i="2262"/>
  <c r="U117" i="2262"/>
  <c r="N117" i="2262"/>
  <c r="U110" i="2262"/>
  <c r="N110" i="2262"/>
  <c r="U74" i="2262"/>
  <c r="U125" i="2262"/>
  <c r="U115" i="2262"/>
  <c r="N115" i="2262"/>
  <c r="U108" i="2262"/>
  <c r="N108" i="2262"/>
  <c r="T44" i="2262"/>
  <c r="U38" i="2262"/>
  <c r="U87" i="2262"/>
  <c r="U45" i="2262" s="1"/>
  <c r="T45" i="2262"/>
  <c r="U54" i="2262"/>
  <c r="Q15" i="2262"/>
  <c r="Q27" i="2262"/>
  <c r="Q31" i="2262"/>
  <c r="Q38" i="2262"/>
  <c r="Q42" i="2262"/>
  <c r="Q56" i="2262"/>
  <c r="Q64" i="2262"/>
  <c r="Q96" i="2262"/>
  <c r="Q99" i="2262"/>
  <c r="Q102" i="2262"/>
  <c r="Q106" i="2262"/>
  <c r="Q110" i="2262"/>
  <c r="Q7" i="2262"/>
  <c r="Q10" i="2262"/>
  <c r="Q18" i="2262"/>
  <c r="Q21" i="2262"/>
  <c r="Q35" i="2262"/>
  <c r="Q48" i="2262"/>
  <c r="Q59" i="2262"/>
  <c r="Q67" i="2262"/>
  <c r="Q70" i="2262"/>
  <c r="Q73" i="2262"/>
  <c r="Q76" i="2262"/>
  <c r="Q79" i="2262"/>
  <c r="Q82" i="2262"/>
  <c r="Q87" i="2262"/>
  <c r="Q89" i="2262"/>
  <c r="Q13" i="2262"/>
  <c r="Q24" i="2262"/>
  <c r="Q28" i="2262"/>
  <c r="Q39" i="2262"/>
  <c r="Q43" i="2262"/>
  <c r="Q46" i="2262"/>
  <c r="Q51" i="2262"/>
  <c r="Q54" i="2262"/>
  <c r="Q62" i="2262"/>
  <c r="Q85" i="2262"/>
  <c r="Q94" i="2262"/>
  <c r="Q97" i="2262"/>
  <c r="Q103" i="2262"/>
  <c r="Q107" i="2262"/>
  <c r="Q111" i="2262"/>
  <c r="Q120" i="2262"/>
  <c r="Q16" i="2262"/>
  <c r="Q32" i="2262"/>
  <c r="Q36" i="2262"/>
  <c r="Q57" i="2262"/>
  <c r="Q65" i="2262"/>
  <c r="Q68" i="2262"/>
  <c r="Q74" i="2262"/>
  <c r="Q77" i="2262"/>
  <c r="Q92" i="2262"/>
  <c r="Q100" i="2262"/>
  <c r="Q8" i="2262"/>
  <c r="Q11" i="2262"/>
  <c r="Q19" i="2262"/>
  <c r="Q22" i="2262"/>
  <c r="Q25" i="2262"/>
  <c r="Q29" i="2262"/>
  <c r="Q40" i="2262"/>
  <c r="Q49" i="2262"/>
  <c r="Q60" i="2262"/>
  <c r="Q71" i="2262"/>
  <c r="Q80" i="2262"/>
  <c r="Q83" i="2262"/>
  <c r="Q90" i="2262"/>
  <c r="Q104" i="2262"/>
  <c r="Q14" i="2262"/>
  <c r="Q33" i="2262"/>
  <c r="Q52" i="2262"/>
  <c r="Q55" i="2262"/>
  <c r="Q63" i="2262"/>
  <c r="Q86" i="2262"/>
  <c r="Q88" i="2262"/>
  <c r="Q95" i="2262"/>
  <c r="Q98" i="2262"/>
  <c r="Q17" i="2262"/>
  <c r="Q26" i="2262"/>
  <c r="Q30" i="2262"/>
  <c r="Q37" i="2262"/>
  <c r="Q41" i="2262"/>
  <c r="Q47" i="2262"/>
  <c r="Q58" i="2262"/>
  <c r="Q66" i="2262"/>
  <c r="Q69" i="2262"/>
  <c r="Q72" i="2262"/>
  <c r="Q75" i="2262"/>
  <c r="Q78" i="2262"/>
  <c r="Q101" i="2262"/>
  <c r="Q105" i="2262"/>
  <c r="Q109" i="2262"/>
  <c r="Q9" i="2262"/>
  <c r="Q12" i="2262"/>
  <c r="Q20" i="2262"/>
  <c r="Q23" i="2262"/>
  <c r="Q34" i="2262"/>
  <c r="Q50" i="2262"/>
  <c r="Q53" i="2262"/>
  <c r="Q61" i="2262"/>
  <c r="Q81" i="2262"/>
  <c r="Q84" i="2262"/>
  <c r="Q91" i="2262"/>
  <c r="Q93" i="2262"/>
  <c r="Q114" i="2262"/>
  <c r="Q123" i="2262"/>
  <c r="Q126" i="2262"/>
  <c r="Q135" i="2262"/>
  <c r="Q138" i="2262"/>
  <c r="Q141" i="2262"/>
  <c r="Q155" i="2262"/>
  <c r="Q166" i="2262"/>
  <c r="Q168" i="2262"/>
  <c r="Q180" i="2262"/>
  <c r="Q182" i="2262"/>
  <c r="Q108" i="2262"/>
  <c r="Q129" i="2262"/>
  <c r="Q132" i="2262"/>
  <c r="Q144" i="2262"/>
  <c r="Q150" i="2262"/>
  <c r="Q164" i="2262"/>
  <c r="Q171" i="2262"/>
  <c r="Q187" i="2262"/>
  <c r="Q112" i="2262"/>
  <c r="Q117" i="2262"/>
  <c r="Q121" i="2262"/>
  <c r="Q147" i="2262"/>
  <c r="Q153" i="2262"/>
  <c r="Q158" i="2262"/>
  <c r="Q161" i="2262"/>
  <c r="Q174" i="2262"/>
  <c r="Q176" i="2262"/>
  <c r="Q178" i="2262"/>
  <c r="Q185" i="2262"/>
  <c r="Q191" i="2262"/>
  <c r="Q115" i="2262"/>
  <c r="Q124" i="2262"/>
  <c r="Q127" i="2262"/>
  <c r="Q136" i="2262"/>
  <c r="Q139" i="2262"/>
  <c r="Q142" i="2262"/>
  <c r="Q156" i="2262"/>
  <c r="Q162" i="2262"/>
  <c r="Q169" i="2262"/>
  <c r="Q188" i="2262"/>
  <c r="Q118" i="2262"/>
  <c r="Q130" i="2262"/>
  <c r="Q133" i="2262"/>
  <c r="Q145" i="2262"/>
  <c r="Q151" i="2262"/>
  <c r="Q159" i="2262"/>
  <c r="Q165" i="2262"/>
  <c r="Q167" i="2262"/>
  <c r="Q172" i="2262"/>
  <c r="Q181" i="2262"/>
  <c r="Q183" i="2262"/>
  <c r="Q192" i="2262"/>
  <c r="Q113" i="2262"/>
  <c r="Q122" i="2262"/>
  <c r="Q125" i="2262"/>
  <c r="Q140" i="2262"/>
  <c r="Q148" i="2262"/>
  <c r="Q154" i="2262"/>
  <c r="Q179" i="2262"/>
  <c r="Q189" i="2262"/>
  <c r="Q119" i="2262"/>
  <c r="Q128" i="2262"/>
  <c r="Q131" i="2262"/>
  <c r="Q134" i="2262"/>
  <c r="Q137" i="2262"/>
  <c r="Q143" i="2262"/>
  <c r="Q157" i="2262"/>
  <c r="Q163" i="2262"/>
  <c r="Q170" i="2262"/>
  <c r="Q175" i="2262"/>
  <c r="Q177" i="2262"/>
  <c r="Q186" i="2262"/>
  <c r="Q116" i="2262"/>
  <c r="Q146" i="2262"/>
  <c r="Q149" i="2262"/>
  <c r="Q152" i="2262"/>
  <c r="Q160" i="2262"/>
  <c r="Q173" i="2262"/>
  <c r="Q184" i="2262"/>
  <c r="Q190" i="2262"/>
  <c r="AY316" i="2262" l="1"/>
  <c r="AS316" i="2262"/>
  <c r="AV316" i="2262"/>
  <c r="AP316" i="2262"/>
  <c r="AZ316" i="2262"/>
  <c r="AQ316" i="2262"/>
  <c r="AW316" i="2262"/>
  <c r="BA316" i="2262"/>
  <c r="AR316" i="2262"/>
  <c r="AX316" i="2262"/>
  <c r="AH317" i="2262"/>
  <c r="AI317" i="2262" s="1"/>
  <c r="AO317" i="2262" s="1"/>
  <c r="AB318" i="2262"/>
  <c r="N318" i="2262"/>
  <c r="O318" i="2262"/>
  <c r="G319" i="2262"/>
  <c r="F320" i="2262"/>
  <c r="Q254" i="2262"/>
  <c r="Q246" i="2262"/>
  <c r="Q238" i="2262"/>
  <c r="Q230" i="2262"/>
  <c r="Q206" i="2262"/>
  <c r="Q198" i="2262"/>
  <c r="Q199" i="2262"/>
  <c r="Q301" i="2262"/>
  <c r="Q253" i="2262"/>
  <c r="Q245" i="2262"/>
  <c r="Q237" i="2262"/>
  <c r="Q229" i="2262"/>
  <c r="Q205" i="2262"/>
  <c r="Q197" i="2262"/>
  <c r="Q252" i="2262"/>
  <c r="Q244" i="2262"/>
  <c r="Q236" i="2262"/>
  <c r="Q204" i="2262"/>
  <c r="Q196" i="2262"/>
  <c r="Q195" i="2262"/>
  <c r="Q251" i="2262"/>
  <c r="Q243" i="2262"/>
  <c r="Q235" i="2262"/>
  <c r="Q203" i="2262"/>
  <c r="Q200" i="2262"/>
  <c r="Q255" i="2262"/>
  <c r="Q239" i="2262"/>
  <c r="Q250" i="2262"/>
  <c r="Q242" i="2262"/>
  <c r="Q234" i="2262"/>
  <c r="Q202" i="2262"/>
  <c r="Q194" i="2262"/>
  <c r="Q249" i="2262"/>
  <c r="Q241" i="2262"/>
  <c r="Q233" i="2262"/>
  <c r="Q201" i="2262"/>
  <c r="Q247" i="2262"/>
  <c r="Q256" i="2262"/>
  <c r="Q248" i="2262"/>
  <c r="Q240" i="2262"/>
  <c r="Q232" i="2262"/>
  <c r="Q231" i="2262"/>
  <c r="U44" i="2262"/>
  <c r="Q44" i="2262"/>
  <c r="Q45" i="2262"/>
  <c r="AY317" i="2262" l="1"/>
  <c r="AV317" i="2262"/>
  <c r="AS317" i="2262"/>
  <c r="AQ317" i="2262"/>
  <c r="AZ317" i="2262"/>
  <c r="AH318" i="2262"/>
  <c r="AI318" i="2262" s="1"/>
  <c r="AZ318" i="2262" s="1"/>
  <c r="AP317" i="2262"/>
  <c r="AX317" i="2262"/>
  <c r="BA317" i="2262"/>
  <c r="AR317" i="2262"/>
  <c r="AW317" i="2262"/>
  <c r="AB319" i="2262"/>
  <c r="N319" i="2262"/>
  <c r="O319" i="2262"/>
  <c r="F321" i="2262"/>
  <c r="G321" i="2262" s="1"/>
  <c r="G320" i="2262"/>
  <c r="AW318" i="2262" l="1"/>
  <c r="AR318" i="2262"/>
  <c r="AO318" i="2262"/>
  <c r="AQ318" i="2262"/>
  <c r="BA318" i="2262"/>
  <c r="AX318" i="2262"/>
  <c r="AV318" i="2262"/>
  <c r="AY318" i="2262"/>
  <c r="AP318" i="2262"/>
  <c r="AS318" i="2262"/>
  <c r="N321" i="2262"/>
  <c r="AB321" i="2262"/>
  <c r="O321" i="2262"/>
  <c r="O320" i="2262"/>
  <c r="N320" i="2262"/>
  <c r="AB320" i="2262"/>
  <c r="AH319" i="2262"/>
  <c r="AI319" i="2262" s="1"/>
  <c r="T198" i="2262"/>
  <c r="T202" i="2262"/>
  <c r="T206" i="2262"/>
  <c r="T211" i="2262"/>
  <c r="T212" i="2262"/>
  <c r="T213" i="2262"/>
  <c r="T218" i="2262"/>
  <c r="T231" i="2262"/>
  <c r="T232" i="2262"/>
  <c r="T233" i="2262"/>
  <c r="T234" i="2262"/>
  <c r="T235" i="2262"/>
  <c r="T243" i="2262"/>
  <c r="T244" i="2262"/>
  <c r="T248" i="2262"/>
  <c r="T249" i="2262"/>
  <c r="T250" i="2262"/>
  <c r="T255" i="2262"/>
  <c r="T259" i="2262"/>
  <c r="T260" i="2262"/>
  <c r="T264" i="2262"/>
  <c r="T265" i="2262"/>
  <c r="T266" i="2262"/>
  <c r="T272" i="2262"/>
  <c r="T277" i="2262"/>
  <c r="T278" i="2262"/>
  <c r="T279" i="2262"/>
  <c r="T280" i="2262"/>
  <c r="T281" i="2262"/>
  <c r="T282" i="2262"/>
  <c r="T286" i="2262"/>
  <c r="T290" i="2262"/>
  <c r="T299" i="2262"/>
  <c r="T300" i="2262"/>
  <c r="T194" i="2262"/>
  <c r="T195" i="2262"/>
  <c r="T196" i="2262"/>
  <c r="T197" i="2262"/>
  <c r="T201" i="2262"/>
  <c r="T205" i="2262"/>
  <c r="T216" i="2262"/>
  <c r="T217" i="2262"/>
  <c r="T221" i="2262"/>
  <c r="T222" i="2262"/>
  <c r="T223" i="2262"/>
  <c r="T224" i="2262"/>
  <c r="T225" i="2262"/>
  <c r="T226" i="2262"/>
  <c r="T227" i="2262"/>
  <c r="T228" i="2262"/>
  <c r="T229" i="2262"/>
  <c r="T240" i="2262"/>
  <c r="T241" i="2262"/>
  <c r="T242" i="2262"/>
  <c r="T247" i="2262"/>
  <c r="T254" i="2262"/>
  <c r="T258" i="2262"/>
  <c r="T263" i="2262"/>
  <c r="T271" i="2262"/>
  <c r="T276" i="2262"/>
  <c r="T285" i="2262"/>
  <c r="T289" i="2262"/>
  <c r="T293" i="2262"/>
  <c r="T294" i="2262"/>
  <c r="T296" i="2262"/>
  <c r="T298" i="2262"/>
  <c r="T193" i="2262"/>
  <c r="T210" i="2262"/>
  <c r="T215" i="2262"/>
  <c r="T253" i="2262"/>
  <c r="T257" i="2262"/>
  <c r="T268" i="2262"/>
  <c r="T273" i="2262"/>
  <c r="T284" i="2262"/>
  <c r="T291" i="2262"/>
  <c r="T209" i="2262"/>
  <c r="T256" i="2262"/>
  <c r="T283" i="2262"/>
  <c r="T287" i="2262"/>
  <c r="T295" i="2262"/>
  <c r="T200" i="2262"/>
  <c r="T204" i="2262"/>
  <c r="T230" i="2262"/>
  <c r="T251" i="2262"/>
  <c r="T262" i="2262"/>
  <c r="T269" i="2262"/>
  <c r="T292" i="2262"/>
  <c r="T199" i="2262"/>
  <c r="T203" i="2262"/>
  <c r="T207" i="2262"/>
  <c r="T219" i="2262"/>
  <c r="T236" i="2262"/>
  <c r="T239" i="2262"/>
  <c r="N239" i="2262" s="1"/>
  <c r="T246" i="2262"/>
  <c r="T261" i="2262"/>
  <c r="T275" i="2262"/>
  <c r="T288" i="2262"/>
  <c r="T297" i="2262"/>
  <c r="T301" i="2262"/>
  <c r="T214" i="2262"/>
  <c r="T238" i="2262"/>
  <c r="T252" i="2262"/>
  <c r="T267" i="2262"/>
  <c r="T270" i="2262"/>
  <c r="T208" i="2262"/>
  <c r="T220" i="2262"/>
  <c r="T237" i="2262"/>
  <c r="T245" i="2262"/>
  <c r="T274" i="2262"/>
  <c r="AH320" i="2262" l="1"/>
  <c r="AI320" i="2262" s="1"/>
  <c r="AO320" i="2262" s="1"/>
  <c r="BA319" i="2262"/>
  <c r="AY319" i="2262"/>
  <c r="AX319" i="2262"/>
  <c r="AS319" i="2262"/>
  <c r="AR319" i="2262"/>
  <c r="AO319" i="2262"/>
  <c r="AZ319" i="2262"/>
  <c r="AW319" i="2262"/>
  <c r="AV319" i="2262"/>
  <c r="AP319" i="2262"/>
  <c r="AQ319" i="2262"/>
  <c r="AH321" i="2262"/>
  <c r="AI321" i="2262" s="1"/>
  <c r="U252" i="2262"/>
  <c r="N252" i="2262"/>
  <c r="U207" i="2262"/>
  <c r="N207" i="2262"/>
  <c r="U253" i="2262"/>
  <c r="N253" i="2262"/>
  <c r="U263" i="2262"/>
  <c r="N263" i="2262"/>
  <c r="U224" i="2262"/>
  <c r="N224" i="2262"/>
  <c r="U300" i="2262"/>
  <c r="N300" i="2262"/>
  <c r="U265" i="2262"/>
  <c r="N265" i="2262"/>
  <c r="U244" i="2262"/>
  <c r="N244" i="2262"/>
  <c r="U233" i="2262"/>
  <c r="N233" i="2262"/>
  <c r="U274" i="2262"/>
  <c r="N274" i="2262"/>
  <c r="U238" i="2262"/>
  <c r="N238" i="2262"/>
  <c r="U245" i="2262"/>
  <c r="N245" i="2262"/>
  <c r="U214" i="2262"/>
  <c r="N214" i="2262"/>
  <c r="U237" i="2262"/>
  <c r="N237" i="2262"/>
  <c r="U267" i="2262"/>
  <c r="N267" i="2262"/>
  <c r="U301" i="2262"/>
  <c r="N301" i="2262"/>
  <c r="U261" i="2262"/>
  <c r="N261" i="2262"/>
  <c r="U219" i="2262"/>
  <c r="N219" i="2262"/>
  <c r="U292" i="2262"/>
  <c r="N292" i="2262"/>
  <c r="U230" i="2262"/>
  <c r="N230" i="2262"/>
  <c r="U287" i="2262"/>
  <c r="N287" i="2262"/>
  <c r="U291" i="2262"/>
  <c r="N291" i="2262"/>
  <c r="U257" i="2262"/>
  <c r="N257" i="2262"/>
  <c r="U193" i="2262"/>
  <c r="N193" i="2262"/>
  <c r="U293" i="2262"/>
  <c r="N293" i="2262"/>
  <c r="U271" i="2262"/>
  <c r="N271" i="2262"/>
  <c r="U247" i="2262"/>
  <c r="N247" i="2262"/>
  <c r="U229" i="2262"/>
  <c r="N229" i="2262"/>
  <c r="U225" i="2262"/>
  <c r="N225" i="2262"/>
  <c r="U221" i="2262"/>
  <c r="N221" i="2262"/>
  <c r="U201" i="2262"/>
  <c r="N201" i="2262"/>
  <c r="U194" i="2262"/>
  <c r="N194" i="2262"/>
  <c r="U286" i="2262"/>
  <c r="N286" i="2262"/>
  <c r="U279" i="2262"/>
  <c r="N279" i="2262"/>
  <c r="U266" i="2262"/>
  <c r="N266" i="2262"/>
  <c r="U259" i="2262"/>
  <c r="N259" i="2262"/>
  <c r="U248" i="2262"/>
  <c r="N248" i="2262"/>
  <c r="U234" i="2262"/>
  <c r="N234" i="2262"/>
  <c r="U218" i="2262"/>
  <c r="N218" i="2262"/>
  <c r="U206" i="2262"/>
  <c r="N206" i="2262"/>
  <c r="U297" i="2262"/>
  <c r="N297" i="2262"/>
  <c r="U269" i="2262"/>
  <c r="N269" i="2262"/>
  <c r="U283" i="2262"/>
  <c r="N283" i="2262"/>
  <c r="U289" i="2262"/>
  <c r="N289" i="2262"/>
  <c r="U228" i="2262"/>
  <c r="N228" i="2262"/>
  <c r="U197" i="2262"/>
  <c r="N197" i="2262"/>
  <c r="U282" i="2262"/>
  <c r="N282" i="2262"/>
  <c r="U255" i="2262"/>
  <c r="N255" i="2262"/>
  <c r="U202" i="2262"/>
  <c r="N202" i="2262"/>
  <c r="U208" i="2262"/>
  <c r="N208" i="2262"/>
  <c r="U203" i="2262"/>
  <c r="N203" i="2262"/>
  <c r="U262" i="2262"/>
  <c r="N262" i="2262"/>
  <c r="U200" i="2262"/>
  <c r="N200" i="2262"/>
  <c r="U256" i="2262"/>
  <c r="N256" i="2262"/>
  <c r="U273" i="2262"/>
  <c r="N273" i="2262"/>
  <c r="U215" i="2262"/>
  <c r="N215" i="2262"/>
  <c r="U296" i="2262"/>
  <c r="N296" i="2262"/>
  <c r="U285" i="2262"/>
  <c r="N285" i="2262"/>
  <c r="U258" i="2262"/>
  <c r="N258" i="2262"/>
  <c r="U241" i="2262"/>
  <c r="N241" i="2262"/>
  <c r="U227" i="2262"/>
  <c r="N227" i="2262"/>
  <c r="U223" i="2262"/>
  <c r="N223" i="2262"/>
  <c r="U216" i="2262"/>
  <c r="N216" i="2262"/>
  <c r="U196" i="2262"/>
  <c r="N196" i="2262"/>
  <c r="U299" i="2262"/>
  <c r="N299" i="2262"/>
  <c r="U281" i="2262"/>
  <c r="N281" i="2262"/>
  <c r="U277" i="2262"/>
  <c r="N277" i="2262"/>
  <c r="U264" i="2262"/>
  <c r="N264" i="2262"/>
  <c r="U250" i="2262"/>
  <c r="N250" i="2262"/>
  <c r="U243" i="2262"/>
  <c r="N243" i="2262"/>
  <c r="U232" i="2262"/>
  <c r="N232" i="2262"/>
  <c r="U212" i="2262"/>
  <c r="N212" i="2262"/>
  <c r="U198" i="2262"/>
  <c r="N198" i="2262"/>
  <c r="U220" i="2262"/>
  <c r="N220" i="2262"/>
  <c r="U246" i="2262"/>
  <c r="N246" i="2262"/>
  <c r="U204" i="2262"/>
  <c r="N204" i="2262"/>
  <c r="U284" i="2262"/>
  <c r="N284" i="2262"/>
  <c r="U298" i="2262"/>
  <c r="N298" i="2262"/>
  <c r="U242" i="2262"/>
  <c r="N242" i="2262"/>
  <c r="U217" i="2262"/>
  <c r="N217" i="2262"/>
  <c r="U278" i="2262"/>
  <c r="N278" i="2262"/>
  <c r="U213" i="2262"/>
  <c r="N213" i="2262"/>
  <c r="U288" i="2262"/>
  <c r="N288" i="2262"/>
  <c r="U270" i="2262"/>
  <c r="N270" i="2262"/>
  <c r="U275" i="2262"/>
  <c r="N275" i="2262"/>
  <c r="U236" i="2262"/>
  <c r="N236" i="2262"/>
  <c r="U199" i="2262"/>
  <c r="N199" i="2262"/>
  <c r="U251" i="2262"/>
  <c r="N251" i="2262"/>
  <c r="U295" i="2262"/>
  <c r="N295" i="2262"/>
  <c r="U209" i="2262"/>
  <c r="N209" i="2262"/>
  <c r="U268" i="2262"/>
  <c r="N268" i="2262"/>
  <c r="U210" i="2262"/>
  <c r="N210" i="2262"/>
  <c r="U294" i="2262"/>
  <c r="N294" i="2262"/>
  <c r="U276" i="2262"/>
  <c r="N276" i="2262"/>
  <c r="U254" i="2262"/>
  <c r="N254" i="2262"/>
  <c r="U240" i="2262"/>
  <c r="N240" i="2262"/>
  <c r="U226" i="2262"/>
  <c r="N226" i="2262"/>
  <c r="U222" i="2262"/>
  <c r="N222" i="2262"/>
  <c r="U205" i="2262"/>
  <c r="N205" i="2262"/>
  <c r="U195" i="2262"/>
  <c r="N195" i="2262"/>
  <c r="U290" i="2262"/>
  <c r="N290" i="2262"/>
  <c r="U280" i="2262"/>
  <c r="N280" i="2262"/>
  <c r="U272" i="2262"/>
  <c r="N272" i="2262"/>
  <c r="U260" i="2262"/>
  <c r="N260" i="2262"/>
  <c r="U249" i="2262"/>
  <c r="N249" i="2262"/>
  <c r="U235" i="2262"/>
  <c r="N235" i="2262"/>
  <c r="U231" i="2262"/>
  <c r="N231" i="2262"/>
  <c r="U211" i="2262"/>
  <c r="N211" i="2262"/>
  <c r="U239" i="2262"/>
  <c r="T46" i="2262"/>
  <c r="AX320" i="2262" l="1"/>
  <c r="AR320" i="2262"/>
  <c r="AZ320" i="2262"/>
  <c r="AS320" i="2262"/>
  <c r="AP320" i="2262"/>
  <c r="AW320" i="2262"/>
  <c r="AY320" i="2262"/>
  <c r="BA320" i="2262"/>
  <c r="AQ320" i="2262"/>
  <c r="AV320" i="2262"/>
  <c r="BA321" i="2262"/>
  <c r="AY321" i="2262"/>
  <c r="AX321" i="2262"/>
  <c r="AS321" i="2262"/>
  <c r="AP321" i="2262"/>
  <c r="AO321" i="2262"/>
  <c r="AZ321" i="2262"/>
  <c r="AW321" i="2262"/>
  <c r="AV321" i="2262"/>
  <c r="AR321" i="2262"/>
  <c r="AQ321" i="2262"/>
  <c r="AH211" i="2262"/>
  <c r="AI211" i="2262" s="1"/>
  <c r="AH231" i="2262"/>
  <c r="AI231" i="2262" s="1"/>
  <c r="AH235" i="2262"/>
  <c r="AI235" i="2262" s="1"/>
  <c r="AH249" i="2262"/>
  <c r="AI249" i="2262" s="1"/>
  <c r="AH260" i="2262"/>
  <c r="AI260" i="2262" s="1"/>
  <c r="AH272" i="2262"/>
  <c r="AI272" i="2262" s="1"/>
  <c r="AH280" i="2262"/>
  <c r="AI280" i="2262" s="1"/>
  <c r="AH290" i="2262"/>
  <c r="AI290" i="2262" s="1"/>
  <c r="AH195" i="2262"/>
  <c r="AI195" i="2262" s="1"/>
  <c r="AH205" i="2262"/>
  <c r="AI205" i="2262" s="1"/>
  <c r="AH222" i="2262"/>
  <c r="AI222" i="2262" s="1"/>
  <c r="AH226" i="2262"/>
  <c r="AI226" i="2262" s="1"/>
  <c r="AH240" i="2262"/>
  <c r="AI240" i="2262" s="1"/>
  <c r="AH254" i="2262"/>
  <c r="AI254" i="2262" s="1"/>
  <c r="AH276" i="2262"/>
  <c r="AI276" i="2262" s="1"/>
  <c r="AH294" i="2262"/>
  <c r="AI294" i="2262" s="1"/>
  <c r="AH210" i="2262"/>
  <c r="AI210" i="2262" s="1"/>
  <c r="AH268" i="2262"/>
  <c r="AI268" i="2262" s="1"/>
  <c r="AH209" i="2262"/>
  <c r="AI209" i="2262" s="1"/>
  <c r="AH295" i="2262"/>
  <c r="AI295" i="2262" s="1"/>
  <c r="AH251" i="2262"/>
  <c r="AI251" i="2262" s="1"/>
  <c r="AH199" i="2262"/>
  <c r="AI199" i="2262" s="1"/>
  <c r="AH236" i="2262"/>
  <c r="AI236" i="2262" s="1"/>
  <c r="AH275" i="2262"/>
  <c r="AI275" i="2262" s="1"/>
  <c r="AH270" i="2262"/>
  <c r="AI270" i="2262" s="1"/>
  <c r="AH288" i="2262"/>
  <c r="AI288" i="2262" s="1"/>
  <c r="AH213" i="2262"/>
  <c r="AI213" i="2262" s="1"/>
  <c r="AH278" i="2262"/>
  <c r="AI278" i="2262" s="1"/>
  <c r="AH217" i="2262"/>
  <c r="AI217" i="2262" s="1"/>
  <c r="AH242" i="2262"/>
  <c r="AI242" i="2262" s="1"/>
  <c r="AH298" i="2262"/>
  <c r="AI298" i="2262" s="1"/>
  <c r="AH284" i="2262"/>
  <c r="AI284" i="2262" s="1"/>
  <c r="AH204" i="2262"/>
  <c r="AI204" i="2262" s="1"/>
  <c r="AH246" i="2262"/>
  <c r="AI246" i="2262" s="1"/>
  <c r="AH220" i="2262"/>
  <c r="AI220" i="2262" s="1"/>
  <c r="AH198" i="2262"/>
  <c r="AI198" i="2262" s="1"/>
  <c r="AH212" i="2262"/>
  <c r="AI212" i="2262" s="1"/>
  <c r="AH232" i="2262"/>
  <c r="AI232" i="2262" s="1"/>
  <c r="AH243" i="2262"/>
  <c r="AI243" i="2262" s="1"/>
  <c r="AH250" i="2262"/>
  <c r="AI250" i="2262" s="1"/>
  <c r="AH264" i="2262"/>
  <c r="AI264" i="2262" s="1"/>
  <c r="AH277" i="2262"/>
  <c r="AI277" i="2262" s="1"/>
  <c r="AH281" i="2262"/>
  <c r="AI281" i="2262" s="1"/>
  <c r="AH299" i="2262"/>
  <c r="AI299" i="2262" s="1"/>
  <c r="AH196" i="2262"/>
  <c r="AI196" i="2262" s="1"/>
  <c r="AH216" i="2262"/>
  <c r="AI216" i="2262" s="1"/>
  <c r="AH223" i="2262"/>
  <c r="AI223" i="2262" s="1"/>
  <c r="AH227" i="2262"/>
  <c r="AI227" i="2262" s="1"/>
  <c r="AH241" i="2262"/>
  <c r="AI241" i="2262" s="1"/>
  <c r="AH258" i="2262"/>
  <c r="AI258" i="2262" s="1"/>
  <c r="AH285" i="2262"/>
  <c r="AI285" i="2262" s="1"/>
  <c r="AH296" i="2262"/>
  <c r="AI296" i="2262" s="1"/>
  <c r="AH215" i="2262"/>
  <c r="AI215" i="2262" s="1"/>
  <c r="AH273" i="2262"/>
  <c r="AI273" i="2262" s="1"/>
  <c r="AH256" i="2262"/>
  <c r="AI256" i="2262" s="1"/>
  <c r="AH200" i="2262"/>
  <c r="AI200" i="2262" s="1"/>
  <c r="AH262" i="2262"/>
  <c r="AI262" i="2262" s="1"/>
  <c r="AH203" i="2262"/>
  <c r="AI203" i="2262" s="1"/>
  <c r="AH208" i="2262"/>
  <c r="AI208" i="2262" s="1"/>
  <c r="AH202" i="2262"/>
  <c r="AI202" i="2262" s="1"/>
  <c r="AH255" i="2262"/>
  <c r="AI255" i="2262" s="1"/>
  <c r="AH282" i="2262"/>
  <c r="AI282" i="2262" s="1"/>
  <c r="AH197" i="2262"/>
  <c r="AI197" i="2262" s="1"/>
  <c r="AH228" i="2262"/>
  <c r="AI228" i="2262" s="1"/>
  <c r="AH289" i="2262"/>
  <c r="AI289" i="2262" s="1"/>
  <c r="AH283" i="2262"/>
  <c r="AI283" i="2262" s="1"/>
  <c r="AH269" i="2262"/>
  <c r="AI269" i="2262" s="1"/>
  <c r="AH297" i="2262"/>
  <c r="AI297" i="2262" s="1"/>
  <c r="AH206" i="2262"/>
  <c r="AI206" i="2262" s="1"/>
  <c r="AH218" i="2262"/>
  <c r="AI218" i="2262" s="1"/>
  <c r="AH234" i="2262"/>
  <c r="AI234" i="2262" s="1"/>
  <c r="AH248" i="2262"/>
  <c r="AI248" i="2262" s="1"/>
  <c r="AH259" i="2262"/>
  <c r="AI259" i="2262" s="1"/>
  <c r="AH266" i="2262"/>
  <c r="AI266" i="2262" s="1"/>
  <c r="AH279" i="2262"/>
  <c r="AI279" i="2262" s="1"/>
  <c r="AH286" i="2262"/>
  <c r="AI286" i="2262" s="1"/>
  <c r="AH194" i="2262"/>
  <c r="AI194" i="2262" s="1"/>
  <c r="AH201" i="2262"/>
  <c r="AI201" i="2262" s="1"/>
  <c r="AH221" i="2262"/>
  <c r="AI221" i="2262" s="1"/>
  <c r="AH225" i="2262"/>
  <c r="AI225" i="2262" s="1"/>
  <c r="AH229" i="2262"/>
  <c r="AI229" i="2262" s="1"/>
  <c r="AH247" i="2262"/>
  <c r="AI247" i="2262" s="1"/>
  <c r="AH271" i="2262"/>
  <c r="AI271" i="2262" s="1"/>
  <c r="AH293" i="2262"/>
  <c r="AI293" i="2262" s="1"/>
  <c r="AH193" i="2262"/>
  <c r="AI193" i="2262" s="1"/>
  <c r="AH257" i="2262"/>
  <c r="AI257" i="2262" s="1"/>
  <c r="AH291" i="2262"/>
  <c r="AI291" i="2262" s="1"/>
  <c r="AH287" i="2262"/>
  <c r="AI287" i="2262" s="1"/>
  <c r="AH230" i="2262"/>
  <c r="AI230" i="2262" s="1"/>
  <c r="AH292" i="2262"/>
  <c r="AI292" i="2262" s="1"/>
  <c r="AH219" i="2262"/>
  <c r="AI219" i="2262" s="1"/>
  <c r="AH261" i="2262"/>
  <c r="AI261" i="2262" s="1"/>
  <c r="AH301" i="2262"/>
  <c r="AI301" i="2262" s="1"/>
  <c r="AH267" i="2262"/>
  <c r="AI267" i="2262" s="1"/>
  <c r="AH237" i="2262"/>
  <c r="AI237" i="2262" s="1"/>
  <c r="AH214" i="2262"/>
  <c r="AI214" i="2262" s="1"/>
  <c r="AH245" i="2262"/>
  <c r="AI245" i="2262" s="1"/>
  <c r="AH238" i="2262"/>
  <c r="AI238" i="2262" s="1"/>
  <c r="AH274" i="2262"/>
  <c r="AI274" i="2262" s="1"/>
  <c r="AH233" i="2262"/>
  <c r="AI233" i="2262" s="1"/>
  <c r="AH244" i="2262"/>
  <c r="AI244" i="2262" s="1"/>
  <c r="AH265" i="2262"/>
  <c r="AI265" i="2262" s="1"/>
  <c r="AH300" i="2262"/>
  <c r="AI300" i="2262" s="1"/>
  <c r="AH224" i="2262"/>
  <c r="AI224" i="2262" s="1"/>
  <c r="AH263" i="2262"/>
  <c r="AI263" i="2262" s="1"/>
  <c r="AH253" i="2262"/>
  <c r="AI253" i="2262" s="1"/>
  <c r="AH207" i="2262"/>
  <c r="AI207" i="2262" s="1"/>
  <c r="AH252" i="2262"/>
  <c r="AI252" i="2262" s="1"/>
  <c r="AH239" i="2262"/>
  <c r="AI239" i="2262" s="1"/>
  <c r="U46" i="2262"/>
  <c r="AO239" i="2262" l="1"/>
  <c r="AZ239" i="2262"/>
  <c r="AW239" i="2262"/>
  <c r="AV239" i="2262"/>
  <c r="AR239" i="2262"/>
  <c r="AQ239" i="2262"/>
  <c r="BA239" i="2262"/>
  <c r="AY239" i="2262"/>
  <c r="AX239" i="2262"/>
  <c r="AS239" i="2262"/>
  <c r="AP239" i="2262"/>
  <c r="AO252" i="2262"/>
  <c r="BA252" i="2262"/>
  <c r="AZ252" i="2262"/>
  <c r="AY252" i="2262"/>
  <c r="AX252" i="2262"/>
  <c r="AW252" i="2262"/>
  <c r="AS252" i="2262"/>
  <c r="AV252" i="2262"/>
  <c r="AQ252" i="2262"/>
  <c r="AR252" i="2262"/>
  <c r="AP252" i="2262"/>
  <c r="AO224" i="2262"/>
  <c r="BA224" i="2262"/>
  <c r="AZ224" i="2262"/>
  <c r="AY224" i="2262"/>
  <c r="AX224" i="2262"/>
  <c r="AW224" i="2262"/>
  <c r="AS224" i="2262"/>
  <c r="AV224" i="2262"/>
  <c r="AQ224" i="2262"/>
  <c r="AR224" i="2262"/>
  <c r="AP224" i="2262"/>
  <c r="AO233" i="2262"/>
  <c r="BA233" i="2262"/>
  <c r="AZ233" i="2262"/>
  <c r="AY233" i="2262"/>
  <c r="AW233" i="2262"/>
  <c r="AX233" i="2262"/>
  <c r="AV233" i="2262"/>
  <c r="AS233" i="2262"/>
  <c r="AR233" i="2262"/>
  <c r="AP233" i="2262"/>
  <c r="AQ233" i="2262"/>
  <c r="AO214" i="2262"/>
  <c r="BA214" i="2262"/>
  <c r="AZ214" i="2262"/>
  <c r="AY214" i="2262"/>
  <c r="AX214" i="2262"/>
  <c r="AW214" i="2262"/>
  <c r="AS214" i="2262"/>
  <c r="AV214" i="2262"/>
  <c r="AQ214" i="2262"/>
  <c r="AR214" i="2262"/>
  <c r="AP214" i="2262"/>
  <c r="AO261" i="2262"/>
  <c r="BA261" i="2262"/>
  <c r="AZ261" i="2262"/>
  <c r="AY261" i="2262"/>
  <c r="AW261" i="2262"/>
  <c r="AX261" i="2262"/>
  <c r="AV261" i="2262"/>
  <c r="AS261" i="2262"/>
  <c r="AR261" i="2262"/>
  <c r="AP261" i="2262"/>
  <c r="AQ261" i="2262"/>
  <c r="AO287" i="2262"/>
  <c r="BA287" i="2262"/>
  <c r="AZ287" i="2262"/>
  <c r="AY287" i="2262"/>
  <c r="AW287" i="2262"/>
  <c r="AX287" i="2262"/>
  <c r="AV287" i="2262"/>
  <c r="AS287" i="2262"/>
  <c r="AR287" i="2262"/>
  <c r="AP287" i="2262"/>
  <c r="AQ287" i="2262"/>
  <c r="AO293" i="2262"/>
  <c r="BA293" i="2262"/>
  <c r="AZ293" i="2262"/>
  <c r="AY293" i="2262"/>
  <c r="AW293" i="2262"/>
  <c r="AX293" i="2262"/>
  <c r="AV293" i="2262"/>
  <c r="AS293" i="2262"/>
  <c r="AR293" i="2262"/>
  <c r="AP293" i="2262"/>
  <c r="AQ293" i="2262"/>
  <c r="AO225" i="2262"/>
  <c r="BA225" i="2262"/>
  <c r="AZ225" i="2262"/>
  <c r="AY225" i="2262"/>
  <c r="AW225" i="2262"/>
  <c r="AX225" i="2262"/>
  <c r="AV225" i="2262"/>
  <c r="AS225" i="2262"/>
  <c r="AR225" i="2262"/>
  <c r="AP225" i="2262"/>
  <c r="AQ225" i="2262"/>
  <c r="AO286" i="2262"/>
  <c r="BA286" i="2262"/>
  <c r="AZ286" i="2262"/>
  <c r="AY286" i="2262"/>
  <c r="AX286" i="2262"/>
  <c r="AW286" i="2262"/>
  <c r="AS286" i="2262"/>
  <c r="AV286" i="2262"/>
  <c r="AQ286" i="2262"/>
  <c r="AR286" i="2262"/>
  <c r="AP286" i="2262"/>
  <c r="AO248" i="2262"/>
  <c r="BA248" i="2262"/>
  <c r="AZ248" i="2262"/>
  <c r="AY248" i="2262"/>
  <c r="AX248" i="2262"/>
  <c r="AW248" i="2262"/>
  <c r="AS248" i="2262"/>
  <c r="AV248" i="2262"/>
  <c r="AQ248" i="2262"/>
  <c r="AR248" i="2262"/>
  <c r="AP248" i="2262"/>
  <c r="AO297" i="2262"/>
  <c r="BA297" i="2262"/>
  <c r="AZ297" i="2262"/>
  <c r="AY297" i="2262"/>
  <c r="AW297" i="2262"/>
  <c r="AX297" i="2262"/>
  <c r="AV297" i="2262"/>
  <c r="AS297" i="2262"/>
  <c r="AR297" i="2262"/>
  <c r="AP297" i="2262"/>
  <c r="AQ297" i="2262"/>
  <c r="AO228" i="2262"/>
  <c r="BA228" i="2262"/>
  <c r="AZ228" i="2262"/>
  <c r="AY228" i="2262"/>
  <c r="AX228" i="2262"/>
  <c r="AW228" i="2262"/>
  <c r="AS228" i="2262"/>
  <c r="AV228" i="2262"/>
  <c r="AQ228" i="2262"/>
  <c r="AR228" i="2262"/>
  <c r="AP228" i="2262"/>
  <c r="AO202" i="2262"/>
  <c r="BA202" i="2262"/>
  <c r="AZ202" i="2262"/>
  <c r="AY202" i="2262"/>
  <c r="AX202" i="2262"/>
  <c r="AW202" i="2262"/>
  <c r="AS202" i="2262"/>
  <c r="AV202" i="2262"/>
  <c r="AQ202" i="2262"/>
  <c r="AR202" i="2262"/>
  <c r="AP202" i="2262"/>
  <c r="AO200" i="2262"/>
  <c r="BA200" i="2262"/>
  <c r="AZ200" i="2262"/>
  <c r="AY200" i="2262"/>
  <c r="AX200" i="2262"/>
  <c r="AW200" i="2262"/>
  <c r="AS200" i="2262"/>
  <c r="AV200" i="2262"/>
  <c r="AQ200" i="2262"/>
  <c r="AR200" i="2262"/>
  <c r="AP200" i="2262"/>
  <c r="AO296" i="2262"/>
  <c r="BA296" i="2262"/>
  <c r="AZ296" i="2262"/>
  <c r="AY296" i="2262"/>
  <c r="AX296" i="2262"/>
  <c r="AW296" i="2262"/>
  <c r="AS296" i="2262"/>
  <c r="AV296" i="2262"/>
  <c r="AQ296" i="2262"/>
  <c r="AR296" i="2262"/>
  <c r="AP296" i="2262"/>
  <c r="AO227" i="2262"/>
  <c r="BA227" i="2262"/>
  <c r="AZ227" i="2262"/>
  <c r="AY227" i="2262"/>
  <c r="AW227" i="2262"/>
  <c r="AX227" i="2262"/>
  <c r="AV227" i="2262"/>
  <c r="AS227" i="2262"/>
  <c r="AR227" i="2262"/>
  <c r="AP227" i="2262"/>
  <c r="AQ227" i="2262"/>
  <c r="AO299" i="2262"/>
  <c r="BA299" i="2262"/>
  <c r="AZ299" i="2262"/>
  <c r="AY299" i="2262"/>
  <c r="AW299" i="2262"/>
  <c r="AX299" i="2262"/>
  <c r="AV299" i="2262"/>
  <c r="AS299" i="2262"/>
  <c r="AR299" i="2262"/>
  <c r="AP299" i="2262"/>
  <c r="AQ299" i="2262"/>
  <c r="AO250" i="2262"/>
  <c r="BA250" i="2262"/>
  <c r="AZ250" i="2262"/>
  <c r="AY250" i="2262"/>
  <c r="AX250" i="2262"/>
  <c r="AW250" i="2262"/>
  <c r="AS250" i="2262"/>
  <c r="AV250" i="2262"/>
  <c r="AQ250" i="2262"/>
  <c r="AR250" i="2262"/>
  <c r="AP250" i="2262"/>
  <c r="AO198" i="2262"/>
  <c r="BA198" i="2262"/>
  <c r="AZ198" i="2262"/>
  <c r="AY198" i="2262"/>
  <c r="AX198" i="2262"/>
  <c r="AW198" i="2262"/>
  <c r="AS198" i="2262"/>
  <c r="AV198" i="2262"/>
  <c r="AQ198" i="2262"/>
  <c r="AR198" i="2262"/>
  <c r="AP198" i="2262"/>
  <c r="AO284" i="2262"/>
  <c r="BA284" i="2262"/>
  <c r="AZ284" i="2262"/>
  <c r="AY284" i="2262"/>
  <c r="AX284" i="2262"/>
  <c r="AW284" i="2262"/>
  <c r="AS284" i="2262"/>
  <c r="AV284" i="2262"/>
  <c r="AQ284" i="2262"/>
  <c r="AR284" i="2262"/>
  <c r="AP284" i="2262"/>
  <c r="AO278" i="2262"/>
  <c r="BA278" i="2262"/>
  <c r="AZ278" i="2262"/>
  <c r="AY278" i="2262"/>
  <c r="AX278" i="2262"/>
  <c r="AW278" i="2262"/>
  <c r="AS278" i="2262"/>
  <c r="AV278" i="2262"/>
  <c r="AQ278" i="2262"/>
  <c r="AR278" i="2262"/>
  <c r="AP278" i="2262"/>
  <c r="AO275" i="2262"/>
  <c r="BA275" i="2262"/>
  <c r="AZ275" i="2262"/>
  <c r="AY275" i="2262"/>
  <c r="AW275" i="2262"/>
  <c r="AX275" i="2262"/>
  <c r="AV275" i="2262"/>
  <c r="AS275" i="2262"/>
  <c r="AR275" i="2262"/>
  <c r="AP275" i="2262"/>
  <c r="AQ275" i="2262"/>
  <c r="AO295" i="2262"/>
  <c r="BA295" i="2262"/>
  <c r="AZ295" i="2262"/>
  <c r="AY295" i="2262"/>
  <c r="AW295" i="2262"/>
  <c r="AX295" i="2262"/>
  <c r="AV295" i="2262"/>
  <c r="AS295" i="2262"/>
  <c r="AR295" i="2262"/>
  <c r="AP295" i="2262"/>
  <c r="AQ295" i="2262"/>
  <c r="AO294" i="2262"/>
  <c r="BA294" i="2262"/>
  <c r="AZ294" i="2262"/>
  <c r="AY294" i="2262"/>
  <c r="AX294" i="2262"/>
  <c r="AW294" i="2262"/>
  <c r="AS294" i="2262"/>
  <c r="AV294" i="2262"/>
  <c r="AQ294" i="2262"/>
  <c r="AR294" i="2262"/>
  <c r="AP294" i="2262"/>
  <c r="AO226" i="2262"/>
  <c r="BA226" i="2262"/>
  <c r="AZ226" i="2262"/>
  <c r="AY226" i="2262"/>
  <c r="AX226" i="2262"/>
  <c r="AW226" i="2262"/>
  <c r="AS226" i="2262"/>
  <c r="AV226" i="2262"/>
  <c r="AQ226" i="2262"/>
  <c r="AR226" i="2262"/>
  <c r="AP226" i="2262"/>
  <c r="AO290" i="2262"/>
  <c r="BA290" i="2262"/>
  <c r="AZ290" i="2262"/>
  <c r="AY290" i="2262"/>
  <c r="AX290" i="2262"/>
  <c r="AW290" i="2262"/>
  <c r="AS290" i="2262"/>
  <c r="AV290" i="2262"/>
  <c r="AQ290" i="2262"/>
  <c r="AR290" i="2262"/>
  <c r="AP290" i="2262"/>
  <c r="AO249" i="2262"/>
  <c r="BA249" i="2262"/>
  <c r="AZ249" i="2262"/>
  <c r="AY249" i="2262"/>
  <c r="AW249" i="2262"/>
  <c r="AX249" i="2262"/>
  <c r="AV249" i="2262"/>
  <c r="AS249" i="2262"/>
  <c r="AR249" i="2262"/>
  <c r="AP249" i="2262"/>
  <c r="AQ249" i="2262"/>
  <c r="AO263" i="2262"/>
  <c r="BA263" i="2262"/>
  <c r="AZ263" i="2262"/>
  <c r="AY263" i="2262"/>
  <c r="AW263" i="2262"/>
  <c r="AX263" i="2262"/>
  <c r="AV263" i="2262"/>
  <c r="AS263" i="2262"/>
  <c r="AR263" i="2262"/>
  <c r="AP263" i="2262"/>
  <c r="AQ263" i="2262"/>
  <c r="AO244" i="2262"/>
  <c r="BA244" i="2262"/>
  <c r="AZ244" i="2262"/>
  <c r="AY244" i="2262"/>
  <c r="AX244" i="2262"/>
  <c r="AW244" i="2262"/>
  <c r="AS244" i="2262"/>
  <c r="AV244" i="2262"/>
  <c r="AQ244" i="2262"/>
  <c r="AR244" i="2262"/>
  <c r="AP244" i="2262"/>
  <c r="AO245" i="2262"/>
  <c r="BA245" i="2262"/>
  <c r="AZ245" i="2262"/>
  <c r="AY245" i="2262"/>
  <c r="AW245" i="2262"/>
  <c r="AX245" i="2262"/>
  <c r="AV245" i="2262"/>
  <c r="AS245" i="2262"/>
  <c r="AR245" i="2262"/>
  <c r="AP245" i="2262"/>
  <c r="AQ245" i="2262"/>
  <c r="AO301" i="2262"/>
  <c r="BA301" i="2262"/>
  <c r="AZ301" i="2262"/>
  <c r="AY301" i="2262"/>
  <c r="AW301" i="2262"/>
  <c r="AX301" i="2262"/>
  <c r="AV301" i="2262"/>
  <c r="AS301" i="2262"/>
  <c r="AR301" i="2262"/>
  <c r="AP301" i="2262"/>
  <c r="AQ301" i="2262"/>
  <c r="AO230" i="2262"/>
  <c r="BA230" i="2262"/>
  <c r="AZ230" i="2262"/>
  <c r="AY230" i="2262"/>
  <c r="AX230" i="2262"/>
  <c r="AW230" i="2262"/>
  <c r="AS230" i="2262"/>
  <c r="AV230" i="2262"/>
  <c r="AQ230" i="2262"/>
  <c r="AR230" i="2262"/>
  <c r="AP230" i="2262"/>
  <c r="AO193" i="2262"/>
  <c r="BA193" i="2262"/>
  <c r="AZ193" i="2262"/>
  <c r="AY193" i="2262"/>
  <c r="AW193" i="2262"/>
  <c r="AX193" i="2262"/>
  <c r="AV193" i="2262"/>
  <c r="AS193" i="2262"/>
  <c r="AR193" i="2262"/>
  <c r="AP193" i="2262"/>
  <c r="AQ193" i="2262"/>
  <c r="AO229" i="2262"/>
  <c r="BA229" i="2262"/>
  <c r="AZ229" i="2262"/>
  <c r="AY229" i="2262"/>
  <c r="AW229" i="2262"/>
  <c r="AX229" i="2262"/>
  <c r="AV229" i="2262"/>
  <c r="AS229" i="2262"/>
  <c r="AR229" i="2262"/>
  <c r="AP229" i="2262"/>
  <c r="AQ229" i="2262"/>
  <c r="AO194" i="2262"/>
  <c r="BA194" i="2262"/>
  <c r="AZ194" i="2262"/>
  <c r="AY194" i="2262"/>
  <c r="AX194" i="2262"/>
  <c r="AW194" i="2262"/>
  <c r="AS194" i="2262"/>
  <c r="AV194" i="2262"/>
  <c r="AQ194" i="2262"/>
  <c r="AR194" i="2262"/>
  <c r="AP194" i="2262"/>
  <c r="AO259" i="2262"/>
  <c r="BA259" i="2262"/>
  <c r="AZ259" i="2262"/>
  <c r="AY259" i="2262"/>
  <c r="AW259" i="2262"/>
  <c r="AX259" i="2262"/>
  <c r="AV259" i="2262"/>
  <c r="AS259" i="2262"/>
  <c r="AR259" i="2262"/>
  <c r="AP259" i="2262"/>
  <c r="AQ259" i="2262"/>
  <c r="AO206" i="2262"/>
  <c r="BA206" i="2262"/>
  <c r="AZ206" i="2262"/>
  <c r="AY206" i="2262"/>
  <c r="AX206" i="2262"/>
  <c r="AW206" i="2262"/>
  <c r="AS206" i="2262"/>
  <c r="AV206" i="2262"/>
  <c r="AQ206" i="2262"/>
  <c r="AR206" i="2262"/>
  <c r="AP206" i="2262"/>
  <c r="AO289" i="2262"/>
  <c r="BA289" i="2262"/>
  <c r="AZ289" i="2262"/>
  <c r="AY289" i="2262"/>
  <c r="AW289" i="2262"/>
  <c r="AX289" i="2262"/>
  <c r="AV289" i="2262"/>
  <c r="AS289" i="2262"/>
  <c r="AR289" i="2262"/>
  <c r="AP289" i="2262"/>
  <c r="AQ289" i="2262"/>
  <c r="AO255" i="2262"/>
  <c r="BA255" i="2262"/>
  <c r="AZ255" i="2262"/>
  <c r="AY255" i="2262"/>
  <c r="AW255" i="2262"/>
  <c r="AX255" i="2262"/>
  <c r="AV255" i="2262"/>
  <c r="AS255" i="2262"/>
  <c r="AR255" i="2262"/>
  <c r="AP255" i="2262"/>
  <c r="AQ255" i="2262"/>
  <c r="AO262" i="2262"/>
  <c r="BA262" i="2262"/>
  <c r="AZ262" i="2262"/>
  <c r="AY262" i="2262"/>
  <c r="AX262" i="2262"/>
  <c r="AW262" i="2262"/>
  <c r="AS262" i="2262"/>
  <c r="AV262" i="2262"/>
  <c r="AQ262" i="2262"/>
  <c r="AR262" i="2262"/>
  <c r="AP262" i="2262"/>
  <c r="AO215" i="2262"/>
  <c r="BA215" i="2262"/>
  <c r="AZ215" i="2262"/>
  <c r="AY215" i="2262"/>
  <c r="AW215" i="2262"/>
  <c r="AX215" i="2262"/>
  <c r="AV215" i="2262"/>
  <c r="AS215" i="2262"/>
  <c r="AR215" i="2262"/>
  <c r="AP215" i="2262"/>
  <c r="AQ215" i="2262"/>
  <c r="AO241" i="2262"/>
  <c r="BA241" i="2262"/>
  <c r="AZ241" i="2262"/>
  <c r="AY241" i="2262"/>
  <c r="AW241" i="2262"/>
  <c r="AX241" i="2262"/>
  <c r="AV241" i="2262"/>
  <c r="AS241" i="2262"/>
  <c r="AR241" i="2262"/>
  <c r="AP241" i="2262"/>
  <c r="AQ241" i="2262"/>
  <c r="AO196" i="2262"/>
  <c r="BA196" i="2262"/>
  <c r="AZ196" i="2262"/>
  <c r="AY196" i="2262"/>
  <c r="AX196" i="2262"/>
  <c r="AW196" i="2262"/>
  <c r="AS196" i="2262"/>
  <c r="AV196" i="2262"/>
  <c r="AQ196" i="2262"/>
  <c r="AR196" i="2262"/>
  <c r="AP196" i="2262"/>
  <c r="AO264" i="2262"/>
  <c r="BA264" i="2262"/>
  <c r="AZ264" i="2262"/>
  <c r="AY264" i="2262"/>
  <c r="AX264" i="2262"/>
  <c r="AW264" i="2262"/>
  <c r="AS264" i="2262"/>
  <c r="AV264" i="2262"/>
  <c r="AQ264" i="2262"/>
  <c r="AR264" i="2262"/>
  <c r="AP264" i="2262"/>
  <c r="AO212" i="2262"/>
  <c r="BA212" i="2262"/>
  <c r="AZ212" i="2262"/>
  <c r="AY212" i="2262"/>
  <c r="AX212" i="2262"/>
  <c r="AW212" i="2262"/>
  <c r="AS212" i="2262"/>
  <c r="AV212" i="2262"/>
  <c r="AQ212" i="2262"/>
  <c r="AR212" i="2262"/>
  <c r="AP212" i="2262"/>
  <c r="AO204" i="2262"/>
  <c r="BA204" i="2262"/>
  <c r="AZ204" i="2262"/>
  <c r="AY204" i="2262"/>
  <c r="AX204" i="2262"/>
  <c r="AW204" i="2262"/>
  <c r="AS204" i="2262"/>
  <c r="AV204" i="2262"/>
  <c r="AQ204" i="2262"/>
  <c r="AR204" i="2262"/>
  <c r="AP204" i="2262"/>
  <c r="AO217" i="2262"/>
  <c r="BA217" i="2262"/>
  <c r="AZ217" i="2262"/>
  <c r="AY217" i="2262"/>
  <c r="AW217" i="2262"/>
  <c r="AX217" i="2262"/>
  <c r="AV217" i="2262"/>
  <c r="AS217" i="2262"/>
  <c r="AR217" i="2262"/>
  <c r="AP217" i="2262"/>
  <c r="AQ217" i="2262"/>
  <c r="AO270" i="2262"/>
  <c r="BA270" i="2262"/>
  <c r="AZ270" i="2262"/>
  <c r="AY270" i="2262"/>
  <c r="AX270" i="2262"/>
  <c r="AW270" i="2262"/>
  <c r="AS270" i="2262"/>
  <c r="AV270" i="2262"/>
  <c r="AQ270" i="2262"/>
  <c r="AR270" i="2262"/>
  <c r="AP270" i="2262"/>
  <c r="AO251" i="2262"/>
  <c r="BA251" i="2262"/>
  <c r="AZ251" i="2262"/>
  <c r="AY251" i="2262"/>
  <c r="AW251" i="2262"/>
  <c r="AX251" i="2262"/>
  <c r="AV251" i="2262"/>
  <c r="AS251" i="2262"/>
  <c r="AR251" i="2262"/>
  <c r="AP251" i="2262"/>
  <c r="AQ251" i="2262"/>
  <c r="AO210" i="2262"/>
  <c r="BA210" i="2262"/>
  <c r="AZ210" i="2262"/>
  <c r="AY210" i="2262"/>
  <c r="AX210" i="2262"/>
  <c r="AW210" i="2262"/>
  <c r="AS210" i="2262"/>
  <c r="AV210" i="2262"/>
  <c r="AQ210" i="2262"/>
  <c r="AR210" i="2262"/>
  <c r="AP210" i="2262"/>
  <c r="AO240" i="2262"/>
  <c r="BA240" i="2262"/>
  <c r="AZ240" i="2262"/>
  <c r="AY240" i="2262"/>
  <c r="AX240" i="2262"/>
  <c r="AW240" i="2262"/>
  <c r="AS240" i="2262"/>
  <c r="AV240" i="2262"/>
  <c r="AQ240" i="2262"/>
  <c r="AR240" i="2262"/>
  <c r="AP240" i="2262"/>
  <c r="AO195" i="2262"/>
  <c r="BA195" i="2262"/>
  <c r="AZ195" i="2262"/>
  <c r="AY195" i="2262"/>
  <c r="AW195" i="2262"/>
  <c r="AX195" i="2262"/>
  <c r="AV195" i="2262"/>
  <c r="AS195" i="2262"/>
  <c r="AR195" i="2262"/>
  <c r="AP195" i="2262"/>
  <c r="AQ195" i="2262"/>
  <c r="AO260" i="2262"/>
  <c r="BA260" i="2262"/>
  <c r="AZ260" i="2262"/>
  <c r="AY260" i="2262"/>
  <c r="AX260" i="2262"/>
  <c r="AW260" i="2262"/>
  <c r="AS260" i="2262"/>
  <c r="AV260" i="2262"/>
  <c r="AQ260" i="2262"/>
  <c r="AR260" i="2262"/>
  <c r="AP260" i="2262"/>
  <c r="AO211" i="2262"/>
  <c r="BA211" i="2262"/>
  <c r="AZ211" i="2262"/>
  <c r="AY211" i="2262"/>
  <c r="AW211" i="2262"/>
  <c r="AX211" i="2262"/>
  <c r="AV211" i="2262"/>
  <c r="AS211" i="2262"/>
  <c r="AR211" i="2262"/>
  <c r="AP211" i="2262"/>
  <c r="AQ211" i="2262"/>
  <c r="AO253" i="2262"/>
  <c r="BA253" i="2262"/>
  <c r="AZ253" i="2262"/>
  <c r="AY253" i="2262"/>
  <c r="AW253" i="2262"/>
  <c r="AX253" i="2262"/>
  <c r="AV253" i="2262"/>
  <c r="AS253" i="2262"/>
  <c r="AR253" i="2262"/>
  <c r="AP253" i="2262"/>
  <c r="AQ253" i="2262"/>
  <c r="AO265" i="2262"/>
  <c r="BA265" i="2262"/>
  <c r="AZ265" i="2262"/>
  <c r="AY265" i="2262"/>
  <c r="AW265" i="2262"/>
  <c r="AX265" i="2262"/>
  <c r="AV265" i="2262"/>
  <c r="AS265" i="2262"/>
  <c r="AR265" i="2262"/>
  <c r="AP265" i="2262"/>
  <c r="AQ265" i="2262"/>
  <c r="AO238" i="2262"/>
  <c r="BA238" i="2262"/>
  <c r="AZ238" i="2262"/>
  <c r="AY238" i="2262"/>
  <c r="AX238" i="2262"/>
  <c r="AW238" i="2262"/>
  <c r="AS238" i="2262"/>
  <c r="AV238" i="2262"/>
  <c r="AQ238" i="2262"/>
  <c r="AR238" i="2262"/>
  <c r="AP238" i="2262"/>
  <c r="AO267" i="2262"/>
  <c r="BA267" i="2262"/>
  <c r="AZ267" i="2262"/>
  <c r="AY267" i="2262"/>
  <c r="AW267" i="2262"/>
  <c r="AX267" i="2262"/>
  <c r="AV267" i="2262"/>
  <c r="AS267" i="2262"/>
  <c r="AR267" i="2262"/>
  <c r="AP267" i="2262"/>
  <c r="AQ267" i="2262"/>
  <c r="AO292" i="2262"/>
  <c r="BA292" i="2262"/>
  <c r="AZ292" i="2262"/>
  <c r="AY292" i="2262"/>
  <c r="AX292" i="2262"/>
  <c r="AW292" i="2262"/>
  <c r="AS292" i="2262"/>
  <c r="AV292" i="2262"/>
  <c r="AQ292" i="2262"/>
  <c r="AR292" i="2262"/>
  <c r="AP292" i="2262"/>
  <c r="AO257" i="2262"/>
  <c r="BA257" i="2262"/>
  <c r="AZ257" i="2262"/>
  <c r="AY257" i="2262"/>
  <c r="AW257" i="2262"/>
  <c r="AX257" i="2262"/>
  <c r="AV257" i="2262"/>
  <c r="AS257" i="2262"/>
  <c r="AR257" i="2262"/>
  <c r="AP257" i="2262"/>
  <c r="AQ257" i="2262"/>
  <c r="AO247" i="2262"/>
  <c r="BA247" i="2262"/>
  <c r="AZ247" i="2262"/>
  <c r="AY247" i="2262"/>
  <c r="AW247" i="2262"/>
  <c r="AX247" i="2262"/>
  <c r="AV247" i="2262"/>
  <c r="AS247" i="2262"/>
  <c r="AR247" i="2262"/>
  <c r="AP247" i="2262"/>
  <c r="AQ247" i="2262"/>
  <c r="AO201" i="2262"/>
  <c r="BA201" i="2262"/>
  <c r="AZ201" i="2262"/>
  <c r="AY201" i="2262"/>
  <c r="AW201" i="2262"/>
  <c r="AX201" i="2262"/>
  <c r="AV201" i="2262"/>
  <c r="AS201" i="2262"/>
  <c r="AR201" i="2262"/>
  <c r="AP201" i="2262"/>
  <c r="AQ201" i="2262"/>
  <c r="AO266" i="2262"/>
  <c r="BA266" i="2262"/>
  <c r="AZ266" i="2262"/>
  <c r="AY266" i="2262"/>
  <c r="AX266" i="2262"/>
  <c r="AW266" i="2262"/>
  <c r="AS266" i="2262"/>
  <c r="AV266" i="2262"/>
  <c r="AQ266" i="2262"/>
  <c r="AR266" i="2262"/>
  <c r="AP266" i="2262"/>
  <c r="AO218" i="2262"/>
  <c r="BA218" i="2262"/>
  <c r="AZ218" i="2262"/>
  <c r="AY218" i="2262"/>
  <c r="AX218" i="2262"/>
  <c r="AW218" i="2262"/>
  <c r="AS218" i="2262"/>
  <c r="AV218" i="2262"/>
  <c r="AQ218" i="2262"/>
  <c r="AR218" i="2262"/>
  <c r="AP218" i="2262"/>
  <c r="AO283" i="2262"/>
  <c r="BA283" i="2262"/>
  <c r="AZ283" i="2262"/>
  <c r="AY283" i="2262"/>
  <c r="AW283" i="2262"/>
  <c r="AX283" i="2262"/>
  <c r="AV283" i="2262"/>
  <c r="AS283" i="2262"/>
  <c r="AR283" i="2262"/>
  <c r="AP283" i="2262"/>
  <c r="AQ283" i="2262"/>
  <c r="AO282" i="2262"/>
  <c r="BA282" i="2262"/>
  <c r="AZ282" i="2262"/>
  <c r="AY282" i="2262"/>
  <c r="AX282" i="2262"/>
  <c r="AW282" i="2262"/>
  <c r="AS282" i="2262"/>
  <c r="AV282" i="2262"/>
  <c r="AQ282" i="2262"/>
  <c r="AR282" i="2262"/>
  <c r="AP282" i="2262"/>
  <c r="AO203" i="2262"/>
  <c r="BA203" i="2262"/>
  <c r="AZ203" i="2262"/>
  <c r="AY203" i="2262"/>
  <c r="AW203" i="2262"/>
  <c r="AX203" i="2262"/>
  <c r="AV203" i="2262"/>
  <c r="AS203" i="2262"/>
  <c r="AR203" i="2262"/>
  <c r="AP203" i="2262"/>
  <c r="AQ203" i="2262"/>
  <c r="AO273" i="2262"/>
  <c r="BA273" i="2262"/>
  <c r="AZ273" i="2262"/>
  <c r="AY273" i="2262"/>
  <c r="AW273" i="2262"/>
  <c r="AX273" i="2262"/>
  <c r="AV273" i="2262"/>
  <c r="AS273" i="2262"/>
  <c r="AR273" i="2262"/>
  <c r="AP273" i="2262"/>
  <c r="AQ273" i="2262"/>
  <c r="AO258" i="2262"/>
  <c r="BA258" i="2262"/>
  <c r="AZ258" i="2262"/>
  <c r="AY258" i="2262"/>
  <c r="AX258" i="2262"/>
  <c r="AW258" i="2262"/>
  <c r="AS258" i="2262"/>
  <c r="AV258" i="2262"/>
  <c r="AQ258" i="2262"/>
  <c r="AR258" i="2262"/>
  <c r="AP258" i="2262"/>
  <c r="AO216" i="2262"/>
  <c r="BA216" i="2262"/>
  <c r="AZ216" i="2262"/>
  <c r="AY216" i="2262"/>
  <c r="AX216" i="2262"/>
  <c r="AW216" i="2262"/>
  <c r="AS216" i="2262"/>
  <c r="AV216" i="2262"/>
  <c r="AQ216" i="2262"/>
  <c r="AR216" i="2262"/>
  <c r="AP216" i="2262"/>
  <c r="AO277" i="2262"/>
  <c r="BA277" i="2262"/>
  <c r="AZ277" i="2262"/>
  <c r="AY277" i="2262"/>
  <c r="AW277" i="2262"/>
  <c r="AX277" i="2262"/>
  <c r="AV277" i="2262"/>
  <c r="AS277" i="2262"/>
  <c r="AR277" i="2262"/>
  <c r="AP277" i="2262"/>
  <c r="AQ277" i="2262"/>
  <c r="AO232" i="2262"/>
  <c r="BA232" i="2262"/>
  <c r="AZ232" i="2262"/>
  <c r="AY232" i="2262"/>
  <c r="AX232" i="2262"/>
  <c r="AW232" i="2262"/>
  <c r="AS232" i="2262"/>
  <c r="AV232" i="2262"/>
  <c r="AQ232" i="2262"/>
  <c r="AR232" i="2262"/>
  <c r="AP232" i="2262"/>
  <c r="AO246" i="2262"/>
  <c r="BA246" i="2262"/>
  <c r="AZ246" i="2262"/>
  <c r="AY246" i="2262"/>
  <c r="AX246" i="2262"/>
  <c r="AW246" i="2262"/>
  <c r="AS246" i="2262"/>
  <c r="AV246" i="2262"/>
  <c r="AQ246" i="2262"/>
  <c r="AR246" i="2262"/>
  <c r="AP246" i="2262"/>
  <c r="AO242" i="2262"/>
  <c r="BA242" i="2262"/>
  <c r="AZ242" i="2262"/>
  <c r="AY242" i="2262"/>
  <c r="AX242" i="2262"/>
  <c r="AW242" i="2262"/>
  <c r="AS242" i="2262"/>
  <c r="AV242" i="2262"/>
  <c r="AQ242" i="2262"/>
  <c r="AR242" i="2262"/>
  <c r="AP242" i="2262"/>
  <c r="AO288" i="2262"/>
  <c r="BA288" i="2262"/>
  <c r="AZ288" i="2262"/>
  <c r="AY288" i="2262"/>
  <c r="AX288" i="2262"/>
  <c r="AW288" i="2262"/>
  <c r="AS288" i="2262"/>
  <c r="AV288" i="2262"/>
  <c r="AQ288" i="2262"/>
  <c r="AR288" i="2262"/>
  <c r="AP288" i="2262"/>
  <c r="AO199" i="2262"/>
  <c r="BA199" i="2262"/>
  <c r="AZ199" i="2262"/>
  <c r="AY199" i="2262"/>
  <c r="AW199" i="2262"/>
  <c r="AX199" i="2262"/>
  <c r="AV199" i="2262"/>
  <c r="AS199" i="2262"/>
  <c r="AR199" i="2262"/>
  <c r="AP199" i="2262"/>
  <c r="AQ199" i="2262"/>
  <c r="AO268" i="2262"/>
  <c r="BA268" i="2262"/>
  <c r="AZ268" i="2262"/>
  <c r="AY268" i="2262"/>
  <c r="AX268" i="2262"/>
  <c r="AW268" i="2262"/>
  <c r="AS268" i="2262"/>
  <c r="AV268" i="2262"/>
  <c r="AQ268" i="2262"/>
  <c r="AR268" i="2262"/>
  <c r="AP268" i="2262"/>
  <c r="AO254" i="2262"/>
  <c r="BA254" i="2262"/>
  <c r="AZ254" i="2262"/>
  <c r="AY254" i="2262"/>
  <c r="AX254" i="2262"/>
  <c r="AW254" i="2262"/>
  <c r="AS254" i="2262"/>
  <c r="AV254" i="2262"/>
  <c r="AQ254" i="2262"/>
  <c r="AR254" i="2262"/>
  <c r="AP254" i="2262"/>
  <c r="AO205" i="2262"/>
  <c r="BA205" i="2262"/>
  <c r="AZ205" i="2262"/>
  <c r="AY205" i="2262"/>
  <c r="AW205" i="2262"/>
  <c r="AX205" i="2262"/>
  <c r="AV205" i="2262"/>
  <c r="AS205" i="2262"/>
  <c r="AR205" i="2262"/>
  <c r="AP205" i="2262"/>
  <c r="AQ205" i="2262"/>
  <c r="AO272" i="2262"/>
  <c r="BA272" i="2262"/>
  <c r="AZ272" i="2262"/>
  <c r="AY272" i="2262"/>
  <c r="AX272" i="2262"/>
  <c r="AW272" i="2262"/>
  <c r="AS272" i="2262"/>
  <c r="AV272" i="2262"/>
  <c r="AQ272" i="2262"/>
  <c r="AR272" i="2262"/>
  <c r="AP272" i="2262"/>
  <c r="AO231" i="2262"/>
  <c r="BA231" i="2262"/>
  <c r="AZ231" i="2262"/>
  <c r="AY231" i="2262"/>
  <c r="AW231" i="2262"/>
  <c r="AX231" i="2262"/>
  <c r="AV231" i="2262"/>
  <c r="AS231" i="2262"/>
  <c r="AR231" i="2262"/>
  <c r="AP231" i="2262"/>
  <c r="AQ231" i="2262"/>
  <c r="AO207" i="2262"/>
  <c r="BA207" i="2262"/>
  <c r="AZ207" i="2262"/>
  <c r="AY207" i="2262"/>
  <c r="AW207" i="2262"/>
  <c r="AX207" i="2262"/>
  <c r="AV207" i="2262"/>
  <c r="AS207" i="2262"/>
  <c r="AR207" i="2262"/>
  <c r="AP207" i="2262"/>
  <c r="AQ207" i="2262"/>
  <c r="AO300" i="2262"/>
  <c r="BA300" i="2262"/>
  <c r="AZ300" i="2262"/>
  <c r="AY300" i="2262"/>
  <c r="AX300" i="2262"/>
  <c r="AW300" i="2262"/>
  <c r="AS300" i="2262"/>
  <c r="AV300" i="2262"/>
  <c r="AQ300" i="2262"/>
  <c r="AR300" i="2262"/>
  <c r="AP300" i="2262"/>
  <c r="AO274" i="2262"/>
  <c r="BA274" i="2262"/>
  <c r="AZ274" i="2262"/>
  <c r="AY274" i="2262"/>
  <c r="AX274" i="2262"/>
  <c r="AW274" i="2262"/>
  <c r="AS274" i="2262"/>
  <c r="AV274" i="2262"/>
  <c r="AQ274" i="2262"/>
  <c r="AR274" i="2262"/>
  <c r="AP274" i="2262"/>
  <c r="AO237" i="2262"/>
  <c r="BA237" i="2262"/>
  <c r="AZ237" i="2262"/>
  <c r="AY237" i="2262"/>
  <c r="AW237" i="2262"/>
  <c r="AX237" i="2262"/>
  <c r="AV237" i="2262"/>
  <c r="AS237" i="2262"/>
  <c r="AR237" i="2262"/>
  <c r="AP237" i="2262"/>
  <c r="AQ237" i="2262"/>
  <c r="AO219" i="2262"/>
  <c r="BA219" i="2262"/>
  <c r="AZ219" i="2262"/>
  <c r="AY219" i="2262"/>
  <c r="AW219" i="2262"/>
  <c r="AX219" i="2262"/>
  <c r="AV219" i="2262"/>
  <c r="AS219" i="2262"/>
  <c r="AR219" i="2262"/>
  <c r="AP219" i="2262"/>
  <c r="AQ219" i="2262"/>
  <c r="AO291" i="2262"/>
  <c r="BA291" i="2262"/>
  <c r="AZ291" i="2262"/>
  <c r="AY291" i="2262"/>
  <c r="AW291" i="2262"/>
  <c r="AX291" i="2262"/>
  <c r="AV291" i="2262"/>
  <c r="AS291" i="2262"/>
  <c r="AR291" i="2262"/>
  <c r="AP291" i="2262"/>
  <c r="AQ291" i="2262"/>
  <c r="AO271" i="2262"/>
  <c r="BA271" i="2262"/>
  <c r="AZ271" i="2262"/>
  <c r="AY271" i="2262"/>
  <c r="AW271" i="2262"/>
  <c r="AX271" i="2262"/>
  <c r="AV271" i="2262"/>
  <c r="AS271" i="2262"/>
  <c r="AR271" i="2262"/>
  <c r="AP271" i="2262"/>
  <c r="AQ271" i="2262"/>
  <c r="AO221" i="2262"/>
  <c r="BA221" i="2262"/>
  <c r="AZ221" i="2262"/>
  <c r="AY221" i="2262"/>
  <c r="AW221" i="2262"/>
  <c r="AX221" i="2262"/>
  <c r="AV221" i="2262"/>
  <c r="AS221" i="2262"/>
  <c r="AR221" i="2262"/>
  <c r="AP221" i="2262"/>
  <c r="AQ221" i="2262"/>
  <c r="AO279" i="2262"/>
  <c r="BA279" i="2262"/>
  <c r="AZ279" i="2262"/>
  <c r="AY279" i="2262"/>
  <c r="AW279" i="2262"/>
  <c r="AX279" i="2262"/>
  <c r="AV279" i="2262"/>
  <c r="AS279" i="2262"/>
  <c r="AR279" i="2262"/>
  <c r="AP279" i="2262"/>
  <c r="AQ279" i="2262"/>
  <c r="AO234" i="2262"/>
  <c r="BA234" i="2262"/>
  <c r="AZ234" i="2262"/>
  <c r="AY234" i="2262"/>
  <c r="AX234" i="2262"/>
  <c r="AW234" i="2262"/>
  <c r="AS234" i="2262"/>
  <c r="AV234" i="2262"/>
  <c r="AQ234" i="2262"/>
  <c r="AR234" i="2262"/>
  <c r="AP234" i="2262"/>
  <c r="AO269" i="2262"/>
  <c r="BA269" i="2262"/>
  <c r="AZ269" i="2262"/>
  <c r="AY269" i="2262"/>
  <c r="AW269" i="2262"/>
  <c r="AX269" i="2262"/>
  <c r="AV269" i="2262"/>
  <c r="AS269" i="2262"/>
  <c r="AR269" i="2262"/>
  <c r="AP269" i="2262"/>
  <c r="AQ269" i="2262"/>
  <c r="AO197" i="2262"/>
  <c r="BA197" i="2262"/>
  <c r="AZ197" i="2262"/>
  <c r="AY197" i="2262"/>
  <c r="AW197" i="2262"/>
  <c r="AX197" i="2262"/>
  <c r="AV197" i="2262"/>
  <c r="AS197" i="2262"/>
  <c r="AR197" i="2262"/>
  <c r="AP197" i="2262"/>
  <c r="AQ197" i="2262"/>
  <c r="AO208" i="2262"/>
  <c r="BA208" i="2262"/>
  <c r="AZ208" i="2262"/>
  <c r="AY208" i="2262"/>
  <c r="AX208" i="2262"/>
  <c r="AW208" i="2262"/>
  <c r="AS208" i="2262"/>
  <c r="AV208" i="2262"/>
  <c r="AQ208" i="2262"/>
  <c r="AR208" i="2262"/>
  <c r="AP208" i="2262"/>
  <c r="AO256" i="2262"/>
  <c r="BA256" i="2262"/>
  <c r="AZ256" i="2262"/>
  <c r="AY256" i="2262"/>
  <c r="AX256" i="2262"/>
  <c r="AW256" i="2262"/>
  <c r="AS256" i="2262"/>
  <c r="AV256" i="2262"/>
  <c r="AQ256" i="2262"/>
  <c r="AR256" i="2262"/>
  <c r="AP256" i="2262"/>
  <c r="AO285" i="2262"/>
  <c r="BA285" i="2262"/>
  <c r="AZ285" i="2262"/>
  <c r="AY285" i="2262"/>
  <c r="AW285" i="2262"/>
  <c r="AX285" i="2262"/>
  <c r="AV285" i="2262"/>
  <c r="AS285" i="2262"/>
  <c r="AR285" i="2262"/>
  <c r="AP285" i="2262"/>
  <c r="AQ285" i="2262"/>
  <c r="AO223" i="2262"/>
  <c r="BA223" i="2262"/>
  <c r="AZ223" i="2262"/>
  <c r="AY223" i="2262"/>
  <c r="AW223" i="2262"/>
  <c r="AX223" i="2262"/>
  <c r="AV223" i="2262"/>
  <c r="AS223" i="2262"/>
  <c r="AR223" i="2262"/>
  <c r="AP223" i="2262"/>
  <c r="AQ223" i="2262"/>
  <c r="AO281" i="2262"/>
  <c r="BA281" i="2262"/>
  <c r="AZ281" i="2262"/>
  <c r="AY281" i="2262"/>
  <c r="AW281" i="2262"/>
  <c r="AX281" i="2262"/>
  <c r="AV281" i="2262"/>
  <c r="AS281" i="2262"/>
  <c r="AR281" i="2262"/>
  <c r="AP281" i="2262"/>
  <c r="AQ281" i="2262"/>
  <c r="AO243" i="2262"/>
  <c r="BA243" i="2262"/>
  <c r="AZ243" i="2262"/>
  <c r="AY243" i="2262"/>
  <c r="AW243" i="2262"/>
  <c r="AX243" i="2262"/>
  <c r="AV243" i="2262"/>
  <c r="AS243" i="2262"/>
  <c r="AR243" i="2262"/>
  <c r="AP243" i="2262"/>
  <c r="AQ243" i="2262"/>
  <c r="AO220" i="2262"/>
  <c r="BA220" i="2262"/>
  <c r="AZ220" i="2262"/>
  <c r="AY220" i="2262"/>
  <c r="AX220" i="2262"/>
  <c r="AW220" i="2262"/>
  <c r="AS220" i="2262"/>
  <c r="AV220" i="2262"/>
  <c r="AQ220" i="2262"/>
  <c r="AR220" i="2262"/>
  <c r="AP220" i="2262"/>
  <c r="AO298" i="2262"/>
  <c r="BA298" i="2262"/>
  <c r="AZ298" i="2262"/>
  <c r="AY298" i="2262"/>
  <c r="AX298" i="2262"/>
  <c r="AW298" i="2262"/>
  <c r="AS298" i="2262"/>
  <c r="AV298" i="2262"/>
  <c r="AQ298" i="2262"/>
  <c r="AR298" i="2262"/>
  <c r="AP298" i="2262"/>
  <c r="AO213" i="2262"/>
  <c r="BA213" i="2262"/>
  <c r="AZ213" i="2262"/>
  <c r="AY213" i="2262"/>
  <c r="AW213" i="2262"/>
  <c r="AX213" i="2262"/>
  <c r="AV213" i="2262"/>
  <c r="AS213" i="2262"/>
  <c r="AR213" i="2262"/>
  <c r="AP213" i="2262"/>
  <c r="AQ213" i="2262"/>
  <c r="AO236" i="2262"/>
  <c r="BA236" i="2262"/>
  <c r="AZ236" i="2262"/>
  <c r="AY236" i="2262"/>
  <c r="AX236" i="2262"/>
  <c r="AW236" i="2262"/>
  <c r="AS236" i="2262"/>
  <c r="AV236" i="2262"/>
  <c r="AQ236" i="2262"/>
  <c r="AR236" i="2262"/>
  <c r="AP236" i="2262"/>
  <c r="AO209" i="2262"/>
  <c r="BA209" i="2262"/>
  <c r="AZ209" i="2262"/>
  <c r="AY209" i="2262"/>
  <c r="AW209" i="2262"/>
  <c r="AX209" i="2262"/>
  <c r="AV209" i="2262"/>
  <c r="AS209" i="2262"/>
  <c r="AR209" i="2262"/>
  <c r="AP209" i="2262"/>
  <c r="AQ209" i="2262"/>
  <c r="AO276" i="2262"/>
  <c r="BA276" i="2262"/>
  <c r="AZ276" i="2262"/>
  <c r="AY276" i="2262"/>
  <c r="AX276" i="2262"/>
  <c r="AW276" i="2262"/>
  <c r="AS276" i="2262"/>
  <c r="AV276" i="2262"/>
  <c r="AQ276" i="2262"/>
  <c r="AR276" i="2262"/>
  <c r="AP276" i="2262"/>
  <c r="AO222" i="2262"/>
  <c r="BA222" i="2262"/>
  <c r="AZ222" i="2262"/>
  <c r="AY222" i="2262"/>
  <c r="AX222" i="2262"/>
  <c r="AW222" i="2262"/>
  <c r="AS222" i="2262"/>
  <c r="AV222" i="2262"/>
  <c r="AQ222" i="2262"/>
  <c r="AR222" i="2262"/>
  <c r="AP222" i="2262"/>
  <c r="AO280" i="2262"/>
  <c r="BA280" i="2262"/>
  <c r="AZ280" i="2262"/>
  <c r="AY280" i="2262"/>
  <c r="AX280" i="2262"/>
  <c r="AW280" i="2262"/>
  <c r="AS280" i="2262"/>
  <c r="AV280" i="2262"/>
  <c r="AQ280" i="2262"/>
  <c r="AR280" i="2262"/>
  <c r="AP280" i="2262"/>
  <c r="AO235" i="2262"/>
  <c r="BA235" i="2262"/>
  <c r="AZ235" i="2262"/>
  <c r="AY235" i="2262"/>
  <c r="AW235" i="2262"/>
  <c r="AX235" i="2262"/>
  <c r="AV235" i="2262"/>
  <c r="AS235" i="2262"/>
  <c r="AR235" i="2262"/>
  <c r="AP235" i="2262"/>
  <c r="AQ235" i="2262"/>
  <c r="S324" i="2262"/>
  <c r="S327" i="2262"/>
  <c r="S302" i="2262"/>
  <c r="S322" i="2262"/>
  <c r="S325" i="2262"/>
  <c r="S323" i="2262"/>
  <c r="S326" i="2262"/>
  <c r="S130" i="2262"/>
  <c r="N130" i="2262" s="1"/>
  <c r="S159" i="2262"/>
  <c r="N159" i="2262" s="1"/>
  <c r="S162" i="2262"/>
  <c r="N162" i="2262" s="1"/>
  <c r="S84" i="2262"/>
  <c r="N84" i="2262" s="1"/>
  <c r="S85" i="2262"/>
  <c r="N85" i="2262" s="1"/>
  <c r="S124" i="2262"/>
  <c r="N124" i="2262" s="1"/>
  <c r="S126" i="2262"/>
  <c r="N126" i="2262" s="1"/>
  <c r="S128" i="2262"/>
  <c r="N128" i="2262" s="1"/>
  <c r="S133" i="2262"/>
  <c r="N133" i="2262" s="1"/>
  <c r="S153" i="2262"/>
  <c r="N153" i="2262" s="1"/>
  <c r="S163" i="2262"/>
  <c r="N163" i="2262" s="1"/>
  <c r="S129" i="2262"/>
  <c r="N129" i="2262" s="1"/>
  <c r="S134" i="2262"/>
  <c r="N134" i="2262" s="1"/>
  <c r="S154" i="2262"/>
  <c r="N154" i="2262" s="1"/>
  <c r="S164" i="2262"/>
  <c r="N164" i="2262" s="1"/>
  <c r="S125" i="2262"/>
  <c r="N125" i="2262" s="1"/>
  <c r="S47" i="2262"/>
  <c r="N47" i="2262" s="1"/>
  <c r="S49" i="2262"/>
  <c r="N49" i="2262" s="1"/>
  <c r="S63" i="2262"/>
  <c r="N63" i="2262" s="1"/>
  <c r="S65" i="2262"/>
  <c r="N65" i="2262" s="1"/>
  <c r="S42" i="2262"/>
  <c r="N42" i="2262" s="1"/>
  <c r="S50" i="2262"/>
  <c r="N50" i="2262" s="1"/>
  <c r="S58" i="2262"/>
  <c r="N58" i="2262" s="1"/>
  <c r="S68" i="2262"/>
  <c r="N68" i="2262" s="1"/>
  <c r="S70" i="2262"/>
  <c r="N70" i="2262" s="1"/>
  <c r="S72" i="2262"/>
  <c r="N72" i="2262" s="1"/>
  <c r="S75" i="2262"/>
  <c r="N75" i="2262" s="1"/>
  <c r="S77" i="2262"/>
  <c r="N77" i="2262" s="1"/>
  <c r="S79" i="2262"/>
  <c r="N79" i="2262" s="1"/>
  <c r="S43" i="2262"/>
  <c r="N43" i="2262" s="1"/>
  <c r="S56" i="2262"/>
  <c r="N56" i="2262" s="1"/>
  <c r="S59" i="2262"/>
  <c r="N59" i="2262" s="1"/>
  <c r="S61" i="2262"/>
  <c r="N61" i="2262" s="1"/>
  <c r="N62" i="2262"/>
  <c r="S64" i="2262"/>
  <c r="N64" i="2262" s="1"/>
  <c r="S74" i="2262"/>
  <c r="N74" i="2262" s="1"/>
  <c r="S67" i="2262"/>
  <c r="N67" i="2262" s="1"/>
  <c r="S76" i="2262"/>
  <c r="N76" i="2262" s="1"/>
  <c r="S89" i="2262"/>
  <c r="N89" i="2262" s="1"/>
  <c r="S91" i="2262"/>
  <c r="N91" i="2262" s="1"/>
  <c r="S95" i="2262"/>
  <c r="N95" i="2262" s="1"/>
  <c r="S97" i="2262"/>
  <c r="N97" i="2262" s="1"/>
  <c r="S99" i="2262"/>
  <c r="N99" i="2262" s="1"/>
  <c r="S101" i="2262"/>
  <c r="N101" i="2262" s="1"/>
  <c r="S127" i="2262"/>
  <c r="N127" i="2262" s="1"/>
  <c r="S135" i="2262"/>
  <c r="N135" i="2262" s="1"/>
  <c r="S141" i="2262"/>
  <c r="N141" i="2262" s="1"/>
  <c r="S147" i="2262"/>
  <c r="N147" i="2262" s="1"/>
  <c r="S149" i="2262"/>
  <c r="N149" i="2262" s="1"/>
  <c r="S151" i="2262"/>
  <c r="N151" i="2262" s="1"/>
  <c r="S157" i="2262"/>
  <c r="N157" i="2262" s="1"/>
  <c r="S48" i="2262"/>
  <c r="N48" i="2262" s="1"/>
  <c r="S55" i="2262"/>
  <c r="N55" i="2262" s="1"/>
  <c r="S66" i="2262"/>
  <c r="N66" i="2262" s="1"/>
  <c r="S83" i="2262"/>
  <c r="N83" i="2262" s="1"/>
  <c r="S86" i="2262"/>
  <c r="N86" i="2262" s="1"/>
  <c r="S88" i="2262"/>
  <c r="N88" i="2262" s="1"/>
  <c r="S93" i="2262"/>
  <c r="N93" i="2262" s="1"/>
  <c r="S98" i="2262"/>
  <c r="N98" i="2262" s="1"/>
  <c r="S119" i="2262"/>
  <c r="N119" i="2262" s="1"/>
  <c r="S131" i="2262"/>
  <c r="N131" i="2262" s="1"/>
  <c r="S138" i="2262"/>
  <c r="N138" i="2262" s="1"/>
  <c r="S140" i="2262"/>
  <c r="N140" i="2262" s="1"/>
  <c r="S144" i="2262"/>
  <c r="N144" i="2262" s="1"/>
  <c r="S54" i="2262"/>
  <c r="N54" i="2262" s="1"/>
  <c r="S94" i="2262"/>
  <c r="N94" i="2262" s="1"/>
  <c r="S100" i="2262"/>
  <c r="N100" i="2262" s="1"/>
  <c r="S121" i="2262"/>
  <c r="N121" i="2262" s="1"/>
  <c r="S137" i="2262"/>
  <c r="N137" i="2262" s="1"/>
  <c r="S78" i="2262"/>
  <c r="N78" i="2262" s="1"/>
  <c r="S82" i="2262"/>
  <c r="N82" i="2262" s="1"/>
  <c r="S120" i="2262"/>
  <c r="N120" i="2262" s="1"/>
  <c r="S136" i="2262"/>
  <c r="N136" i="2262" s="1"/>
  <c r="S142" i="2262"/>
  <c r="S143" i="2262"/>
  <c r="N143" i="2262" s="1"/>
  <c r="S148" i="2262"/>
  <c r="N148" i="2262" s="1"/>
  <c r="S156" i="2262"/>
  <c r="N156" i="2262" s="1"/>
  <c r="S57" i="2262"/>
  <c r="N57" i="2262" s="1"/>
  <c r="S80" i="2262"/>
  <c r="N80" i="2262" s="1"/>
  <c r="S87" i="2262"/>
  <c r="N87" i="2262" s="1"/>
  <c r="S96" i="2262"/>
  <c r="N96" i="2262" s="1"/>
  <c r="S118" i="2262"/>
  <c r="N118" i="2262" s="1"/>
  <c r="S192" i="2262"/>
  <c r="N192" i="2262" s="1"/>
  <c r="S158" i="2262"/>
  <c r="N158" i="2262" s="1"/>
  <c r="S90" i="2262"/>
  <c r="N90" i="2262" s="1"/>
  <c r="S102" i="2262"/>
  <c r="N102" i="2262" s="1"/>
  <c r="S139" i="2262"/>
  <c r="N139" i="2262" s="1"/>
  <c r="S146" i="2262"/>
  <c r="N146" i="2262" s="1"/>
  <c r="S150" i="2262"/>
  <c r="N150" i="2262" s="1"/>
  <c r="S81" i="2262"/>
  <c r="N81" i="2262" s="1"/>
  <c r="S92" i="2262"/>
  <c r="N92" i="2262" s="1"/>
  <c r="S145" i="2262"/>
  <c r="N145" i="2262" s="1"/>
  <c r="S152" i="2262"/>
  <c r="N152" i="2262" s="1"/>
  <c r="S132" i="2262"/>
  <c r="N132" i="2262" s="1"/>
  <c r="S10" i="2262"/>
  <c r="N10" i="2262" s="1"/>
  <c r="S15" i="2262"/>
  <c r="N15" i="2262" s="1"/>
  <c r="S16" i="2262"/>
  <c r="N16" i="2262" s="1"/>
  <c r="S19" i="2262"/>
  <c r="N19" i="2262" s="1"/>
  <c r="S20" i="2262"/>
  <c r="N20" i="2262" s="1"/>
  <c r="S24" i="2262"/>
  <c r="N24" i="2262" s="1"/>
  <c r="S34" i="2262"/>
  <c r="S39" i="2262"/>
  <c r="N39" i="2262" s="1"/>
  <c r="S60" i="2262"/>
  <c r="N60" i="2262" s="1"/>
  <c r="S17" i="2262"/>
  <c r="N17" i="2262" s="1"/>
  <c r="S21" i="2262"/>
  <c r="N21" i="2262" s="1"/>
  <c r="S25" i="2262"/>
  <c r="N25" i="2262" s="1"/>
  <c r="S28" i="2262"/>
  <c r="N28" i="2262" s="1"/>
  <c r="S30" i="2262"/>
  <c r="N30" i="2262" s="1"/>
  <c r="S37" i="2262"/>
  <c r="N37" i="2262" s="1"/>
  <c r="S38" i="2262"/>
  <c r="N38" i="2262" s="1"/>
  <c r="S53" i="2262"/>
  <c r="N53" i="2262" s="1"/>
  <c r="S13" i="2262"/>
  <c r="N13" i="2262" s="1"/>
  <c r="S14" i="2262"/>
  <c r="N14" i="2262" s="1"/>
  <c r="S18" i="2262"/>
  <c r="N18" i="2262" s="1"/>
  <c r="S23" i="2262"/>
  <c r="N23" i="2262" s="1"/>
  <c r="S26" i="2262"/>
  <c r="N26" i="2262" s="1"/>
  <c r="S27" i="2262"/>
  <c r="N27" i="2262" s="1"/>
  <c r="S31" i="2262"/>
  <c r="N31" i="2262" s="1"/>
  <c r="S35" i="2262"/>
  <c r="N35" i="2262" s="1"/>
  <c r="S40" i="2262"/>
  <c r="N40" i="2262" s="1"/>
  <c r="S41" i="2262"/>
  <c r="N41" i="2262" s="1"/>
  <c r="S51" i="2262"/>
  <c r="N51" i="2262" s="1"/>
  <c r="S71" i="2262"/>
  <c r="N71" i="2262" s="1"/>
  <c r="S9" i="2262"/>
  <c r="N9" i="2262" s="1"/>
  <c r="S29" i="2262"/>
  <c r="N29" i="2262" s="1"/>
  <c r="S73" i="2262"/>
  <c r="N73" i="2262" s="1"/>
  <c r="S169" i="2262"/>
  <c r="N169" i="2262" s="1"/>
  <c r="S8" i="2262"/>
  <c r="N8" i="2262" s="1"/>
  <c r="S22" i="2262"/>
  <c r="N22" i="2262" s="1"/>
  <c r="S33" i="2262"/>
  <c r="N33" i="2262" s="1"/>
  <c r="S36" i="2262"/>
  <c r="N36" i="2262" s="1"/>
  <c r="S122" i="2262"/>
  <c r="N122" i="2262" s="1"/>
  <c r="S155" i="2262"/>
  <c r="N155" i="2262" s="1"/>
  <c r="S165" i="2262"/>
  <c r="N165" i="2262" s="1"/>
  <c r="S166" i="2262"/>
  <c r="N166" i="2262" s="1"/>
  <c r="S170" i="2262"/>
  <c r="N170" i="2262" s="1"/>
  <c r="S174" i="2262"/>
  <c r="N174" i="2262" s="1"/>
  <c r="S176" i="2262"/>
  <c r="N176" i="2262" s="1"/>
  <c r="S181" i="2262"/>
  <c r="N181" i="2262" s="1"/>
  <c r="S123" i="2262"/>
  <c r="N123" i="2262" s="1"/>
  <c r="S171" i="2262"/>
  <c r="N171" i="2262" s="1"/>
  <c r="S180" i="2262"/>
  <c r="N180" i="2262" s="1"/>
  <c r="S184" i="2262"/>
  <c r="N184" i="2262" s="1"/>
  <c r="S189" i="2262"/>
  <c r="N189" i="2262" s="1"/>
  <c r="S191" i="2262"/>
  <c r="N191" i="2262" s="1"/>
  <c r="S172" i="2262"/>
  <c r="N172" i="2262" s="1"/>
  <c r="S173" i="2262"/>
  <c r="N173" i="2262" s="1"/>
  <c r="S177" i="2262"/>
  <c r="N177" i="2262" s="1"/>
  <c r="S178" i="2262"/>
  <c r="N178" i="2262" s="1"/>
  <c r="S183" i="2262"/>
  <c r="N183" i="2262" s="1"/>
  <c r="S186" i="2262"/>
  <c r="N186" i="2262" s="1"/>
  <c r="S52" i="2262"/>
  <c r="N52" i="2262" s="1"/>
  <c r="S168" i="2262"/>
  <c r="N168" i="2262" s="1"/>
  <c r="S185" i="2262"/>
  <c r="N185" i="2262" s="1"/>
  <c r="S160" i="2262"/>
  <c r="N160" i="2262" s="1"/>
  <c r="S167" i="2262"/>
  <c r="N167" i="2262" s="1"/>
  <c r="S187" i="2262"/>
  <c r="N187" i="2262" s="1"/>
  <c r="S188" i="2262"/>
  <c r="N188" i="2262" s="1"/>
  <c r="S12" i="2262"/>
  <c r="N12" i="2262" s="1"/>
  <c r="S32" i="2262"/>
  <c r="N32" i="2262" s="1"/>
  <c r="S69" i="2262"/>
  <c r="N69" i="2262" s="1"/>
  <c r="S175" i="2262"/>
  <c r="N175" i="2262" s="1"/>
  <c r="S179" i="2262"/>
  <c r="N179" i="2262" s="1"/>
  <c r="S190" i="2262"/>
  <c r="N190" i="2262" s="1"/>
  <c r="S7" i="2262"/>
  <c r="N7" i="2262" s="1"/>
  <c r="S182" i="2262"/>
  <c r="N182" i="2262" s="1"/>
  <c r="S11" i="2262"/>
  <c r="N11" i="2262" s="1"/>
  <c r="N34" i="2262" l="1"/>
  <c r="AB34" i="2262"/>
  <c r="N142" i="2262"/>
  <c r="AB142" i="2262"/>
  <c r="AB7" i="2262"/>
  <c r="O7" i="2262"/>
  <c r="AB187" i="2262"/>
  <c r="O187" i="2262"/>
  <c r="O178" i="2262"/>
  <c r="AB178" i="2262"/>
  <c r="AB171" i="2262"/>
  <c r="O171" i="2262"/>
  <c r="Z171" i="2262"/>
  <c r="O155" i="2262"/>
  <c r="AB155" i="2262"/>
  <c r="O29" i="2262"/>
  <c r="AB29" i="2262"/>
  <c r="AB27" i="2262"/>
  <c r="O27" i="2262"/>
  <c r="O37" i="2262"/>
  <c r="AB37" i="2262"/>
  <c r="O34" i="2262"/>
  <c r="AB16" i="2262"/>
  <c r="O16" i="2262"/>
  <c r="AB150" i="2262"/>
  <c r="O150" i="2262"/>
  <c r="AB96" i="2262"/>
  <c r="O96" i="2262"/>
  <c r="AB136" i="2262"/>
  <c r="O136" i="2262"/>
  <c r="S46" i="2262"/>
  <c r="N46" i="2262" s="1"/>
  <c r="O54" i="2262"/>
  <c r="AB54" i="2262"/>
  <c r="O88" i="2262"/>
  <c r="AB88" i="2262"/>
  <c r="AB149" i="2262"/>
  <c r="O149" i="2262"/>
  <c r="O95" i="2262"/>
  <c r="AB95" i="2262"/>
  <c r="O61" i="2262"/>
  <c r="AB61" i="2262"/>
  <c r="O79" i="2262"/>
  <c r="AB79" i="2262"/>
  <c r="AB42" i="2262"/>
  <c r="O42" i="2262"/>
  <c r="O47" i="2262"/>
  <c r="AB47" i="2262"/>
  <c r="AB134" i="2262"/>
  <c r="O134" i="2262"/>
  <c r="O133" i="2262"/>
  <c r="AB133" i="2262"/>
  <c r="O85" i="2262"/>
  <c r="AB85" i="2262"/>
  <c r="AB130" i="2262"/>
  <c r="O130" i="2262"/>
  <c r="AB32" i="2262"/>
  <c r="O32" i="2262"/>
  <c r="O52" i="2262"/>
  <c r="AB52" i="2262"/>
  <c r="O177" i="2262"/>
  <c r="AB177" i="2262"/>
  <c r="O123" i="2262"/>
  <c r="AB123" i="2262"/>
  <c r="Z170" i="2262"/>
  <c r="AB170" i="2262"/>
  <c r="O170" i="2262"/>
  <c r="AB122" i="2262"/>
  <c r="O122" i="2262"/>
  <c r="AB8" i="2262"/>
  <c r="O8" i="2262"/>
  <c r="AB9" i="2262"/>
  <c r="O9" i="2262"/>
  <c r="O40" i="2262"/>
  <c r="AB40" i="2262"/>
  <c r="O26" i="2262"/>
  <c r="AB26" i="2262"/>
  <c r="AB13" i="2262"/>
  <c r="O13" i="2262"/>
  <c r="O30" i="2262"/>
  <c r="AB30" i="2262"/>
  <c r="O17" i="2262"/>
  <c r="AB17" i="2262"/>
  <c r="O24" i="2262"/>
  <c r="AB24" i="2262"/>
  <c r="AB15" i="2262"/>
  <c r="O15" i="2262"/>
  <c r="AB145" i="2262"/>
  <c r="O145" i="2262"/>
  <c r="AB146" i="2262"/>
  <c r="O146" i="2262"/>
  <c r="O158" i="2262"/>
  <c r="AB158" i="2262"/>
  <c r="S45" i="2262"/>
  <c r="N45" i="2262" s="1"/>
  <c r="AB87" i="2262"/>
  <c r="O87" i="2262"/>
  <c r="O148" i="2262"/>
  <c r="AB148" i="2262"/>
  <c r="O120" i="2262"/>
  <c r="AB120" i="2262"/>
  <c r="AB121" i="2262"/>
  <c r="O121" i="2262"/>
  <c r="AB144" i="2262"/>
  <c r="O144" i="2262"/>
  <c r="AB119" i="2262"/>
  <c r="O119" i="2262"/>
  <c r="AB86" i="2262"/>
  <c r="O86" i="2262"/>
  <c r="AB48" i="2262"/>
  <c r="O48" i="2262"/>
  <c r="AB147" i="2262"/>
  <c r="O147" i="2262"/>
  <c r="AB101" i="2262"/>
  <c r="O101" i="2262"/>
  <c r="O91" i="2262"/>
  <c r="AB91" i="2262"/>
  <c r="O74" i="2262"/>
  <c r="AB74" i="2262"/>
  <c r="AB59" i="2262"/>
  <c r="O59" i="2262"/>
  <c r="O77" i="2262"/>
  <c r="AB77" i="2262"/>
  <c r="O68" i="2262"/>
  <c r="AB68" i="2262"/>
  <c r="AB65" i="2262"/>
  <c r="O65" i="2262"/>
  <c r="O125" i="2262"/>
  <c r="AB125" i="2262"/>
  <c r="AB129" i="2262"/>
  <c r="O129" i="2262"/>
  <c r="O128" i="2262"/>
  <c r="AB128" i="2262"/>
  <c r="O84" i="2262"/>
  <c r="AB84" i="2262"/>
  <c r="O326" i="2262"/>
  <c r="AB326" i="2262"/>
  <c r="O302" i="2262"/>
  <c r="AB302" i="2262"/>
  <c r="AB11" i="2262"/>
  <c r="O11" i="2262"/>
  <c r="AB179" i="2262"/>
  <c r="O179" i="2262"/>
  <c r="AB12" i="2262"/>
  <c r="O12" i="2262"/>
  <c r="Z160" i="2262"/>
  <c r="AB160" i="2262"/>
  <c r="O160" i="2262"/>
  <c r="AB186" i="2262"/>
  <c r="O186" i="2262"/>
  <c r="O173" i="2262"/>
  <c r="AB173" i="2262"/>
  <c r="Z173" i="2262"/>
  <c r="AB184" i="2262"/>
  <c r="O184" i="2262"/>
  <c r="O181" i="2262"/>
  <c r="AB181" i="2262"/>
  <c r="AB166" i="2262"/>
  <c r="Z166" i="2262"/>
  <c r="O166" i="2262"/>
  <c r="O36" i="2262"/>
  <c r="Z36" i="2262"/>
  <c r="AB36" i="2262"/>
  <c r="O169" i="2262"/>
  <c r="Z169" i="2262"/>
  <c r="AB169" i="2262"/>
  <c r="AB71" i="2262"/>
  <c r="O71" i="2262"/>
  <c r="AB35" i="2262"/>
  <c r="O35" i="2262"/>
  <c r="AB23" i="2262"/>
  <c r="O23" i="2262"/>
  <c r="AB53" i="2262"/>
  <c r="O53" i="2262"/>
  <c r="AB28" i="2262"/>
  <c r="O28" i="2262"/>
  <c r="AB60" i="2262"/>
  <c r="O60" i="2262"/>
  <c r="AB20" i="2262"/>
  <c r="O20" i="2262"/>
  <c r="AB10" i="2262"/>
  <c r="O10" i="2262"/>
  <c r="O92" i="2262"/>
  <c r="AB92" i="2262"/>
  <c r="AB139" i="2262"/>
  <c r="O139" i="2262"/>
  <c r="AB192" i="2262"/>
  <c r="O192" i="2262"/>
  <c r="AB80" i="2262"/>
  <c r="O80" i="2262"/>
  <c r="AB143" i="2262"/>
  <c r="O143" i="2262"/>
  <c r="AB82" i="2262"/>
  <c r="O82" i="2262"/>
  <c r="AB100" i="2262"/>
  <c r="O100" i="2262"/>
  <c r="O140" i="2262"/>
  <c r="AB140" i="2262"/>
  <c r="AB98" i="2262"/>
  <c r="O98" i="2262"/>
  <c r="O83" i="2262"/>
  <c r="AB83" i="2262"/>
  <c r="AB157" i="2262"/>
  <c r="O157" i="2262"/>
  <c r="O141" i="2262"/>
  <c r="AB141" i="2262"/>
  <c r="AB99" i="2262"/>
  <c r="O99" i="2262"/>
  <c r="O89" i="2262"/>
  <c r="AB89" i="2262"/>
  <c r="AB64" i="2262"/>
  <c r="O64" i="2262"/>
  <c r="AB56" i="2262"/>
  <c r="O56" i="2262"/>
  <c r="O75" i="2262"/>
  <c r="AB75" i="2262"/>
  <c r="AB58" i="2262"/>
  <c r="O58" i="2262"/>
  <c r="AB63" i="2262"/>
  <c r="O63" i="2262"/>
  <c r="O164" i="2262"/>
  <c r="AB164" i="2262"/>
  <c r="O163" i="2262"/>
  <c r="AB163" i="2262"/>
  <c r="O126" i="2262"/>
  <c r="AB126" i="2262"/>
  <c r="O162" i="2262"/>
  <c r="AB162" i="2262"/>
  <c r="AB323" i="2262"/>
  <c r="O323" i="2262"/>
  <c r="O327" i="2262"/>
  <c r="AB327" i="2262"/>
  <c r="AB69" i="2262"/>
  <c r="O69" i="2262"/>
  <c r="O168" i="2262"/>
  <c r="AB168" i="2262"/>
  <c r="Z168" i="2262"/>
  <c r="O191" i="2262"/>
  <c r="AB191" i="2262"/>
  <c r="O174" i="2262"/>
  <c r="Z174" i="2262"/>
  <c r="AB174" i="2262"/>
  <c r="AB22" i="2262"/>
  <c r="O22" i="2262"/>
  <c r="AB41" i="2262"/>
  <c r="O41" i="2262"/>
  <c r="AB14" i="2262"/>
  <c r="O14" i="2262"/>
  <c r="AB21" i="2262"/>
  <c r="O21" i="2262"/>
  <c r="O152" i="2262"/>
  <c r="AB152" i="2262"/>
  <c r="AB90" i="2262"/>
  <c r="O90" i="2262"/>
  <c r="AB156" i="2262"/>
  <c r="O156" i="2262"/>
  <c r="O137" i="2262"/>
  <c r="AB137" i="2262"/>
  <c r="O131" i="2262"/>
  <c r="AB131" i="2262"/>
  <c r="AB55" i="2262"/>
  <c r="O55" i="2262"/>
  <c r="AB127" i="2262"/>
  <c r="O127" i="2262"/>
  <c r="AB67" i="2262"/>
  <c r="O67" i="2262"/>
  <c r="AB70" i="2262"/>
  <c r="O70" i="2262"/>
  <c r="O322" i="2262"/>
  <c r="AB322" i="2262"/>
  <c r="O190" i="2262"/>
  <c r="AB190" i="2262"/>
  <c r="Z167" i="2262"/>
  <c r="O167" i="2262"/>
  <c r="AB167" i="2262"/>
  <c r="AB189" i="2262"/>
  <c r="O189" i="2262"/>
  <c r="O182" i="2262"/>
  <c r="AB182" i="2262"/>
  <c r="O175" i="2262"/>
  <c r="AB175" i="2262"/>
  <c r="AB188" i="2262"/>
  <c r="O188" i="2262"/>
  <c r="AB185" i="2262"/>
  <c r="O185" i="2262"/>
  <c r="O183" i="2262"/>
  <c r="AB183" i="2262"/>
  <c r="O172" i="2262"/>
  <c r="AB172" i="2262"/>
  <c r="Z172" i="2262"/>
  <c r="AB180" i="2262"/>
  <c r="O180" i="2262"/>
  <c r="O176" i="2262"/>
  <c r="AB176" i="2262"/>
  <c r="Z165" i="2262"/>
  <c r="O165" i="2262"/>
  <c r="AB165" i="2262"/>
  <c r="AB33" i="2262"/>
  <c r="O33" i="2262"/>
  <c r="AB73" i="2262"/>
  <c r="O73" i="2262"/>
  <c r="AB51" i="2262"/>
  <c r="O51" i="2262"/>
  <c r="AB31" i="2262"/>
  <c r="O31" i="2262"/>
  <c r="Z31" i="2262"/>
  <c r="O18" i="2262"/>
  <c r="AB18" i="2262"/>
  <c r="S44" i="2262"/>
  <c r="N44" i="2262" s="1"/>
  <c r="AB38" i="2262"/>
  <c r="O38" i="2262"/>
  <c r="AB25" i="2262"/>
  <c r="O25" i="2262"/>
  <c r="O39" i="2262"/>
  <c r="AB39" i="2262"/>
  <c r="AB19" i="2262"/>
  <c r="O19" i="2262"/>
  <c r="O132" i="2262"/>
  <c r="AB132" i="2262"/>
  <c r="AB81" i="2262"/>
  <c r="O81" i="2262"/>
  <c r="AB102" i="2262"/>
  <c r="O102" i="2262"/>
  <c r="AB118" i="2262"/>
  <c r="O118" i="2262"/>
  <c r="AB57" i="2262"/>
  <c r="O57" i="2262"/>
  <c r="O142" i="2262"/>
  <c r="O78" i="2262"/>
  <c r="AB78" i="2262"/>
  <c r="O94" i="2262"/>
  <c r="AB94" i="2262"/>
  <c r="AB138" i="2262"/>
  <c r="O138" i="2262"/>
  <c r="AB93" i="2262"/>
  <c r="O93" i="2262"/>
  <c r="AB66" i="2262"/>
  <c r="O66" i="2262"/>
  <c r="AB151" i="2262"/>
  <c r="O151" i="2262"/>
  <c r="O135" i="2262"/>
  <c r="AB135" i="2262"/>
  <c r="O97" i="2262"/>
  <c r="AB97" i="2262"/>
  <c r="AB76" i="2262"/>
  <c r="O76" i="2262"/>
  <c r="O62" i="2262"/>
  <c r="AB62" i="2262"/>
  <c r="AB43" i="2262"/>
  <c r="O43" i="2262"/>
  <c r="AB72" i="2262"/>
  <c r="O72" i="2262"/>
  <c r="AB50" i="2262"/>
  <c r="O50" i="2262"/>
  <c r="AB49" i="2262"/>
  <c r="O49" i="2262"/>
  <c r="AB154" i="2262"/>
  <c r="O154" i="2262"/>
  <c r="AB153" i="2262"/>
  <c r="O153" i="2262"/>
  <c r="AB124" i="2262"/>
  <c r="O124" i="2262"/>
  <c r="AB159" i="2262"/>
  <c r="O159" i="2262"/>
  <c r="O325" i="2262"/>
  <c r="AB325" i="2262"/>
  <c r="O324" i="2262"/>
  <c r="AB324" i="2262"/>
  <c r="AH324" i="2262" l="1"/>
  <c r="AI324" i="2262" s="1"/>
  <c r="AH323" i="2262"/>
  <c r="AI323" i="2262" s="1"/>
  <c r="AH302" i="2262"/>
  <c r="AI302" i="2262" s="1"/>
  <c r="AH326" i="2262"/>
  <c r="AI326" i="2262" s="1"/>
  <c r="AH325" i="2262"/>
  <c r="AI325" i="2262" s="1"/>
  <c r="AH322" i="2262"/>
  <c r="AI322" i="2262" s="1"/>
  <c r="AH327" i="2262"/>
  <c r="AI327" i="2262" s="1"/>
  <c r="AU299" i="2262"/>
  <c r="AU300" i="2262"/>
  <c r="AU228" i="2262"/>
  <c r="AK295" i="2262"/>
  <c r="AK291" i="2262"/>
  <c r="AK287" i="2262"/>
  <c r="AK298" i="2262"/>
  <c r="AK294" i="2262"/>
  <c r="AK290" i="2262"/>
  <c r="AK297" i="2262"/>
  <c r="AK293" i="2262"/>
  <c r="AK289" i="2262"/>
  <c r="AK296" i="2262"/>
  <c r="AK292" i="2262"/>
  <c r="AK288" i="2262"/>
  <c r="AK226" i="2262"/>
  <c r="AK222" i="2262"/>
  <c r="AK225" i="2262"/>
  <c r="AK224" i="2262"/>
  <c r="AK227" i="2262"/>
  <c r="AK223" i="2262"/>
  <c r="AK303" i="2262"/>
  <c r="AM303" i="2262" s="1"/>
  <c r="AN303" i="2262" s="1"/>
  <c r="AK304" i="2262"/>
  <c r="AM304" i="2262" s="1"/>
  <c r="AN304" i="2262" s="1"/>
  <c r="AK305" i="2262"/>
  <c r="AM305" i="2262" s="1"/>
  <c r="AN305" i="2262" s="1"/>
  <c r="AK306" i="2262"/>
  <c r="AM306" i="2262" s="1"/>
  <c r="AN306" i="2262" s="1"/>
  <c r="AK193" i="2262"/>
  <c r="AK194" i="2262"/>
  <c r="AK196" i="2262"/>
  <c r="AK201" i="2262"/>
  <c r="AK202" i="2262"/>
  <c r="AK203" i="2262"/>
  <c r="AK204" i="2262"/>
  <c r="AK205" i="2262"/>
  <c r="AK207" i="2262"/>
  <c r="AK208" i="2262"/>
  <c r="AK209" i="2262"/>
  <c r="AK218" i="2262"/>
  <c r="AK230" i="2262"/>
  <c r="AK231" i="2262"/>
  <c r="AK232" i="2262"/>
  <c r="AK233" i="2262"/>
  <c r="AK234" i="2262"/>
  <c r="AK237" i="2262"/>
  <c r="AK238" i="2262"/>
  <c r="AK239" i="2262"/>
  <c r="AK243" i="2262"/>
  <c r="AK244" i="2262"/>
  <c r="AK245" i="2262"/>
  <c r="AK246" i="2262"/>
  <c r="AK247" i="2262"/>
  <c r="AK248" i="2262"/>
  <c r="AK249" i="2262"/>
  <c r="AK250" i="2262"/>
  <c r="AK254" i="2262"/>
  <c r="AK255" i="2262"/>
  <c r="AK258" i="2262"/>
  <c r="AK259" i="2262"/>
  <c r="AK263" i="2262"/>
  <c r="AK264" i="2262"/>
  <c r="AK265" i="2262"/>
  <c r="AK266" i="2262"/>
  <c r="AK271" i="2262"/>
  <c r="AK277" i="2262"/>
  <c r="AK278" i="2262"/>
  <c r="AK279" i="2262"/>
  <c r="AK301" i="2262"/>
  <c r="AK195" i="2262"/>
  <c r="AK197" i="2262"/>
  <c r="AK198" i="2262"/>
  <c r="AK199" i="2262"/>
  <c r="AK200" i="2262"/>
  <c r="AK206" i="2262"/>
  <c r="AK210" i="2262"/>
  <c r="AK211" i="2262"/>
  <c r="AK212" i="2262"/>
  <c r="AK213" i="2262"/>
  <c r="AK214" i="2262"/>
  <c r="AK215" i="2262"/>
  <c r="AK216" i="2262"/>
  <c r="AK217" i="2262"/>
  <c r="AK219" i="2262"/>
  <c r="AK220" i="2262"/>
  <c r="AK221" i="2262"/>
  <c r="AK229" i="2262"/>
  <c r="AK235" i="2262"/>
  <c r="AK236" i="2262"/>
  <c r="AK240" i="2262"/>
  <c r="AK241" i="2262"/>
  <c r="AK242" i="2262"/>
  <c r="AK251" i="2262"/>
  <c r="AK252" i="2262"/>
  <c r="AK253" i="2262"/>
  <c r="AK256" i="2262"/>
  <c r="AK257" i="2262"/>
  <c r="AK260" i="2262"/>
  <c r="AK261" i="2262"/>
  <c r="AK262" i="2262"/>
  <c r="AK267" i="2262"/>
  <c r="AK268" i="2262"/>
  <c r="AK269" i="2262"/>
  <c r="AK270" i="2262"/>
  <c r="AK272" i="2262"/>
  <c r="AK273" i="2262"/>
  <c r="AK274" i="2262"/>
  <c r="AK275" i="2262"/>
  <c r="AK276" i="2262"/>
  <c r="AK280" i="2262"/>
  <c r="AK281" i="2262"/>
  <c r="AK282" i="2262"/>
  <c r="AK283" i="2262"/>
  <c r="AK284" i="2262"/>
  <c r="AK285" i="2262"/>
  <c r="AK286" i="2262"/>
  <c r="AB44" i="2262"/>
  <c r="O44" i="2262"/>
  <c r="O46" i="2262"/>
  <c r="AB46" i="2262"/>
  <c r="O45" i="2262"/>
  <c r="AB45" i="2262"/>
  <c r="AM285" i="2262" l="1"/>
  <c r="AN285" i="2262" s="1"/>
  <c r="AU285" i="2262" s="1"/>
  <c r="AM283" i="2262"/>
  <c r="AN283" i="2262" s="1"/>
  <c r="AU283" i="2262" s="1"/>
  <c r="AM276" i="2262"/>
  <c r="AN276" i="2262" s="1"/>
  <c r="AU276" i="2262" s="1"/>
  <c r="AM272" i="2262"/>
  <c r="AN272" i="2262" s="1"/>
  <c r="AM267" i="2262"/>
  <c r="AN267" i="2262" s="1"/>
  <c r="AU267" i="2262" s="1"/>
  <c r="AM261" i="2262"/>
  <c r="AN261" i="2262" s="1"/>
  <c r="AU261" i="2262" s="1"/>
  <c r="AM253" i="2262"/>
  <c r="AN253" i="2262" s="1"/>
  <c r="AM241" i="2262"/>
  <c r="AN241" i="2262" s="1"/>
  <c r="AM229" i="2262"/>
  <c r="AN229" i="2262" s="1"/>
  <c r="AU229" i="2262" s="1"/>
  <c r="AM217" i="2262"/>
  <c r="AN217" i="2262" s="1"/>
  <c r="AU217" i="2262" s="1"/>
  <c r="AM215" i="2262"/>
  <c r="AN215" i="2262" s="1"/>
  <c r="AU215" i="2262" s="1"/>
  <c r="AM211" i="2262"/>
  <c r="AN211" i="2262" s="1"/>
  <c r="AU211" i="2262" s="1"/>
  <c r="AM199" i="2262"/>
  <c r="AN199" i="2262" s="1"/>
  <c r="AM301" i="2262"/>
  <c r="AN301" i="2262" s="1"/>
  <c r="AU301" i="2262" s="1"/>
  <c r="AM278" i="2262"/>
  <c r="AN278" i="2262" s="1"/>
  <c r="AU278" i="2262" s="1"/>
  <c r="AM265" i="2262"/>
  <c r="AN265" i="2262" s="1"/>
  <c r="AM263" i="2262"/>
  <c r="AN263" i="2262" s="1"/>
  <c r="AU263" i="2262" s="1"/>
  <c r="AM254" i="2262"/>
  <c r="AN254" i="2262" s="1"/>
  <c r="AM249" i="2262"/>
  <c r="AN249" i="2262" s="1"/>
  <c r="AU249" i="2262" s="1"/>
  <c r="AM245" i="2262"/>
  <c r="AN245" i="2262" s="1"/>
  <c r="AU245" i="2262" s="1"/>
  <c r="AM238" i="2262"/>
  <c r="AN238" i="2262" s="1"/>
  <c r="AM286" i="2262"/>
  <c r="AN286" i="2262" s="1"/>
  <c r="AM284" i="2262"/>
  <c r="AN284" i="2262" s="1"/>
  <c r="AM282" i="2262"/>
  <c r="AN282" i="2262" s="1"/>
  <c r="AM280" i="2262"/>
  <c r="AN280" i="2262" s="1"/>
  <c r="AM275" i="2262"/>
  <c r="AN275" i="2262" s="1"/>
  <c r="AM273" i="2262"/>
  <c r="AN273" i="2262" s="1"/>
  <c r="AM270" i="2262"/>
  <c r="AN270" i="2262" s="1"/>
  <c r="AU270" i="2262" s="1"/>
  <c r="AM268" i="2262"/>
  <c r="AN268" i="2262" s="1"/>
  <c r="AU268" i="2262" s="1"/>
  <c r="AM262" i="2262"/>
  <c r="AN262" i="2262" s="1"/>
  <c r="AM260" i="2262"/>
  <c r="AN260" i="2262" s="1"/>
  <c r="AM256" i="2262"/>
  <c r="AN256" i="2262" s="1"/>
  <c r="AM252" i="2262"/>
  <c r="AN252" i="2262" s="1"/>
  <c r="AM242" i="2262"/>
  <c r="AN242" i="2262" s="1"/>
  <c r="AU242" i="2262" s="1"/>
  <c r="AM240" i="2262"/>
  <c r="AN240" i="2262" s="1"/>
  <c r="AU240" i="2262" s="1"/>
  <c r="AM235" i="2262"/>
  <c r="AN235" i="2262" s="1"/>
  <c r="AU235" i="2262" s="1"/>
  <c r="AM221" i="2262"/>
  <c r="AN221" i="2262" s="1"/>
  <c r="AU221" i="2262" s="1"/>
  <c r="AM219" i="2262"/>
  <c r="AN219" i="2262" s="1"/>
  <c r="AM216" i="2262"/>
  <c r="AN216" i="2262" s="1"/>
  <c r="AM214" i="2262"/>
  <c r="AN214" i="2262" s="1"/>
  <c r="AM212" i="2262"/>
  <c r="AN212" i="2262" s="1"/>
  <c r="AM210" i="2262"/>
  <c r="AN210" i="2262" s="1"/>
  <c r="AU210" i="2262" s="1"/>
  <c r="AM200" i="2262"/>
  <c r="AN200" i="2262" s="1"/>
  <c r="AM198" i="2262"/>
  <c r="AN198" i="2262" s="1"/>
  <c r="AU198" i="2262" s="1"/>
  <c r="AM195" i="2262"/>
  <c r="AN195" i="2262" s="1"/>
  <c r="AU195" i="2262" s="1"/>
  <c r="AM279" i="2262"/>
  <c r="AN279" i="2262" s="1"/>
  <c r="AM277" i="2262"/>
  <c r="AN277" i="2262" s="1"/>
  <c r="AM266" i="2262"/>
  <c r="AN266" i="2262" s="1"/>
  <c r="AM264" i="2262"/>
  <c r="AN264" i="2262" s="1"/>
  <c r="AM259" i="2262"/>
  <c r="AN259" i="2262" s="1"/>
  <c r="AM255" i="2262"/>
  <c r="AN255" i="2262" s="1"/>
  <c r="AU255" i="2262" s="1"/>
  <c r="AM250" i="2262"/>
  <c r="AN250" i="2262" s="1"/>
  <c r="AU250" i="2262" s="1"/>
  <c r="AM248" i="2262"/>
  <c r="AN248" i="2262" s="1"/>
  <c r="AU248" i="2262" s="1"/>
  <c r="AM246" i="2262"/>
  <c r="AN246" i="2262" s="1"/>
  <c r="AM244" i="2262"/>
  <c r="AN244" i="2262" s="1"/>
  <c r="AM239" i="2262"/>
  <c r="AN239" i="2262" s="1"/>
  <c r="AU239" i="2262" s="1"/>
  <c r="AM237" i="2262"/>
  <c r="AN237" i="2262" s="1"/>
  <c r="AM233" i="2262"/>
  <c r="AN233" i="2262" s="1"/>
  <c r="AU233" i="2262" s="1"/>
  <c r="AM231" i="2262"/>
  <c r="AN231" i="2262" s="1"/>
  <c r="AU231" i="2262" s="1"/>
  <c r="AM218" i="2262"/>
  <c r="AN218" i="2262" s="1"/>
  <c r="AU218" i="2262" s="1"/>
  <c r="AM208" i="2262"/>
  <c r="AN208" i="2262" s="1"/>
  <c r="AU208" i="2262" s="1"/>
  <c r="AM205" i="2262"/>
  <c r="AN205" i="2262" s="1"/>
  <c r="AM203" i="2262"/>
  <c r="AN203" i="2262" s="1"/>
  <c r="AM201" i="2262"/>
  <c r="AN201" i="2262" s="1"/>
  <c r="AU201" i="2262" s="1"/>
  <c r="AM194" i="2262"/>
  <c r="AN194" i="2262" s="1"/>
  <c r="AM223" i="2262"/>
  <c r="AN223" i="2262" s="1"/>
  <c r="AU223" i="2262" s="1"/>
  <c r="AM224" i="2262"/>
  <c r="AN224" i="2262" s="1"/>
  <c r="AU224" i="2262" s="1"/>
  <c r="AM222" i="2262"/>
  <c r="AN222" i="2262" s="1"/>
  <c r="AU222" i="2262" s="1"/>
  <c r="AM288" i="2262"/>
  <c r="AN288" i="2262" s="1"/>
  <c r="AU288" i="2262" s="1"/>
  <c r="AM296" i="2262"/>
  <c r="AN296" i="2262" s="1"/>
  <c r="AU296" i="2262" s="1"/>
  <c r="AM293" i="2262"/>
  <c r="AN293" i="2262" s="1"/>
  <c r="AU293" i="2262" s="1"/>
  <c r="AM290" i="2262"/>
  <c r="AN290" i="2262" s="1"/>
  <c r="AU290" i="2262" s="1"/>
  <c r="AM298" i="2262"/>
  <c r="AN298" i="2262" s="1"/>
  <c r="AU298" i="2262" s="1"/>
  <c r="AM291" i="2262"/>
  <c r="AN291" i="2262" s="1"/>
  <c r="AU291" i="2262" s="1"/>
  <c r="AM281" i="2262"/>
  <c r="AN281" i="2262" s="1"/>
  <c r="AM274" i="2262"/>
  <c r="AN274" i="2262" s="1"/>
  <c r="AM269" i="2262"/>
  <c r="AN269" i="2262" s="1"/>
  <c r="AU269" i="2262" s="1"/>
  <c r="AM257" i="2262"/>
  <c r="AN257" i="2262" s="1"/>
  <c r="AT257" i="2262" s="1"/>
  <c r="AM251" i="2262"/>
  <c r="AN251" i="2262" s="1"/>
  <c r="AU251" i="2262" s="1"/>
  <c r="AM236" i="2262"/>
  <c r="AN236" i="2262" s="1"/>
  <c r="AU236" i="2262" s="1"/>
  <c r="AM220" i="2262"/>
  <c r="AN220" i="2262" s="1"/>
  <c r="AU220" i="2262" s="1"/>
  <c r="AM213" i="2262"/>
  <c r="AN213" i="2262" s="1"/>
  <c r="AM206" i="2262"/>
  <c r="AN206" i="2262" s="1"/>
  <c r="AM197" i="2262"/>
  <c r="AN197" i="2262" s="1"/>
  <c r="AU197" i="2262" s="1"/>
  <c r="AM271" i="2262"/>
  <c r="AN271" i="2262" s="1"/>
  <c r="AM258" i="2262"/>
  <c r="AN258" i="2262" s="1"/>
  <c r="AM247" i="2262"/>
  <c r="AN247" i="2262" s="1"/>
  <c r="AU247" i="2262" s="1"/>
  <c r="AM243" i="2262"/>
  <c r="AN243" i="2262" s="1"/>
  <c r="AU243" i="2262" s="1"/>
  <c r="AM234" i="2262"/>
  <c r="AN234" i="2262" s="1"/>
  <c r="AU234" i="2262" s="1"/>
  <c r="AM232" i="2262"/>
  <c r="AN232" i="2262" s="1"/>
  <c r="AM230" i="2262"/>
  <c r="AN230" i="2262" s="1"/>
  <c r="AM209" i="2262"/>
  <c r="AN209" i="2262" s="1"/>
  <c r="AU209" i="2262" s="1"/>
  <c r="AM207" i="2262"/>
  <c r="AN207" i="2262" s="1"/>
  <c r="AM204" i="2262"/>
  <c r="AN204" i="2262" s="1"/>
  <c r="AU204" i="2262" s="1"/>
  <c r="AM202" i="2262"/>
  <c r="AN202" i="2262" s="1"/>
  <c r="AU202" i="2262" s="1"/>
  <c r="AM196" i="2262"/>
  <c r="AN196" i="2262" s="1"/>
  <c r="AM193" i="2262"/>
  <c r="AN193" i="2262" s="1"/>
  <c r="AU193" i="2262" s="1"/>
  <c r="AM227" i="2262"/>
  <c r="AN227" i="2262" s="1"/>
  <c r="AU227" i="2262" s="1"/>
  <c r="AM225" i="2262"/>
  <c r="AN225" i="2262" s="1"/>
  <c r="AU225" i="2262" s="1"/>
  <c r="AM226" i="2262"/>
  <c r="AN226" i="2262" s="1"/>
  <c r="AU226" i="2262" s="1"/>
  <c r="AM292" i="2262"/>
  <c r="AN292" i="2262" s="1"/>
  <c r="AU292" i="2262" s="1"/>
  <c r="AM289" i="2262"/>
  <c r="AN289" i="2262" s="1"/>
  <c r="AU289" i="2262" s="1"/>
  <c r="AM297" i="2262"/>
  <c r="AN297" i="2262" s="1"/>
  <c r="AU297" i="2262" s="1"/>
  <c r="AM294" i="2262"/>
  <c r="AN294" i="2262" s="1"/>
  <c r="AU294" i="2262" s="1"/>
  <c r="AM287" i="2262"/>
  <c r="AN287" i="2262" s="1"/>
  <c r="AU287" i="2262" s="1"/>
  <c r="AM295" i="2262"/>
  <c r="AN295" i="2262" s="1"/>
  <c r="AU295" i="2262" s="1"/>
  <c r="AU304" i="2262"/>
  <c r="AU303" i="2262"/>
  <c r="AU306" i="2262"/>
  <c r="AU305" i="2262"/>
  <c r="AO302" i="2262"/>
  <c r="BA302" i="2262"/>
  <c r="AZ302" i="2262"/>
  <c r="AY302" i="2262"/>
  <c r="AX302" i="2262"/>
  <c r="AW302" i="2262"/>
  <c r="AS302" i="2262"/>
  <c r="AV302" i="2262"/>
  <c r="AQ302" i="2262"/>
  <c r="AR302" i="2262"/>
  <c r="AP302" i="2262"/>
  <c r="AO325" i="2262"/>
  <c r="BA325" i="2262"/>
  <c r="AZ325" i="2262"/>
  <c r="AY325" i="2262"/>
  <c r="AW325" i="2262"/>
  <c r="AX325" i="2262"/>
  <c r="AV325" i="2262"/>
  <c r="AS325" i="2262"/>
  <c r="AR325" i="2262"/>
  <c r="AP325" i="2262"/>
  <c r="AQ325" i="2262"/>
  <c r="AO327" i="2262"/>
  <c r="BA327" i="2262"/>
  <c r="AZ327" i="2262"/>
  <c r="AY327" i="2262"/>
  <c r="AW327" i="2262"/>
  <c r="AX327" i="2262"/>
  <c r="AV327" i="2262"/>
  <c r="AS327" i="2262"/>
  <c r="AP327" i="2262"/>
  <c r="AR327" i="2262"/>
  <c r="AQ327" i="2262"/>
  <c r="AO322" i="2262"/>
  <c r="BA322" i="2262"/>
  <c r="AZ322" i="2262"/>
  <c r="AY322" i="2262"/>
  <c r="AX322" i="2262"/>
  <c r="AW322" i="2262"/>
  <c r="AS322" i="2262"/>
  <c r="AV322" i="2262"/>
  <c r="AR322" i="2262"/>
  <c r="AQ322" i="2262"/>
  <c r="AP322" i="2262"/>
  <c r="AO324" i="2262"/>
  <c r="BA324" i="2262"/>
  <c r="AZ324" i="2262"/>
  <c r="AY324" i="2262"/>
  <c r="AX324" i="2262"/>
  <c r="AW324" i="2262"/>
  <c r="AS324" i="2262"/>
  <c r="AV324" i="2262"/>
  <c r="AR324" i="2262"/>
  <c r="AQ324" i="2262"/>
  <c r="AP324" i="2262"/>
  <c r="AO326" i="2262"/>
  <c r="BA326" i="2262"/>
  <c r="AZ326" i="2262"/>
  <c r="AY326" i="2262"/>
  <c r="AX326" i="2262"/>
  <c r="AW326" i="2262"/>
  <c r="AS326" i="2262"/>
  <c r="AV326" i="2262"/>
  <c r="AR326" i="2262"/>
  <c r="AQ326" i="2262"/>
  <c r="AP326" i="2262"/>
  <c r="AO323" i="2262"/>
  <c r="BA323" i="2262"/>
  <c r="AZ323" i="2262"/>
  <c r="AY323" i="2262"/>
  <c r="AW323" i="2262"/>
  <c r="AX323" i="2262"/>
  <c r="AV323" i="2262"/>
  <c r="AS323" i="2262"/>
  <c r="AP323" i="2262"/>
  <c r="AR323" i="2262"/>
  <c r="AQ323" i="2262"/>
  <c r="AT303" i="2262"/>
  <c r="AT304" i="2262"/>
  <c r="AK46" i="2262"/>
  <c r="AK307" i="2262"/>
  <c r="AK45" i="2262"/>
  <c r="AT213" i="2262" l="1"/>
  <c r="AU213" i="2262"/>
  <c r="AU258" i="2262"/>
  <c r="AT258" i="2262"/>
  <c r="AU274" i="2262"/>
  <c r="AT274" i="2262"/>
  <c r="AU257" i="2262"/>
  <c r="AU206" i="2262"/>
  <c r="AT206" i="2262"/>
  <c r="AT281" i="2262"/>
  <c r="AU281" i="2262"/>
  <c r="AT271" i="2262"/>
  <c r="AU271" i="2262"/>
  <c r="AT236" i="2262"/>
  <c r="AU207" i="2262"/>
  <c r="AT207" i="2262"/>
  <c r="AU230" i="2262"/>
  <c r="AT230" i="2262"/>
  <c r="AT196" i="2262"/>
  <c r="AU196" i="2262"/>
  <c r="AU232" i="2262"/>
  <c r="AT232" i="2262"/>
  <c r="AU205" i="2262"/>
  <c r="AT205" i="2262"/>
  <c r="AT246" i="2262"/>
  <c r="AU246" i="2262"/>
  <c r="AU259" i="2262"/>
  <c r="AT259" i="2262"/>
  <c r="AU266" i="2262"/>
  <c r="AT266" i="2262"/>
  <c r="AU279" i="2262"/>
  <c r="AT279" i="2262"/>
  <c r="AU214" i="2262"/>
  <c r="AT214" i="2262"/>
  <c r="AU219" i="2262"/>
  <c r="AT219" i="2262"/>
  <c r="AU256" i="2262"/>
  <c r="AT256" i="2262"/>
  <c r="AU262" i="2262"/>
  <c r="AT262" i="2262"/>
  <c r="AT275" i="2262"/>
  <c r="AU275" i="2262"/>
  <c r="AU282" i="2262"/>
  <c r="AT282" i="2262"/>
  <c r="AT286" i="2262"/>
  <c r="AU286" i="2262"/>
  <c r="AU254" i="2262"/>
  <c r="AT254" i="2262"/>
  <c r="AU265" i="2262"/>
  <c r="AT265" i="2262"/>
  <c r="AU241" i="2262"/>
  <c r="AT241" i="2262"/>
  <c r="AU272" i="2262"/>
  <c r="AT272" i="2262"/>
  <c r="AU194" i="2262"/>
  <c r="AT194" i="2262"/>
  <c r="AU203" i="2262"/>
  <c r="AT203" i="2262"/>
  <c r="AU237" i="2262"/>
  <c r="AT237" i="2262"/>
  <c r="AT244" i="2262"/>
  <c r="AU244" i="2262"/>
  <c r="AU264" i="2262"/>
  <c r="AT264" i="2262"/>
  <c r="AU277" i="2262"/>
  <c r="AT277" i="2262"/>
  <c r="AT200" i="2262"/>
  <c r="AU200" i="2262"/>
  <c r="AU212" i="2262"/>
  <c r="AT212" i="2262"/>
  <c r="AU216" i="2262"/>
  <c r="AT216" i="2262"/>
  <c r="AU252" i="2262"/>
  <c r="AT252" i="2262"/>
  <c r="AT260" i="2262"/>
  <c r="AU260" i="2262"/>
  <c r="AU273" i="2262"/>
  <c r="AT273" i="2262"/>
  <c r="AU280" i="2262"/>
  <c r="AT280" i="2262"/>
  <c r="AT284" i="2262"/>
  <c r="AU284" i="2262"/>
  <c r="AU238" i="2262"/>
  <c r="AT238" i="2262"/>
  <c r="AU199" i="2262"/>
  <c r="AT199" i="2262"/>
  <c r="AU253" i="2262"/>
  <c r="AT253" i="2262"/>
  <c r="AM307" i="2262"/>
  <c r="AN307" i="2262" s="1"/>
  <c r="AU307" i="2262" s="1"/>
  <c r="AM45" i="2262"/>
  <c r="AN45" i="2262" s="1"/>
  <c r="AM46" i="2262"/>
  <c r="AN46" i="2262" s="1"/>
  <c r="AT251" i="2262"/>
  <c r="AT223" i="2262"/>
  <c r="AT231" i="2262"/>
  <c r="AT202" i="2262"/>
  <c r="AT233" i="2262"/>
  <c r="AT242" i="2262"/>
  <c r="AT255" i="2262"/>
  <c r="AT240" i="2262"/>
  <c r="AT245" i="2262"/>
  <c r="AT278" i="2262"/>
  <c r="AT217" i="2262"/>
  <c r="AT261" i="2262"/>
  <c r="AT285" i="2262"/>
  <c r="AT283" i="2262"/>
  <c r="AT210" i="2262"/>
  <c r="AT215" i="2262"/>
  <c r="AT209" i="2262"/>
  <c r="AT249" i="2262"/>
  <c r="AT197" i="2262"/>
  <c r="AT229" i="2262"/>
  <c r="AT269" i="2262"/>
  <c r="AT243" i="2262"/>
  <c r="AT250" i="2262"/>
  <c r="AT234" i="2262"/>
  <c r="AT198" i="2262"/>
  <c r="AT235" i="2262"/>
  <c r="AT270" i="2262"/>
  <c r="AT263" i="2262"/>
  <c r="AT211" i="2262"/>
  <c r="AT222" i="2262"/>
  <c r="AT201" i="2262"/>
  <c r="AT218" i="2262"/>
  <c r="AT276" i="2262"/>
  <c r="AT287" i="2262"/>
  <c r="AT247" i="2262"/>
  <c r="AT301" i="2262"/>
  <c r="AT220" i="2262"/>
  <c r="AT267" i="2262"/>
  <c r="AT208" i="2262"/>
  <c r="AT248" i="2262"/>
  <c r="AT195" i="2262"/>
  <c r="AT221" i="2262"/>
  <c r="AT268" i="2262"/>
  <c r="AU326" i="2262"/>
  <c r="AU324" i="2262"/>
  <c r="AU322" i="2262"/>
  <c r="AU302" i="2262"/>
  <c r="AU327" i="2262"/>
  <c r="AU325" i="2262"/>
  <c r="AU323" i="2262"/>
  <c r="AT302" i="2262"/>
  <c r="AT324" i="2262"/>
  <c r="AT322" i="2262"/>
  <c r="AT323" i="2262"/>
  <c r="AT327" i="2262"/>
  <c r="AT224" i="2262"/>
  <c r="AT326" i="2262"/>
  <c r="AT239" i="2262"/>
  <c r="AT305" i="2262"/>
  <c r="AT204" i="2262"/>
  <c r="AT193" i="2262"/>
  <c r="AT288" i="2262"/>
  <c r="AT325" i="2262"/>
  <c r="AT306" i="2262"/>
  <c r="AK308" i="2262"/>
  <c r="D38" i="2273"/>
  <c r="AP3" i="2262"/>
  <c r="AM308" i="2262" l="1"/>
  <c r="AN308" i="2262" s="1"/>
  <c r="AU308" i="2262" s="1"/>
  <c r="AT307" i="2262"/>
  <c r="AT225" i="2262"/>
  <c r="AT289" i="2262"/>
  <c r="AK309" i="2262"/>
  <c r="AM309" i="2262" l="1"/>
  <c r="AN309" i="2262" s="1"/>
  <c r="AU309" i="2262" s="1"/>
  <c r="AT308" i="2262"/>
  <c r="AT226" i="2262"/>
  <c r="AT290" i="2262"/>
  <c r="AK310" i="2262"/>
  <c r="AM310" i="2262" l="1"/>
  <c r="AN310" i="2262" s="1"/>
  <c r="AU310" i="2262" s="1"/>
  <c r="AT291" i="2262"/>
  <c r="AT228" i="2262"/>
  <c r="AT309" i="2262"/>
  <c r="AT227" i="2262"/>
  <c r="AK311" i="2262"/>
  <c r="AM311" i="2262" l="1"/>
  <c r="AN311" i="2262" s="1"/>
  <c r="AU311" i="2262" s="1"/>
  <c r="AT292" i="2262"/>
  <c r="AT310" i="2262"/>
  <c r="AK312" i="2262"/>
  <c r="AM312" i="2262" l="1"/>
  <c r="AN312" i="2262" s="1"/>
  <c r="AU312" i="2262" s="1"/>
  <c r="AT311" i="2262"/>
  <c r="AT293" i="2262"/>
  <c r="AK313" i="2262"/>
  <c r="AM313" i="2262" l="1"/>
  <c r="AN313" i="2262" s="1"/>
  <c r="AU313" i="2262" s="1"/>
  <c r="AT294" i="2262"/>
  <c r="AT312" i="2262"/>
  <c r="AK314" i="2262"/>
  <c r="AM314" i="2262" l="1"/>
  <c r="AN314" i="2262" s="1"/>
  <c r="AU314" i="2262" s="1"/>
  <c r="AT313" i="2262"/>
  <c r="AT295" i="2262"/>
  <c r="AK315" i="2262"/>
  <c r="AM315" i="2262" l="1"/>
  <c r="AN315" i="2262" s="1"/>
  <c r="AU315" i="2262" s="1"/>
  <c r="AT296" i="2262"/>
  <c r="AT314" i="2262"/>
  <c r="AK316" i="2262"/>
  <c r="AM316" i="2262" l="1"/>
  <c r="AN316" i="2262" s="1"/>
  <c r="AU316" i="2262" s="1"/>
  <c r="AT315" i="2262"/>
  <c r="AT297" i="2262"/>
  <c r="AK317" i="2262"/>
  <c r="AM317" i="2262" l="1"/>
  <c r="AN317" i="2262" s="1"/>
  <c r="AU317" i="2262" s="1"/>
  <c r="AT298" i="2262"/>
  <c r="AT316" i="2262"/>
  <c r="AK318" i="2262"/>
  <c r="AM318" i="2262" l="1"/>
  <c r="AN318" i="2262" s="1"/>
  <c r="AU318" i="2262" s="1"/>
  <c r="AT317" i="2262"/>
  <c r="AT299" i="2262"/>
  <c r="AT300" i="2262"/>
  <c r="AK319" i="2262"/>
  <c r="AM319" i="2262" l="1"/>
  <c r="AN319" i="2262" s="1"/>
  <c r="AU319" i="2262" s="1"/>
  <c r="AT318" i="2262"/>
  <c r="AK320" i="2262"/>
  <c r="AM320" i="2262" l="1"/>
  <c r="AN320" i="2262" s="1"/>
  <c r="AU320" i="2262" s="1"/>
  <c r="AT319" i="2262"/>
  <c r="AK321" i="2262"/>
  <c r="AM321" i="2262" l="1"/>
  <c r="AN321" i="2262" s="1"/>
  <c r="AU321" i="2262" s="1"/>
  <c r="AT320" i="2262"/>
  <c r="AT321" i="2262" l="1"/>
  <c r="AA104" i="2262"/>
  <c r="AH104" i="2262" s="1"/>
  <c r="F29" i="2273"/>
  <c r="F32" i="2273" s="1"/>
  <c r="AA117" i="2262"/>
  <c r="AH117" i="2262" s="1"/>
  <c r="AA109" i="2262"/>
  <c r="AA103" i="2262"/>
  <c r="AH103" i="2262" s="1"/>
  <c r="AI103" i="2262" s="1"/>
  <c r="AA116" i="2262"/>
  <c r="AH116" i="2262" s="1"/>
  <c r="AI116" i="2262" s="1"/>
  <c r="AA111" i="2262"/>
  <c r="AA115" i="2262"/>
  <c r="AA108" i="2262"/>
  <c r="AH108" i="2262" s="1"/>
  <c r="AA107" i="2262"/>
  <c r="AA161" i="2262"/>
  <c r="AH161" i="2262" s="1"/>
  <c r="AA106" i="2262"/>
  <c r="AA114" i="2262"/>
  <c r="AA105" i="2262"/>
  <c r="AH105" i="2262" s="1"/>
  <c r="AA113" i="2262"/>
  <c r="AA110" i="2262"/>
  <c r="AA85" i="2262"/>
  <c r="AH85" i="2262" s="1"/>
  <c r="AI85" i="2262" s="1"/>
  <c r="AA148" i="2262"/>
  <c r="AA18" i="2262"/>
  <c r="AA34" i="2262"/>
  <c r="AH34" i="2262" s="1"/>
  <c r="AI34" i="2262" s="1"/>
  <c r="AA17" i="2262"/>
  <c r="AA163" i="2262"/>
  <c r="AA152" i="2262"/>
  <c r="AA171" i="2262"/>
  <c r="AA30" i="2262"/>
  <c r="AH30" i="2262" s="1"/>
  <c r="AA144" i="2262"/>
  <c r="AA147" i="2262"/>
  <c r="AH147" i="2262" s="1"/>
  <c r="AI147" i="2262" s="1"/>
  <c r="AW147" i="2262" s="1"/>
  <c r="AA11" i="2262"/>
  <c r="AA83" i="2262"/>
  <c r="AA89" i="2262"/>
  <c r="AH89" i="2262" s="1"/>
  <c r="AI89" i="2262" s="1"/>
  <c r="AW89" i="2262" s="1"/>
  <c r="AA126" i="2262"/>
  <c r="AA185" i="2262"/>
  <c r="AH185" i="2262" s="1"/>
  <c r="AI185" i="2262" s="1"/>
  <c r="AA73" i="2262"/>
  <c r="AA25" i="2262"/>
  <c r="AA81" i="2262"/>
  <c r="AH81" i="2262" s="1"/>
  <c r="AI81" i="2262" s="1"/>
  <c r="AA93" i="2262"/>
  <c r="AA72" i="2262"/>
  <c r="AH72" i="2262" s="1"/>
  <c r="AI72" i="2262" s="1"/>
  <c r="BA72" i="2262" s="1"/>
  <c r="AA153" i="2262"/>
  <c r="AA191" i="2262"/>
  <c r="AH191" i="2262" s="1"/>
  <c r="AI191" i="2262" s="1"/>
  <c r="AR191" i="2262" s="1"/>
  <c r="AA182" i="2262"/>
  <c r="AA132" i="2262"/>
  <c r="AH132" i="2262" s="1"/>
  <c r="AI132" i="2262" s="1"/>
  <c r="AV132" i="2262" s="1"/>
  <c r="AA135" i="2262"/>
  <c r="AA16" i="2262"/>
  <c r="AH16" i="2262" s="1"/>
  <c r="AI16" i="2262" s="1"/>
  <c r="AA112" i="2262"/>
  <c r="AA92" i="2262"/>
  <c r="AA122" i="2262"/>
  <c r="AH122" i="2262" s="1"/>
  <c r="AH77" i="2262"/>
  <c r="AA77" i="2262"/>
  <c r="AI77" i="2262"/>
  <c r="AO77" i="2262" s="1"/>
  <c r="AA130" i="2262"/>
  <c r="AA36" i="2262"/>
  <c r="AA158" i="2262"/>
  <c r="AH158" i="2262" s="1"/>
  <c r="AA145" i="2262"/>
  <c r="AA35" i="2262"/>
  <c r="AA60" i="2262"/>
  <c r="AA139" i="2262"/>
  <c r="AA82" i="2262"/>
  <c r="AA58" i="2262"/>
  <c r="AH58" i="2262" s="1"/>
  <c r="AI58" i="2262" s="1"/>
  <c r="AA69" i="2262"/>
  <c r="AA21" i="2262"/>
  <c r="AA55" i="2262"/>
  <c r="AA94" i="2262"/>
  <c r="AH94" i="2262" s="1"/>
  <c r="AI94" i="2262" s="1"/>
  <c r="AA33" i="2262"/>
  <c r="AA175" i="2262"/>
  <c r="AA142" i="2262"/>
  <c r="AA88" i="2262"/>
  <c r="AA79" i="2262"/>
  <c r="AH79" i="2262" s="1"/>
  <c r="AI79" i="2262" s="1"/>
  <c r="AZ79" i="2262" s="1"/>
  <c r="AA133" i="2262"/>
  <c r="AA123" i="2262"/>
  <c r="AH123" i="2262" s="1"/>
  <c r="AI123" i="2262" s="1"/>
  <c r="AZ123" i="2262" s="1"/>
  <c r="AA91" i="2262"/>
  <c r="AA125" i="2262"/>
  <c r="AH125" i="2262" s="1"/>
  <c r="AI125" i="2262" s="1"/>
  <c r="AZ125" i="2262" s="1"/>
  <c r="AA169" i="2262"/>
  <c r="AA172" i="2262"/>
  <c r="AH172" i="2262" s="1"/>
  <c r="AI172" i="2262" s="1"/>
  <c r="AY172" i="2262" s="1"/>
  <c r="AA160" i="2262"/>
  <c r="AA71" i="2262"/>
  <c r="AH71" i="2262" s="1"/>
  <c r="AI71" i="2262" s="1"/>
  <c r="AA28" i="2262"/>
  <c r="AA7" i="2262"/>
  <c r="AH7" i="2262" s="1"/>
  <c r="AI7" i="2262" s="1"/>
  <c r="AO7" i="2262" s="1"/>
  <c r="AA42" i="2262"/>
  <c r="AA32" i="2262"/>
  <c r="AH32" i="2262" s="1"/>
  <c r="AI32" i="2262" s="1"/>
  <c r="AP32" i="2262" s="1"/>
  <c r="AA119" i="2262"/>
  <c r="AA48" i="2262"/>
  <c r="AH48" i="2262" s="1"/>
  <c r="AI48" i="2262" s="1"/>
  <c r="AP48" i="2262" s="1"/>
  <c r="AA65" i="2262"/>
  <c r="AA179" i="2262"/>
  <c r="AH179" i="2262" s="1"/>
  <c r="AI179" i="2262" s="1"/>
  <c r="AA38" i="2262"/>
  <c r="AA57" i="2262"/>
  <c r="AH57" i="2262" s="1"/>
  <c r="AI57" i="2262" s="1"/>
  <c r="AA66" i="2262"/>
  <c r="AA43" i="2262"/>
  <c r="AH43" i="2262" s="1"/>
  <c r="AI43" i="2262" s="1"/>
  <c r="AP43" i="2262" s="1"/>
  <c r="AA154" i="2262"/>
  <c r="AH154" i="2262" s="1"/>
  <c r="AA27" i="2262"/>
  <c r="AH27" i="2262" s="1"/>
  <c r="AI27" i="2262" s="1"/>
  <c r="AP27" i="2262" s="1"/>
  <c r="AA136" i="2262"/>
  <c r="AA13" i="2262"/>
  <c r="AH13" i="2262" s="1"/>
  <c r="AI13" i="2262" s="1"/>
  <c r="AP13" i="2262" s="1"/>
  <c r="AA146" i="2262"/>
  <c r="AA143" i="2262"/>
  <c r="AH143" i="2262" s="1"/>
  <c r="AI143" i="2262" s="1"/>
  <c r="AA98" i="2262"/>
  <c r="AA99" i="2262"/>
  <c r="AH99" i="2262" s="1"/>
  <c r="AI99" i="2262" s="1"/>
  <c r="AP99" i="2262" s="1"/>
  <c r="AA63" i="2262"/>
  <c r="AA14" i="2262"/>
  <c r="AH14" i="2262" s="1"/>
  <c r="AI14" i="2262" s="1"/>
  <c r="AR14" i="2262" s="1"/>
  <c r="AA127" i="2262"/>
  <c r="AA180" i="2262"/>
  <c r="AH180" i="2262" s="1"/>
  <c r="AI180" i="2262" s="1"/>
  <c r="AR180" i="2262" s="1"/>
  <c r="AA178" i="2262"/>
  <c r="AA61" i="2262"/>
  <c r="AH61" i="2262" s="1"/>
  <c r="AI61" i="2262" s="1"/>
  <c r="AA177" i="2262"/>
  <c r="AA74" i="2262"/>
  <c r="AH74" i="2262" s="1"/>
  <c r="AI74" i="2262" s="1"/>
  <c r="AA84" i="2262"/>
  <c r="AA39" i="2262"/>
  <c r="AH39" i="2262" s="1"/>
  <c r="AI39" i="2262" s="1"/>
  <c r="AP39" i="2262" s="1"/>
  <c r="AA190" i="2262"/>
  <c r="AA155" i="2262"/>
  <c r="AH155" i="2262" s="1"/>
  <c r="AI155" i="2262" s="1"/>
  <c r="AP155" i="2262" s="1"/>
  <c r="AA40" i="2262"/>
  <c r="AA173" i="2262"/>
  <c r="AH173" i="2262" s="1"/>
  <c r="AI173" i="2262" s="1"/>
  <c r="AR173" i="2262" s="1"/>
  <c r="AA75" i="2262"/>
  <c r="AA162" i="2262"/>
  <c r="AH162" i="2262" s="1"/>
  <c r="AI162" i="2262" s="1"/>
  <c r="AA168" i="2262"/>
  <c r="AA187" i="2262"/>
  <c r="AH187" i="2262" s="1"/>
  <c r="AI187" i="2262" s="1"/>
  <c r="AP187" i="2262" s="1"/>
  <c r="AA29" i="2262"/>
  <c r="AA26" i="2262"/>
  <c r="AH26" i="2262" s="1"/>
  <c r="AI26" i="2262" s="1"/>
  <c r="AR26" i="2262" s="1"/>
  <c r="AA24" i="2262"/>
  <c r="AA87" i="2262"/>
  <c r="AH87" i="2262" s="1"/>
  <c r="AI87" i="2262" s="1"/>
  <c r="AP87" i="2262" s="1"/>
  <c r="AA86" i="2262"/>
  <c r="AA59" i="2262"/>
  <c r="AH59" i="2262" s="1"/>
  <c r="AI59" i="2262" s="1"/>
  <c r="AA12" i="2262"/>
  <c r="AA140" i="2262"/>
  <c r="AH140" i="2262" s="1"/>
  <c r="AI140" i="2262" s="1"/>
  <c r="AR140" i="2262" s="1"/>
  <c r="AA141" i="2262"/>
  <c r="AA164" i="2262"/>
  <c r="AH164" i="2262" s="1"/>
  <c r="AI164" i="2262" s="1"/>
  <c r="AR164" i="2262" s="1"/>
  <c r="AA137" i="2262"/>
  <c r="AA189" i="2262"/>
  <c r="AH189" i="2262" s="1"/>
  <c r="AI189" i="2262" s="1"/>
  <c r="AP189" i="2262" s="1"/>
  <c r="AA176" i="2262"/>
  <c r="AA31" i="2262"/>
  <c r="AH31" i="2262" s="1"/>
  <c r="AI31" i="2262" s="1"/>
  <c r="AA19" i="2262"/>
  <c r="AA118" i="2262"/>
  <c r="AH118" i="2262" s="1"/>
  <c r="AI118" i="2262" s="1"/>
  <c r="AR118" i="2262" s="1"/>
  <c r="AA151" i="2262"/>
  <c r="AA49" i="2262"/>
  <c r="AH49" i="2262" s="1"/>
  <c r="AI49" i="2262" s="1"/>
  <c r="AA159" i="2262"/>
  <c r="AA167" i="2262"/>
  <c r="AH167" i="2262" s="1"/>
  <c r="AI167" i="2262" s="1"/>
  <c r="AP167" i="2262" s="1"/>
  <c r="AA183" i="2262"/>
  <c r="AA78" i="2262"/>
  <c r="AH78" i="2262" s="1"/>
  <c r="AI78" i="2262" s="1"/>
  <c r="AR78" i="2262" s="1"/>
  <c r="AA131" i="2262"/>
  <c r="AA96" i="2262"/>
  <c r="AH96" i="2262" s="1"/>
  <c r="AI96" i="2262" s="1"/>
  <c r="AA9" i="2262"/>
  <c r="AA186" i="2262"/>
  <c r="AH186" i="2262" s="1"/>
  <c r="AI186" i="2262" s="1"/>
  <c r="AR186" i="2262" s="1"/>
  <c r="AA53" i="2262"/>
  <c r="AA10" i="2262"/>
  <c r="AH10" i="2262" s="1"/>
  <c r="AI10" i="2262" s="1"/>
  <c r="AA80" i="2262"/>
  <c r="AA56" i="2262"/>
  <c r="AH56" i="2262" s="1"/>
  <c r="AI56" i="2262" s="1"/>
  <c r="AA41" i="2262"/>
  <c r="AA90" i="2262"/>
  <c r="AH90" i="2262" s="1"/>
  <c r="AI90" i="2262" s="1"/>
  <c r="AP90" i="2262" s="1"/>
  <c r="AA67" i="2262"/>
  <c r="AA62" i="2262"/>
  <c r="AH62" i="2262" s="1"/>
  <c r="AI62" i="2262" s="1"/>
  <c r="AA188" i="2262"/>
  <c r="AA51" i="2262"/>
  <c r="AH51" i="2262" s="1"/>
  <c r="AI51" i="2262" s="1"/>
  <c r="AQ51" i="2262" s="1"/>
  <c r="AA165" i="2262"/>
  <c r="AA97" i="2262"/>
  <c r="AH97" i="2262" s="1"/>
  <c r="AI97" i="2262" s="1"/>
  <c r="AQ97" i="2262" s="1"/>
  <c r="AA95" i="2262"/>
  <c r="AA47" i="2262"/>
  <c r="AH47" i="2262" s="1"/>
  <c r="AI47" i="2262" s="1"/>
  <c r="AQ47" i="2262" s="1"/>
  <c r="AA52" i="2262"/>
  <c r="AA120" i="2262"/>
  <c r="AH120" i="2262" s="1"/>
  <c r="AI120" i="2262" s="1"/>
  <c r="AA68" i="2262"/>
  <c r="AA128" i="2262"/>
  <c r="AH128" i="2262" s="1"/>
  <c r="AI128" i="2262" s="1"/>
  <c r="AP128" i="2262" s="1"/>
  <c r="AA181" i="2262"/>
  <c r="AA174" i="2262"/>
  <c r="AH174" i="2262" s="1"/>
  <c r="AI174" i="2262" s="1"/>
  <c r="AP174" i="2262" s="1"/>
  <c r="AA170" i="2262"/>
  <c r="AA166" i="2262"/>
  <c r="AH166" i="2262" s="1"/>
  <c r="AI166" i="2262" s="1"/>
  <c r="AP166" i="2262" s="1"/>
  <c r="AA23" i="2262"/>
  <c r="AA20" i="2262"/>
  <c r="AH20" i="2262" s="1"/>
  <c r="AI20" i="2262" s="1"/>
  <c r="AA149" i="2262"/>
  <c r="AA134" i="2262"/>
  <c r="AH134" i="2262" s="1"/>
  <c r="AI134" i="2262" s="1"/>
  <c r="AP134" i="2262" s="1"/>
  <c r="AA121" i="2262"/>
  <c r="AA37" i="2262"/>
  <c r="AH37" i="2262" s="1"/>
  <c r="AI37" i="2262" s="1"/>
  <c r="AA101" i="2262"/>
  <c r="AA129" i="2262"/>
  <c r="AH129" i="2262" s="1"/>
  <c r="AI129" i="2262" s="1"/>
  <c r="AA184" i="2262"/>
  <c r="AA102" i="2262"/>
  <c r="AH102" i="2262" s="1"/>
  <c r="AI102" i="2262" s="1"/>
  <c r="AP102" i="2262" s="1"/>
  <c r="AA138" i="2262"/>
  <c r="AA76" i="2262"/>
  <c r="AH76" i="2262" s="1"/>
  <c r="AA50" i="2262"/>
  <c r="AH50" i="2262" s="1"/>
  <c r="AI50" i="2262" s="1"/>
  <c r="AZ50" i="2262" s="1"/>
  <c r="AA124" i="2262"/>
  <c r="AH124" i="2262" s="1"/>
  <c r="AA150" i="2262"/>
  <c r="AA8" i="2262"/>
  <c r="AH8" i="2262" s="1"/>
  <c r="AA15" i="2262"/>
  <c r="AH15" i="2262" s="1"/>
  <c r="AI15" i="2262" s="1"/>
  <c r="AZ15" i="2262" s="1"/>
  <c r="AA192" i="2262"/>
  <c r="AH192" i="2262" s="1"/>
  <c r="AA100" i="2262"/>
  <c r="AA157" i="2262"/>
  <c r="AH157" i="2262" s="1"/>
  <c r="AA64" i="2262"/>
  <c r="AH64" i="2262" s="1"/>
  <c r="AI64" i="2262" s="1"/>
  <c r="AA22" i="2262"/>
  <c r="AA156" i="2262"/>
  <c r="AA70" i="2262"/>
  <c r="AA54" i="2262"/>
  <c r="AA46" i="2262"/>
  <c r="AA44" i="2262"/>
  <c r="AH44" i="2262" s="1"/>
  <c r="AI44" i="2262" s="1"/>
  <c r="AV44" i="2262" s="1"/>
  <c r="AA45" i="2262"/>
  <c r="AQ185" i="2262" l="1"/>
  <c r="AR185" i="2262"/>
  <c r="AI158" i="2262"/>
  <c r="AV158" i="2262" s="1"/>
  <c r="AI122" i="2262"/>
  <c r="AY122" i="2262" s="1"/>
  <c r="AY32" i="2262"/>
  <c r="AW174" i="2262"/>
  <c r="AP20" i="2262"/>
  <c r="AW20" i="2262"/>
  <c r="AR74" i="2262"/>
  <c r="AX74" i="2262"/>
  <c r="AP143" i="2262"/>
  <c r="AW143" i="2262"/>
  <c r="AP179" i="2262"/>
  <c r="AW179" i="2262"/>
  <c r="AR96" i="2262"/>
  <c r="AX96" i="2262"/>
  <c r="AP31" i="2262"/>
  <c r="AW31" i="2262"/>
  <c r="AP59" i="2262"/>
  <c r="AW59" i="2262"/>
  <c r="AR162" i="2262"/>
  <c r="AX162" i="2262"/>
  <c r="AP120" i="2262"/>
  <c r="AW120" i="2262"/>
  <c r="AP62" i="2262"/>
  <c r="AW62" i="2262"/>
  <c r="AX97" i="2262"/>
  <c r="AW167" i="2262"/>
  <c r="AX164" i="2262"/>
  <c r="AY26" i="2262"/>
  <c r="AW155" i="2262"/>
  <c r="AY14" i="2262"/>
  <c r="AW27" i="2262"/>
  <c r="AX185" i="2262"/>
  <c r="AQ129" i="2262"/>
  <c r="AO129" i="2262"/>
  <c r="AX129" i="2262"/>
  <c r="AR56" i="2262"/>
  <c r="AP56" i="2262"/>
  <c r="AY56" i="2262"/>
  <c r="AZ44" i="2262"/>
  <c r="AH156" i="2262"/>
  <c r="AI156" i="2262" s="1"/>
  <c r="AH150" i="2262"/>
  <c r="AI150" i="2262" s="1"/>
  <c r="AO102" i="2262"/>
  <c r="AO134" i="2262"/>
  <c r="AO166" i="2262"/>
  <c r="AO128" i="2262"/>
  <c r="AO47" i="2262"/>
  <c r="AO51" i="2262"/>
  <c r="AO90" i="2262"/>
  <c r="AP186" i="2262"/>
  <c r="AP78" i="2262"/>
  <c r="AP118" i="2262"/>
  <c r="AQ189" i="2262"/>
  <c r="AP140" i="2262"/>
  <c r="AQ87" i="2262"/>
  <c r="AQ187" i="2262"/>
  <c r="AW173" i="2262"/>
  <c r="AQ39" i="2262"/>
  <c r="AP180" i="2262"/>
  <c r="AQ99" i="2262"/>
  <c r="AQ13" i="2262"/>
  <c r="AQ43" i="2262"/>
  <c r="BA7" i="2262"/>
  <c r="AH35" i="2262"/>
  <c r="AI35" i="2262" s="1"/>
  <c r="AO35" i="2262" s="1"/>
  <c r="AP147" i="2262"/>
  <c r="AH100" i="2262"/>
  <c r="AI100" i="2262" s="1"/>
  <c r="AW102" i="2262"/>
  <c r="AW134" i="2262"/>
  <c r="AO20" i="2262"/>
  <c r="AW166" i="2262"/>
  <c r="AO174" i="2262"/>
  <c r="AW128" i="2262"/>
  <c r="AO120" i="2262"/>
  <c r="AX47" i="2262"/>
  <c r="AO97" i="2262"/>
  <c r="AX51" i="2262"/>
  <c r="AO62" i="2262"/>
  <c r="AW90" i="2262"/>
  <c r="AX186" i="2262"/>
  <c r="AP96" i="2262"/>
  <c r="AX78" i="2262"/>
  <c r="AQ167" i="2262"/>
  <c r="AX118" i="2262"/>
  <c r="AQ31" i="2262"/>
  <c r="AW189" i="2262"/>
  <c r="AP164" i="2262"/>
  <c r="AX140" i="2262"/>
  <c r="AQ59" i="2262"/>
  <c r="AW87" i="2262"/>
  <c r="AP26" i="2262"/>
  <c r="AW187" i="2262"/>
  <c r="AW162" i="2262"/>
  <c r="AV173" i="2262"/>
  <c r="AQ155" i="2262"/>
  <c r="AW39" i="2262"/>
  <c r="AP74" i="2262"/>
  <c r="AX180" i="2262"/>
  <c r="AP14" i="2262"/>
  <c r="AW99" i="2262"/>
  <c r="AQ143" i="2262"/>
  <c r="AX13" i="2262"/>
  <c r="AQ27" i="2262"/>
  <c r="AW43" i="2262"/>
  <c r="AQ179" i="2262"/>
  <c r="AY48" i="2262"/>
  <c r="AW7" i="2262"/>
  <c r="AH142" i="2262"/>
  <c r="AI142" i="2262" s="1"/>
  <c r="AH21" i="2262"/>
  <c r="AI21" i="2262" s="1"/>
  <c r="AH92" i="2262"/>
  <c r="AI92" i="2262" s="1"/>
  <c r="AH112" i="2262"/>
  <c r="AI112" i="2262" s="1"/>
  <c r="AP89" i="2262"/>
  <c r="AH152" i="2262"/>
  <c r="AI152" i="2262" s="1"/>
  <c r="AQ152" i="2262" s="1"/>
  <c r="AI105" i="2262"/>
  <c r="AP105" i="2262" s="1"/>
  <c r="AI161" i="2262"/>
  <c r="AO161" i="2262" s="1"/>
  <c r="AI108" i="2262"/>
  <c r="AR108" i="2262" s="1"/>
  <c r="AI117" i="2262"/>
  <c r="AY117" i="2262" s="1"/>
  <c r="AH45" i="2262"/>
  <c r="AI45" i="2262" s="1"/>
  <c r="AH46" i="2262"/>
  <c r="AI46" i="2262" s="1"/>
  <c r="AZ64" i="2262"/>
  <c r="AP64" i="2262"/>
  <c r="AV64" i="2262"/>
  <c r="AO64" i="2262"/>
  <c r="AQ64" i="2262"/>
  <c r="AW64" i="2262"/>
  <c r="AR64" i="2262"/>
  <c r="AY64" i="2262"/>
  <c r="AX64" i="2262"/>
  <c r="AO10" i="2262"/>
  <c r="AS10" i="2262"/>
  <c r="AW10" i="2262"/>
  <c r="AV10" i="2262"/>
  <c r="AX10" i="2262"/>
  <c r="BA10" i="2262"/>
  <c r="AZ10" i="2262"/>
  <c r="AQ10" i="2262"/>
  <c r="AY10" i="2262"/>
  <c r="AR10" i="2262"/>
  <c r="AP10" i="2262"/>
  <c r="AX44" i="2262"/>
  <c r="AO44" i="2262"/>
  <c r="AQ44" i="2262"/>
  <c r="BA44" i="2262"/>
  <c r="AR44" i="2262"/>
  <c r="AS44" i="2262"/>
  <c r="AP44" i="2262"/>
  <c r="AW44" i="2262"/>
  <c r="AY44" i="2262"/>
  <c r="AH70" i="2262"/>
  <c r="AI70" i="2262" s="1"/>
  <c r="AH22" i="2262"/>
  <c r="AI22" i="2262" s="1"/>
  <c r="BA64" i="2262"/>
  <c r="AS64" i="2262"/>
  <c r="AO49" i="2262"/>
  <c r="AR49" i="2262"/>
  <c r="AX49" i="2262"/>
  <c r="AV49" i="2262"/>
  <c r="AY49" i="2262"/>
  <c r="BA49" i="2262"/>
  <c r="AZ49" i="2262"/>
  <c r="AS49" i="2262"/>
  <c r="AW49" i="2262"/>
  <c r="AP49" i="2262"/>
  <c r="AQ49" i="2262"/>
  <c r="AO61" i="2262"/>
  <c r="AR61" i="2262"/>
  <c r="AX61" i="2262"/>
  <c r="AV61" i="2262"/>
  <c r="BA61" i="2262"/>
  <c r="AZ61" i="2262"/>
  <c r="AY61" i="2262"/>
  <c r="AP61" i="2262"/>
  <c r="AS61" i="2262"/>
  <c r="AW61" i="2262"/>
  <c r="AQ61" i="2262"/>
  <c r="BA37" i="2262"/>
  <c r="AP37" i="2262"/>
  <c r="AV37" i="2262"/>
  <c r="AS37" i="2262"/>
  <c r="AW37" i="2262"/>
  <c r="AZ37" i="2262"/>
  <c r="AY37" i="2262"/>
  <c r="AR37" i="2262"/>
  <c r="AX37" i="2262"/>
  <c r="AQ37" i="2262"/>
  <c r="AO37" i="2262"/>
  <c r="AP15" i="2262"/>
  <c r="BA15" i="2262"/>
  <c r="AX15" i="2262"/>
  <c r="AY15" i="2262"/>
  <c r="AW15" i="2262"/>
  <c r="AR50" i="2262"/>
  <c r="BA50" i="2262"/>
  <c r="AX50" i="2262"/>
  <c r="AY50" i="2262"/>
  <c r="AS50" i="2262"/>
  <c r="AH138" i="2262"/>
  <c r="AI138" i="2262" s="1"/>
  <c r="AH184" i="2262"/>
  <c r="AI184" i="2262" s="1"/>
  <c r="AH101" i="2262"/>
  <c r="AI101" i="2262" s="1"/>
  <c r="AH121" i="2262"/>
  <c r="AI121" i="2262" s="1"/>
  <c r="AH149" i="2262"/>
  <c r="AI149" i="2262" s="1"/>
  <c r="AH23" i="2262"/>
  <c r="AI23" i="2262" s="1"/>
  <c r="AH170" i="2262"/>
  <c r="AI170" i="2262" s="1"/>
  <c r="AH181" i="2262"/>
  <c r="AI181" i="2262" s="1"/>
  <c r="AH68" i="2262"/>
  <c r="AI68" i="2262" s="1"/>
  <c r="AH95" i="2262"/>
  <c r="AI95" i="2262" s="1"/>
  <c r="AH165" i="2262"/>
  <c r="AI165" i="2262" s="1"/>
  <c r="AH188" i="2262"/>
  <c r="AI188" i="2262" s="1"/>
  <c r="AH67" i="2262"/>
  <c r="AI67" i="2262" s="1"/>
  <c r="AH41" i="2262"/>
  <c r="AI41" i="2262" s="1"/>
  <c r="AH80" i="2262"/>
  <c r="AI80" i="2262" s="1"/>
  <c r="AH53" i="2262"/>
  <c r="AI53" i="2262" s="1"/>
  <c r="AH9" i="2262"/>
  <c r="AI9" i="2262" s="1"/>
  <c r="AH131" i="2262"/>
  <c r="AI131" i="2262" s="1"/>
  <c r="AH183" i="2262"/>
  <c r="AI183" i="2262" s="1"/>
  <c r="AH159" i="2262"/>
  <c r="AI159" i="2262" s="1"/>
  <c r="AH151" i="2262"/>
  <c r="AI151" i="2262" s="1"/>
  <c r="AH19" i="2262"/>
  <c r="AI19" i="2262" s="1"/>
  <c r="AH176" i="2262"/>
  <c r="AI176" i="2262" s="1"/>
  <c r="AH137" i="2262"/>
  <c r="AI137" i="2262" s="1"/>
  <c r="AH141" i="2262"/>
  <c r="AI141" i="2262" s="1"/>
  <c r="AH12" i="2262"/>
  <c r="AI12" i="2262" s="1"/>
  <c r="AH86" i="2262"/>
  <c r="AI86" i="2262" s="1"/>
  <c r="AH24" i="2262"/>
  <c r="AI24" i="2262" s="1"/>
  <c r="AH29" i="2262"/>
  <c r="AI29" i="2262" s="1"/>
  <c r="AH168" i="2262"/>
  <c r="AI168" i="2262" s="1"/>
  <c r="AH75" i="2262"/>
  <c r="AI75" i="2262" s="1"/>
  <c r="AH40" i="2262"/>
  <c r="AI40" i="2262" s="1"/>
  <c r="AH190" i="2262"/>
  <c r="AI190" i="2262" s="1"/>
  <c r="AH84" i="2262"/>
  <c r="AI84" i="2262" s="1"/>
  <c r="AH177" i="2262"/>
  <c r="AI177" i="2262" s="1"/>
  <c r="AH127" i="2262"/>
  <c r="AI127" i="2262" s="1"/>
  <c r="AH98" i="2262"/>
  <c r="AI98" i="2262" s="1"/>
  <c r="AH136" i="2262"/>
  <c r="AI136" i="2262" s="1"/>
  <c r="AH66" i="2262"/>
  <c r="AI66" i="2262" s="1"/>
  <c r="AO57" i="2262"/>
  <c r="AR57" i="2262"/>
  <c r="AX57" i="2262"/>
  <c r="AV57" i="2262"/>
  <c r="AY57" i="2262"/>
  <c r="BA57" i="2262"/>
  <c r="AZ57" i="2262"/>
  <c r="AS57" i="2262"/>
  <c r="AP57" i="2262"/>
  <c r="AH38" i="2262"/>
  <c r="AI38" i="2262" s="1"/>
  <c r="AH28" i="2262"/>
  <c r="AI28" i="2262" s="1"/>
  <c r="BA71" i="2262"/>
  <c r="AP71" i="2262"/>
  <c r="AV71" i="2262"/>
  <c r="AS71" i="2262"/>
  <c r="AW71" i="2262"/>
  <c r="AZ71" i="2262"/>
  <c r="AY71" i="2262"/>
  <c r="AR71" i="2262"/>
  <c r="AQ71" i="2262"/>
  <c r="AH160" i="2262"/>
  <c r="AI160" i="2262" s="1"/>
  <c r="AO94" i="2262"/>
  <c r="AQ94" i="2262"/>
  <c r="AW94" i="2262"/>
  <c r="AS94" i="2262"/>
  <c r="AY94" i="2262"/>
  <c r="AX94" i="2262"/>
  <c r="AR94" i="2262"/>
  <c r="AP94" i="2262"/>
  <c r="AZ94" i="2262"/>
  <c r="AV94" i="2262"/>
  <c r="AO58" i="2262"/>
  <c r="AQ58" i="2262"/>
  <c r="AW58" i="2262"/>
  <c r="AS58" i="2262"/>
  <c r="AY58" i="2262"/>
  <c r="AX58" i="2262"/>
  <c r="AR58" i="2262"/>
  <c r="AP58" i="2262"/>
  <c r="AZ58" i="2262"/>
  <c r="AV58" i="2262"/>
  <c r="AH52" i="2262"/>
  <c r="AI52" i="2262" s="1"/>
  <c r="AO32" i="2262"/>
  <c r="AQ32" i="2262"/>
  <c r="AW32" i="2262"/>
  <c r="AS32" i="2262"/>
  <c r="AX32" i="2262"/>
  <c r="BA32" i="2262"/>
  <c r="AZ32" i="2262"/>
  <c r="AV32" i="2262"/>
  <c r="AX16" i="2262"/>
  <c r="AO16" i="2262"/>
  <c r="AQ16" i="2262"/>
  <c r="AW16" i="2262"/>
  <c r="AP16" i="2262"/>
  <c r="BA16" i="2262"/>
  <c r="AV16" i="2262"/>
  <c r="AY16" i="2262"/>
  <c r="AZ16" i="2262"/>
  <c r="AR16" i="2262"/>
  <c r="AH171" i="2262"/>
  <c r="AI171" i="2262" s="1"/>
  <c r="BA34" i="2262"/>
  <c r="AR34" i="2262"/>
  <c r="AS34" i="2262"/>
  <c r="AO34" i="2262"/>
  <c r="AV34" i="2262"/>
  <c r="AW34" i="2262"/>
  <c r="AP34" i="2262"/>
  <c r="AQ34" i="2262"/>
  <c r="AX34" i="2262"/>
  <c r="AZ34" i="2262"/>
  <c r="AY34" i="2262"/>
  <c r="AO79" i="2262"/>
  <c r="AR79" i="2262"/>
  <c r="AX79" i="2262"/>
  <c r="AV79" i="2262"/>
  <c r="AY79" i="2262"/>
  <c r="AW79" i="2262"/>
  <c r="AP79" i="2262"/>
  <c r="AQ79" i="2262"/>
  <c r="BA79" i="2262"/>
  <c r="AS79" i="2262"/>
  <c r="AZ81" i="2262"/>
  <c r="AQ81" i="2262"/>
  <c r="AS81" i="2262"/>
  <c r="AO81" i="2262"/>
  <c r="AX81" i="2262"/>
  <c r="BA81" i="2262"/>
  <c r="AV81" i="2262"/>
  <c r="AW81" i="2262"/>
  <c r="AY81" i="2262"/>
  <c r="AP81" i="2262"/>
  <c r="AH54" i="2262"/>
  <c r="AI54" i="2262" s="1"/>
  <c r="AI157" i="2262"/>
  <c r="AI192" i="2262"/>
  <c r="AV15" i="2262"/>
  <c r="AR15" i="2262"/>
  <c r="AO15" i="2262"/>
  <c r="AS15" i="2262"/>
  <c r="AQ15" i="2262"/>
  <c r="AI8" i="2262"/>
  <c r="AI124" i="2262"/>
  <c r="AW50" i="2262"/>
  <c r="AQ50" i="2262"/>
  <c r="AO50" i="2262"/>
  <c r="AV50" i="2262"/>
  <c r="AP50" i="2262"/>
  <c r="AI76" i="2262"/>
  <c r="BA102" i="2262"/>
  <c r="AR102" i="2262"/>
  <c r="AS102" i="2262"/>
  <c r="AV102" i="2262"/>
  <c r="AX102" i="2262"/>
  <c r="AQ102" i="2262"/>
  <c r="AY102" i="2262"/>
  <c r="AZ102" i="2262"/>
  <c r="BA129" i="2262"/>
  <c r="AP129" i="2262"/>
  <c r="AV129" i="2262"/>
  <c r="AS129" i="2262"/>
  <c r="AW129" i="2262"/>
  <c r="AR129" i="2262"/>
  <c r="AY129" i="2262"/>
  <c r="AZ129" i="2262"/>
  <c r="BA134" i="2262"/>
  <c r="AR134" i="2262"/>
  <c r="AS134" i="2262"/>
  <c r="AV134" i="2262"/>
  <c r="AX134" i="2262"/>
  <c r="AQ134" i="2262"/>
  <c r="AY134" i="2262"/>
  <c r="AZ134" i="2262"/>
  <c r="BA20" i="2262"/>
  <c r="AR20" i="2262"/>
  <c r="AS20" i="2262"/>
  <c r="AV20" i="2262"/>
  <c r="AY20" i="2262"/>
  <c r="AQ20" i="2262"/>
  <c r="AX20" i="2262"/>
  <c r="AZ20" i="2262"/>
  <c r="BA166" i="2262"/>
  <c r="AR166" i="2262"/>
  <c r="AS166" i="2262"/>
  <c r="AV166" i="2262"/>
  <c r="AX166" i="2262"/>
  <c r="AQ166" i="2262"/>
  <c r="AY166" i="2262"/>
  <c r="AZ166" i="2262"/>
  <c r="BA174" i="2262"/>
  <c r="AR174" i="2262"/>
  <c r="AS174" i="2262"/>
  <c r="AV174" i="2262"/>
  <c r="AX174" i="2262"/>
  <c r="AQ174" i="2262"/>
  <c r="AY174" i="2262"/>
  <c r="AZ174" i="2262"/>
  <c r="BA128" i="2262"/>
  <c r="AR128" i="2262"/>
  <c r="AS128" i="2262"/>
  <c r="AV128" i="2262"/>
  <c r="AX128" i="2262"/>
  <c r="AQ128" i="2262"/>
  <c r="AY128" i="2262"/>
  <c r="AZ128" i="2262"/>
  <c r="BA120" i="2262"/>
  <c r="AR120" i="2262"/>
  <c r="AS120" i="2262"/>
  <c r="AV120" i="2262"/>
  <c r="AX120" i="2262"/>
  <c r="AQ120" i="2262"/>
  <c r="AY120" i="2262"/>
  <c r="AZ120" i="2262"/>
  <c r="BA47" i="2262"/>
  <c r="AP47" i="2262"/>
  <c r="AV47" i="2262"/>
  <c r="AS47" i="2262"/>
  <c r="AW47" i="2262"/>
  <c r="AR47" i="2262"/>
  <c r="AY47" i="2262"/>
  <c r="AZ47" i="2262"/>
  <c r="BA97" i="2262"/>
  <c r="AP97" i="2262"/>
  <c r="AV97" i="2262"/>
  <c r="AS97" i="2262"/>
  <c r="AW97" i="2262"/>
  <c r="AR97" i="2262"/>
  <c r="AY97" i="2262"/>
  <c r="AZ97" i="2262"/>
  <c r="BA51" i="2262"/>
  <c r="AP51" i="2262"/>
  <c r="AV51" i="2262"/>
  <c r="AS51" i="2262"/>
  <c r="AW51" i="2262"/>
  <c r="AR51" i="2262"/>
  <c r="AY51" i="2262"/>
  <c r="AZ51" i="2262"/>
  <c r="BA62" i="2262"/>
  <c r="AR62" i="2262"/>
  <c r="AS62" i="2262"/>
  <c r="AV62" i="2262"/>
  <c r="AX62" i="2262"/>
  <c r="AQ62" i="2262"/>
  <c r="AY62" i="2262"/>
  <c r="AZ62" i="2262"/>
  <c r="BA90" i="2262"/>
  <c r="AR90" i="2262"/>
  <c r="AS90" i="2262"/>
  <c r="AV90" i="2262"/>
  <c r="AX90" i="2262"/>
  <c r="AQ90" i="2262"/>
  <c r="AY90" i="2262"/>
  <c r="AZ90" i="2262"/>
  <c r="AO56" i="2262"/>
  <c r="AQ56" i="2262"/>
  <c r="AW56" i="2262"/>
  <c r="AS56" i="2262"/>
  <c r="AX56" i="2262"/>
  <c r="AV56" i="2262"/>
  <c r="AZ56" i="2262"/>
  <c r="BA56" i="2262"/>
  <c r="AO186" i="2262"/>
  <c r="AQ186" i="2262"/>
  <c r="AW186" i="2262"/>
  <c r="AS186" i="2262"/>
  <c r="AY186" i="2262"/>
  <c r="AV186" i="2262"/>
  <c r="AZ186" i="2262"/>
  <c r="BA186" i="2262"/>
  <c r="AO96" i="2262"/>
  <c r="AQ96" i="2262"/>
  <c r="AW96" i="2262"/>
  <c r="AS96" i="2262"/>
  <c r="AY96" i="2262"/>
  <c r="AV96" i="2262"/>
  <c r="AZ96" i="2262"/>
  <c r="BA96" i="2262"/>
  <c r="AO78" i="2262"/>
  <c r="AQ78" i="2262"/>
  <c r="AW78" i="2262"/>
  <c r="AS78" i="2262"/>
  <c r="AY78" i="2262"/>
  <c r="AV78" i="2262"/>
  <c r="AZ78" i="2262"/>
  <c r="BA78" i="2262"/>
  <c r="AO167" i="2262"/>
  <c r="AR167" i="2262"/>
  <c r="AX167" i="2262"/>
  <c r="AV167" i="2262"/>
  <c r="AY167" i="2262"/>
  <c r="AS167" i="2262"/>
  <c r="AZ167" i="2262"/>
  <c r="BA167" i="2262"/>
  <c r="AO118" i="2262"/>
  <c r="AQ118" i="2262"/>
  <c r="AW118" i="2262"/>
  <c r="AS118" i="2262"/>
  <c r="AY118" i="2262"/>
  <c r="AV118" i="2262"/>
  <c r="AZ118" i="2262"/>
  <c r="BA118" i="2262"/>
  <c r="AO31" i="2262"/>
  <c r="AR31" i="2262"/>
  <c r="AX31" i="2262"/>
  <c r="AV31" i="2262"/>
  <c r="AY31" i="2262"/>
  <c r="AS31" i="2262"/>
  <c r="AZ31" i="2262"/>
  <c r="BA31" i="2262"/>
  <c r="AO189" i="2262"/>
  <c r="AR189" i="2262"/>
  <c r="AX189" i="2262"/>
  <c r="AV189" i="2262"/>
  <c r="AY189" i="2262"/>
  <c r="AS189" i="2262"/>
  <c r="AZ189" i="2262"/>
  <c r="BA189" i="2262"/>
  <c r="AO164" i="2262"/>
  <c r="AQ164" i="2262"/>
  <c r="AW164" i="2262"/>
  <c r="AS164" i="2262"/>
  <c r="AY164" i="2262"/>
  <c r="AV164" i="2262"/>
  <c r="AZ164" i="2262"/>
  <c r="BA164" i="2262"/>
  <c r="AO140" i="2262"/>
  <c r="AQ140" i="2262"/>
  <c r="AW140" i="2262"/>
  <c r="AS140" i="2262"/>
  <c r="AY140" i="2262"/>
  <c r="AV140" i="2262"/>
  <c r="AZ140" i="2262"/>
  <c r="BA140" i="2262"/>
  <c r="AO59" i="2262"/>
  <c r="AR59" i="2262"/>
  <c r="AX59" i="2262"/>
  <c r="AV59" i="2262"/>
  <c r="AY59" i="2262"/>
  <c r="AS59" i="2262"/>
  <c r="AZ59" i="2262"/>
  <c r="BA59" i="2262"/>
  <c r="AO87" i="2262"/>
  <c r="AR87" i="2262"/>
  <c r="AX87" i="2262"/>
  <c r="AV87" i="2262"/>
  <c r="AY87" i="2262"/>
  <c r="AS87" i="2262"/>
  <c r="AZ87" i="2262"/>
  <c r="BA87" i="2262"/>
  <c r="AO26" i="2262"/>
  <c r="AQ26" i="2262"/>
  <c r="AW26" i="2262"/>
  <c r="AS26" i="2262"/>
  <c r="AX26" i="2262"/>
  <c r="AV26" i="2262"/>
  <c r="AZ26" i="2262"/>
  <c r="BA26" i="2262"/>
  <c r="AO187" i="2262"/>
  <c r="AR187" i="2262"/>
  <c r="AX187" i="2262"/>
  <c r="AV187" i="2262"/>
  <c r="AY187" i="2262"/>
  <c r="AS187" i="2262"/>
  <c r="AZ187" i="2262"/>
  <c r="BA187" i="2262"/>
  <c r="AO162" i="2262"/>
  <c r="AY162" i="2262"/>
  <c r="AP162" i="2262"/>
  <c r="BA162" i="2262"/>
  <c r="AQ162" i="2262"/>
  <c r="AV162" i="2262"/>
  <c r="AZ162" i="2262"/>
  <c r="AS162" i="2262"/>
  <c r="AZ173" i="2262"/>
  <c r="AQ173" i="2262"/>
  <c r="AO173" i="2262"/>
  <c r="AX173" i="2262"/>
  <c r="BA173" i="2262"/>
  <c r="AS173" i="2262"/>
  <c r="AP173" i="2262"/>
  <c r="AY173" i="2262"/>
  <c r="AO155" i="2262"/>
  <c r="AR155" i="2262"/>
  <c r="AX155" i="2262"/>
  <c r="AV155" i="2262"/>
  <c r="AY155" i="2262"/>
  <c r="AS155" i="2262"/>
  <c r="AZ155" i="2262"/>
  <c r="BA155" i="2262"/>
  <c r="AO39" i="2262"/>
  <c r="AR39" i="2262"/>
  <c r="AX39" i="2262"/>
  <c r="AV39" i="2262"/>
  <c r="AY39" i="2262"/>
  <c r="AS39" i="2262"/>
  <c r="AZ39" i="2262"/>
  <c r="BA39" i="2262"/>
  <c r="AO74" i="2262"/>
  <c r="AQ74" i="2262"/>
  <c r="AW74" i="2262"/>
  <c r="AS74" i="2262"/>
  <c r="AY74" i="2262"/>
  <c r="AV74" i="2262"/>
  <c r="AZ74" i="2262"/>
  <c r="BA74" i="2262"/>
  <c r="AH178" i="2262"/>
  <c r="AI178" i="2262" s="1"/>
  <c r="AH63" i="2262"/>
  <c r="AI63" i="2262" s="1"/>
  <c r="AH146" i="2262"/>
  <c r="AI146" i="2262" s="1"/>
  <c r="AI154" i="2262"/>
  <c r="AQ57" i="2262"/>
  <c r="AW57" i="2262"/>
  <c r="AH65" i="2262"/>
  <c r="AI65" i="2262" s="1"/>
  <c r="AO48" i="2262"/>
  <c r="AQ48" i="2262"/>
  <c r="AW48" i="2262"/>
  <c r="AS48" i="2262"/>
  <c r="AX48" i="2262"/>
  <c r="BA48" i="2262"/>
  <c r="AZ48" i="2262"/>
  <c r="AV48" i="2262"/>
  <c r="AR48" i="2262"/>
  <c r="AH119" i="2262"/>
  <c r="AI119" i="2262" s="1"/>
  <c r="AR32" i="2262"/>
  <c r="AH42" i="2262"/>
  <c r="AI42" i="2262" s="1"/>
  <c r="AO71" i="2262"/>
  <c r="AX71" i="2262"/>
  <c r="BA94" i="2262"/>
  <c r="BA58" i="2262"/>
  <c r="AS16" i="2262"/>
  <c r="AR81" i="2262"/>
  <c r="AH144" i="2262"/>
  <c r="AI144" i="2262" s="1"/>
  <c r="AO180" i="2262"/>
  <c r="AQ180" i="2262"/>
  <c r="AW180" i="2262"/>
  <c r="AS180" i="2262"/>
  <c r="AY180" i="2262"/>
  <c r="AV180" i="2262"/>
  <c r="AZ180" i="2262"/>
  <c r="BA180" i="2262"/>
  <c r="AO14" i="2262"/>
  <c r="AS14" i="2262"/>
  <c r="AW14" i="2262"/>
  <c r="AV14" i="2262"/>
  <c r="AX14" i="2262"/>
  <c r="AQ14" i="2262"/>
  <c r="AZ14" i="2262"/>
  <c r="BA14" i="2262"/>
  <c r="AO99" i="2262"/>
  <c r="AR99" i="2262"/>
  <c r="AX99" i="2262"/>
  <c r="AV99" i="2262"/>
  <c r="AY99" i="2262"/>
  <c r="AS99" i="2262"/>
  <c r="AZ99" i="2262"/>
  <c r="BA99" i="2262"/>
  <c r="AO143" i="2262"/>
  <c r="AR143" i="2262"/>
  <c r="AX143" i="2262"/>
  <c r="AV143" i="2262"/>
  <c r="AY143" i="2262"/>
  <c r="AS143" i="2262"/>
  <c r="AZ143" i="2262"/>
  <c r="BA143" i="2262"/>
  <c r="AO13" i="2262"/>
  <c r="AR13" i="2262"/>
  <c r="AV13" i="2262"/>
  <c r="AW13" i="2262"/>
  <c r="AY13" i="2262"/>
  <c r="AS13" i="2262"/>
  <c r="AZ13" i="2262"/>
  <c r="BA13" i="2262"/>
  <c r="AO27" i="2262"/>
  <c r="AR27" i="2262"/>
  <c r="AX27" i="2262"/>
  <c r="AV27" i="2262"/>
  <c r="AY27" i="2262"/>
  <c r="AS27" i="2262"/>
  <c r="AZ27" i="2262"/>
  <c r="BA27" i="2262"/>
  <c r="AO43" i="2262"/>
  <c r="AR43" i="2262"/>
  <c r="AX43" i="2262"/>
  <c r="AV43" i="2262"/>
  <c r="AY43" i="2262"/>
  <c r="AS43" i="2262"/>
  <c r="AZ43" i="2262"/>
  <c r="BA43" i="2262"/>
  <c r="AO179" i="2262"/>
  <c r="AR179" i="2262"/>
  <c r="AX179" i="2262"/>
  <c r="AV179" i="2262"/>
  <c r="AY179" i="2262"/>
  <c r="AS179" i="2262"/>
  <c r="AZ179" i="2262"/>
  <c r="BA179" i="2262"/>
  <c r="AZ7" i="2262"/>
  <c r="AQ7" i="2262"/>
  <c r="AS7" i="2262"/>
  <c r="AR7" i="2262"/>
  <c r="AV7" i="2262"/>
  <c r="AP7" i="2262"/>
  <c r="AT7" i="2262" s="1"/>
  <c r="AX7" i="2262"/>
  <c r="AY7" i="2262"/>
  <c r="BA172" i="2262"/>
  <c r="AR172" i="2262"/>
  <c r="AS172" i="2262"/>
  <c r="AV172" i="2262"/>
  <c r="AX172" i="2262"/>
  <c r="AW172" i="2262"/>
  <c r="AP172" i="2262"/>
  <c r="AO172" i="2262"/>
  <c r="AQ172" i="2262"/>
  <c r="AZ172" i="2262"/>
  <c r="AO125" i="2262"/>
  <c r="AR125" i="2262"/>
  <c r="AX125" i="2262"/>
  <c r="AV125" i="2262"/>
  <c r="AY125" i="2262"/>
  <c r="AW125" i="2262"/>
  <c r="AP125" i="2262"/>
  <c r="AQ125" i="2262"/>
  <c r="AS125" i="2262"/>
  <c r="BA125" i="2262"/>
  <c r="AO123" i="2262"/>
  <c r="AR123" i="2262"/>
  <c r="AX123" i="2262"/>
  <c r="AV123" i="2262"/>
  <c r="AY123" i="2262"/>
  <c r="AW123" i="2262"/>
  <c r="AP123" i="2262"/>
  <c r="AQ123" i="2262"/>
  <c r="AS123" i="2262"/>
  <c r="BA123" i="2262"/>
  <c r="AH135" i="2262"/>
  <c r="AI135" i="2262" s="1"/>
  <c r="AZ132" i="2262"/>
  <c r="AW132" i="2262"/>
  <c r="AQ132" i="2262"/>
  <c r="AX132" i="2262"/>
  <c r="AP132" i="2262"/>
  <c r="AO132" i="2262"/>
  <c r="AR132" i="2262"/>
  <c r="BA132" i="2262"/>
  <c r="AY132" i="2262"/>
  <c r="AS132" i="2262"/>
  <c r="AZ191" i="2262"/>
  <c r="AQ191" i="2262"/>
  <c r="AS191" i="2262"/>
  <c r="AO191" i="2262"/>
  <c r="AX191" i="2262"/>
  <c r="BA191" i="2262"/>
  <c r="AV191" i="2262"/>
  <c r="AW191" i="2262"/>
  <c r="AP191" i="2262"/>
  <c r="AY191" i="2262"/>
  <c r="AZ72" i="2262"/>
  <c r="AP72" i="2262"/>
  <c r="AV72" i="2262"/>
  <c r="AY72" i="2262"/>
  <c r="AR72" i="2262"/>
  <c r="AO72" i="2262"/>
  <c r="AW72" i="2262"/>
  <c r="AS72" i="2262"/>
  <c r="AQ72" i="2262"/>
  <c r="AX72" i="2262"/>
  <c r="AH73" i="2262"/>
  <c r="AI73" i="2262" s="1"/>
  <c r="BA85" i="2262"/>
  <c r="AP85" i="2262"/>
  <c r="AV85" i="2262"/>
  <c r="AO85" i="2262"/>
  <c r="AS85" i="2262"/>
  <c r="AX85" i="2262"/>
  <c r="AQ85" i="2262"/>
  <c r="AR85" i="2262"/>
  <c r="AY85" i="2262"/>
  <c r="AZ85" i="2262"/>
  <c r="AW85" i="2262"/>
  <c r="AH83" i="2262"/>
  <c r="AI83" i="2262" s="1"/>
  <c r="AH169" i="2262"/>
  <c r="AI169" i="2262" s="1"/>
  <c r="AH91" i="2262"/>
  <c r="AI91" i="2262" s="1"/>
  <c r="AH133" i="2262"/>
  <c r="AI133" i="2262" s="1"/>
  <c r="AH88" i="2262"/>
  <c r="AI88" i="2262" s="1"/>
  <c r="AH175" i="2262"/>
  <c r="AI175" i="2262" s="1"/>
  <c r="AH33" i="2262"/>
  <c r="AI33" i="2262" s="1"/>
  <c r="AH55" i="2262"/>
  <c r="AI55" i="2262" s="1"/>
  <c r="AH69" i="2262"/>
  <c r="AI69" i="2262" s="1"/>
  <c r="AH82" i="2262"/>
  <c r="AI82" i="2262" s="1"/>
  <c r="AH60" i="2262"/>
  <c r="AI60" i="2262" s="1"/>
  <c r="AH145" i="2262"/>
  <c r="AI145" i="2262" s="1"/>
  <c r="AO158" i="2262"/>
  <c r="AW158" i="2262"/>
  <c r="AH36" i="2262"/>
  <c r="AI36" i="2262" s="1"/>
  <c r="AH130" i="2262"/>
  <c r="AI130" i="2262" s="1"/>
  <c r="BA77" i="2262"/>
  <c r="AP77" i="2262"/>
  <c r="AV77" i="2262"/>
  <c r="AW77" i="2262"/>
  <c r="AY77" i="2262"/>
  <c r="AR77" i="2262"/>
  <c r="AX77" i="2262"/>
  <c r="AQ77" i="2262"/>
  <c r="AT77" i="2262" s="1"/>
  <c r="AS77" i="2262"/>
  <c r="AH182" i="2262"/>
  <c r="AI182" i="2262" s="1"/>
  <c r="AH153" i="2262"/>
  <c r="AI153" i="2262" s="1"/>
  <c r="AH93" i="2262"/>
  <c r="AI93" i="2262" s="1"/>
  <c r="AH25" i="2262"/>
  <c r="AI25" i="2262" s="1"/>
  <c r="AH126" i="2262"/>
  <c r="AI126" i="2262" s="1"/>
  <c r="AH11" i="2262"/>
  <c r="AI11" i="2262" s="1"/>
  <c r="AI30" i="2262"/>
  <c r="AZ77" i="2262"/>
  <c r="BA185" i="2262"/>
  <c r="AP185" i="2262"/>
  <c r="AV185" i="2262"/>
  <c r="AO185" i="2262"/>
  <c r="AS185" i="2262"/>
  <c r="AZ185" i="2262"/>
  <c r="AY185" i="2262"/>
  <c r="AW185" i="2262"/>
  <c r="AO116" i="2262"/>
  <c r="AQ116" i="2262"/>
  <c r="AW116" i="2262"/>
  <c r="AY116" i="2262"/>
  <c r="AP116" i="2262"/>
  <c r="AV116" i="2262"/>
  <c r="BA116" i="2262"/>
  <c r="AS116" i="2262"/>
  <c r="AZ116" i="2262"/>
  <c r="AX116" i="2262"/>
  <c r="AR116" i="2262"/>
  <c r="AH139" i="2262"/>
  <c r="AI139" i="2262" s="1"/>
  <c r="BD2" i="2262"/>
  <c r="AO89" i="2262"/>
  <c r="AR89" i="2262"/>
  <c r="AX89" i="2262"/>
  <c r="AY89" i="2262"/>
  <c r="AZ89" i="2262"/>
  <c r="AS89" i="2262"/>
  <c r="AQ89" i="2262"/>
  <c r="AV89" i="2262"/>
  <c r="BA89" i="2262"/>
  <c r="AO147" i="2262"/>
  <c r="AR147" i="2262"/>
  <c r="AX147" i="2262"/>
  <c r="AY147" i="2262"/>
  <c r="AZ147" i="2262"/>
  <c r="AS147" i="2262"/>
  <c r="AQ147" i="2262"/>
  <c r="AV147" i="2262"/>
  <c r="BA147" i="2262"/>
  <c r="AH111" i="2262"/>
  <c r="AI111" i="2262" s="1"/>
  <c r="AY103" i="2262"/>
  <c r="AO103" i="2262"/>
  <c r="AR103" i="2262"/>
  <c r="AX103" i="2262"/>
  <c r="AQ103" i="2262"/>
  <c r="AP103" i="2262"/>
  <c r="AV103" i="2262"/>
  <c r="AS103" i="2262"/>
  <c r="AZ103" i="2262"/>
  <c r="AW103" i="2262"/>
  <c r="BA103" i="2262"/>
  <c r="AH17" i="2262"/>
  <c r="AI17" i="2262" s="1"/>
  <c r="AH18" i="2262"/>
  <c r="AI18" i="2262" s="1"/>
  <c r="AH148" i="2262"/>
  <c r="AI148" i="2262" s="1"/>
  <c r="AH110" i="2262"/>
  <c r="AI110" i="2262" s="1"/>
  <c r="AH163" i="2262"/>
  <c r="AI163" i="2262" s="1"/>
  <c r="AH106" i="2262"/>
  <c r="AI106" i="2262" s="1"/>
  <c r="AH113" i="2262"/>
  <c r="AI113" i="2262" s="1"/>
  <c r="AH114" i="2262"/>
  <c r="AI114" i="2262" s="1"/>
  <c r="AH107" i="2262"/>
  <c r="AI107" i="2262" s="1"/>
  <c r="AH115" i="2262"/>
  <c r="AI115" i="2262" s="1"/>
  <c r="AI104" i="2262"/>
  <c r="AH109" i="2262"/>
  <c r="AI109" i="2262" s="1"/>
  <c r="AV122" i="2262" l="1"/>
  <c r="AT81" i="2262"/>
  <c r="AQ122" i="2262"/>
  <c r="AZ158" i="2262"/>
  <c r="AP122" i="2262"/>
  <c r="AS122" i="2262"/>
  <c r="AX122" i="2262"/>
  <c r="AS158" i="2262"/>
  <c r="AW108" i="2262"/>
  <c r="AQ105" i="2262"/>
  <c r="AR122" i="2262"/>
  <c r="AZ122" i="2262"/>
  <c r="AW122" i="2262"/>
  <c r="AO122" i="2262"/>
  <c r="BA122" i="2262"/>
  <c r="AV161" i="2262"/>
  <c r="AT185" i="2262"/>
  <c r="AR158" i="2262"/>
  <c r="AY158" i="2262"/>
  <c r="BA158" i="2262"/>
  <c r="AP158" i="2262"/>
  <c r="AU158" i="2262" s="1"/>
  <c r="AQ158" i="2262"/>
  <c r="AX35" i="2262"/>
  <c r="AX158" i="2262"/>
  <c r="AT162" i="2262"/>
  <c r="AW152" i="2262"/>
  <c r="AT51" i="2262"/>
  <c r="BA108" i="2262"/>
  <c r="AS105" i="2262"/>
  <c r="AV105" i="2262"/>
  <c r="AT187" i="2262"/>
  <c r="AT59" i="2262"/>
  <c r="AT15" i="2262"/>
  <c r="AS117" i="2262"/>
  <c r="AY152" i="2262"/>
  <c r="AT164" i="2262"/>
  <c r="AR161" i="2262"/>
  <c r="AR152" i="2262"/>
  <c r="AX108" i="2262"/>
  <c r="AP108" i="2262"/>
  <c r="AO108" i="2262"/>
  <c r="AY105" i="2262"/>
  <c r="AW105" i="2262"/>
  <c r="BA105" i="2262"/>
  <c r="AT43" i="2262"/>
  <c r="BA35" i="2262"/>
  <c r="AP35" i="2262"/>
  <c r="AT13" i="2262"/>
  <c r="AT47" i="2262"/>
  <c r="AT129" i="2262"/>
  <c r="BA161" i="2262"/>
  <c r="AQ161" i="2262"/>
  <c r="BA117" i="2262"/>
  <c r="AZ152" i="2262"/>
  <c r="AS152" i="2262"/>
  <c r="AO152" i="2262"/>
  <c r="AT87" i="2262"/>
  <c r="AT140" i="2262"/>
  <c r="AT90" i="2262"/>
  <c r="AT174" i="2262"/>
  <c r="AT166" i="2262"/>
  <c r="AT16" i="2262"/>
  <c r="AT32" i="2262"/>
  <c r="AO156" i="2262"/>
  <c r="AP156" i="2262"/>
  <c r="AS156" i="2262"/>
  <c r="AW156" i="2262"/>
  <c r="AY150" i="2262"/>
  <c r="BA150" i="2262"/>
  <c r="AQ150" i="2262"/>
  <c r="AZ161" i="2262"/>
  <c r="AY161" i="2262"/>
  <c r="AX161" i="2262"/>
  <c r="AP117" i="2262"/>
  <c r="AQ117" i="2262"/>
  <c r="AO117" i="2262"/>
  <c r="BA152" i="2262"/>
  <c r="AV152" i="2262"/>
  <c r="AX152" i="2262"/>
  <c r="AP152" i="2262"/>
  <c r="AU180" i="2262"/>
  <c r="AU32" i="2262"/>
  <c r="AT189" i="2262"/>
  <c r="AU97" i="2262"/>
  <c r="AT97" i="2262"/>
  <c r="AT102" i="2262"/>
  <c r="AT44" i="2262"/>
  <c r="AT39" i="2262"/>
  <c r="AT56" i="2262"/>
  <c r="AZ108" i="2262"/>
  <c r="AV108" i="2262"/>
  <c r="AS108" i="2262"/>
  <c r="AQ108" i="2262"/>
  <c r="AY108" i="2262"/>
  <c r="AT147" i="2262"/>
  <c r="AZ105" i="2262"/>
  <c r="AR105" i="2262"/>
  <c r="AX105" i="2262"/>
  <c r="AO105" i="2262"/>
  <c r="AT85" i="2262"/>
  <c r="AT152" i="2262"/>
  <c r="AT99" i="2262"/>
  <c r="AT180" i="2262"/>
  <c r="AU74" i="2262"/>
  <c r="AU96" i="2262"/>
  <c r="AU186" i="2262"/>
  <c r="AU90" i="2262"/>
  <c r="AT62" i="2262"/>
  <c r="AT120" i="2262"/>
  <c r="AT20" i="2262"/>
  <c r="AT134" i="2262"/>
  <c r="AV150" i="2262"/>
  <c r="AZ35" i="2262"/>
  <c r="AY35" i="2262"/>
  <c r="AX156" i="2262"/>
  <c r="AT132" i="2262"/>
  <c r="AU43" i="2262"/>
  <c r="AT14" i="2262"/>
  <c r="AU59" i="2262"/>
  <c r="AT118" i="2262"/>
  <c r="AT78" i="2262"/>
  <c r="AU174" i="2262"/>
  <c r="AU129" i="2262"/>
  <c r="AU102" i="2262"/>
  <c r="AW117" i="2262"/>
  <c r="AX117" i="2262"/>
  <c r="AZ117" i="2262"/>
  <c r="AV117" i="2262"/>
  <c r="AR117" i="2262"/>
  <c r="AO92" i="2262"/>
  <c r="AX92" i="2262"/>
  <c r="AP92" i="2262"/>
  <c r="AZ92" i="2262"/>
  <c r="AR92" i="2262"/>
  <c r="AQ92" i="2262"/>
  <c r="AY142" i="2262"/>
  <c r="AV142" i="2262"/>
  <c r="AQ142" i="2262"/>
  <c r="AR142" i="2262"/>
  <c r="AR112" i="2262"/>
  <c r="AO112" i="2262"/>
  <c r="AZ112" i="2262"/>
  <c r="AS112" i="2262"/>
  <c r="BA112" i="2262"/>
  <c r="AP112" i="2262"/>
  <c r="AQ112" i="2262"/>
  <c r="AV21" i="2262"/>
  <c r="AP21" i="2262"/>
  <c r="AR100" i="2262"/>
  <c r="AS100" i="2262"/>
  <c r="AV100" i="2262"/>
  <c r="AU99" i="2262"/>
  <c r="AU48" i="2262"/>
  <c r="AT48" i="2262"/>
  <c r="AU39" i="2262"/>
  <c r="AT50" i="2262"/>
  <c r="AT10" i="2262"/>
  <c r="AU64" i="2262"/>
  <c r="AT27" i="2262"/>
  <c r="AU14" i="2262"/>
  <c r="AT74" i="2262"/>
  <c r="AU26" i="2262"/>
  <c r="AU164" i="2262"/>
  <c r="AT31" i="2262"/>
  <c r="AT167" i="2262"/>
  <c r="AT96" i="2262"/>
  <c r="AU185" i="2262"/>
  <c r="AU85" i="2262"/>
  <c r="AU13" i="2262"/>
  <c r="AU173" i="2262"/>
  <c r="AT186" i="2262"/>
  <c r="AU62" i="2262"/>
  <c r="AU51" i="2262"/>
  <c r="AU166" i="2262"/>
  <c r="AU20" i="2262"/>
  <c r="AU81" i="2262"/>
  <c r="AT79" i="2262"/>
  <c r="AU58" i="2262"/>
  <c r="AU94" i="2262"/>
  <c r="AU50" i="2262"/>
  <c r="AU37" i="2262"/>
  <c r="AU140" i="2262"/>
  <c r="AU118" i="2262"/>
  <c r="AU56" i="2262"/>
  <c r="AU103" i="2262"/>
  <c r="AU89" i="2262"/>
  <c r="AU116" i="2262"/>
  <c r="AT116" i="2262"/>
  <c r="AU72" i="2262"/>
  <c r="AU125" i="2262"/>
  <c r="AT49" i="2262"/>
  <c r="AU49" i="2262"/>
  <c r="AR21" i="2262"/>
  <c r="AW21" i="2262"/>
  <c r="AX21" i="2262"/>
  <c r="AQ21" i="2262"/>
  <c r="AS21" i="2262"/>
  <c r="AZ142" i="2262"/>
  <c r="AO142" i="2262"/>
  <c r="AW142" i="2262"/>
  <c r="AT179" i="2262"/>
  <c r="AT143" i="2262"/>
  <c r="AT155" i="2262"/>
  <c r="AZ100" i="2262"/>
  <c r="BA100" i="2262"/>
  <c r="AY100" i="2262"/>
  <c r="AW100" i="2262"/>
  <c r="AO100" i="2262"/>
  <c r="AP100" i="2262"/>
  <c r="AT103" i="2262"/>
  <c r="AU147" i="2262"/>
  <c r="AT89" i="2262"/>
  <c r="AX112" i="2262"/>
  <c r="AV112" i="2262"/>
  <c r="AW112" i="2262"/>
  <c r="AY112" i="2262"/>
  <c r="AV92" i="2262"/>
  <c r="AW92" i="2262"/>
  <c r="AY92" i="2262"/>
  <c r="AS92" i="2262"/>
  <c r="BA92" i="2262"/>
  <c r="AU77" i="2262"/>
  <c r="AT72" i="2262"/>
  <c r="AT191" i="2262"/>
  <c r="AU132" i="2262"/>
  <c r="BA142" i="2262"/>
  <c r="AP142" i="2262"/>
  <c r="AX142" i="2262"/>
  <c r="AS142" i="2262"/>
  <c r="AU172" i="2262"/>
  <c r="AU143" i="2262"/>
  <c r="BA21" i="2262"/>
  <c r="AT26" i="2262"/>
  <c r="AU78" i="2262"/>
  <c r="AU15" i="2262"/>
  <c r="AQ100" i="2262"/>
  <c r="AZ21" i="2262"/>
  <c r="AY21" i="2262"/>
  <c r="AO21" i="2262"/>
  <c r="AX100" i="2262"/>
  <c r="AW161" i="2262"/>
  <c r="AS161" i="2262"/>
  <c r="AP161" i="2262"/>
  <c r="AR35" i="2262"/>
  <c r="AV35" i="2262"/>
  <c r="AW35" i="2262"/>
  <c r="AQ35" i="2262"/>
  <c r="AS35" i="2262"/>
  <c r="AU134" i="2262"/>
  <c r="AZ150" i="2262"/>
  <c r="AR150" i="2262"/>
  <c r="AX150" i="2262"/>
  <c r="AS150" i="2262"/>
  <c r="AW150" i="2262"/>
  <c r="AO150" i="2262"/>
  <c r="AP150" i="2262"/>
  <c r="AZ156" i="2262"/>
  <c r="AV156" i="2262"/>
  <c r="AQ156" i="2262"/>
  <c r="AR156" i="2262"/>
  <c r="AY156" i="2262"/>
  <c r="BA156" i="2262"/>
  <c r="AT123" i="2262"/>
  <c r="AU123" i="2262"/>
  <c r="AT125" i="2262"/>
  <c r="AT172" i="2262"/>
  <c r="AU179" i="2262"/>
  <c r="AU27" i="2262"/>
  <c r="AT71" i="2262"/>
  <c r="AU155" i="2262"/>
  <c r="AU162" i="2262"/>
  <c r="AU187" i="2262"/>
  <c r="AU87" i="2262"/>
  <c r="AU189" i="2262"/>
  <c r="AU31" i="2262"/>
  <c r="AU167" i="2262"/>
  <c r="AU47" i="2262"/>
  <c r="AU120" i="2262"/>
  <c r="AT128" i="2262"/>
  <c r="AU128" i="2262"/>
  <c r="AT34" i="2262"/>
  <c r="AU34" i="2262"/>
  <c r="AU16" i="2262"/>
  <c r="AT58" i="2262"/>
  <c r="AT94" i="2262"/>
  <c r="AU71" i="2262"/>
  <c r="AU57" i="2262"/>
  <c r="AT37" i="2262"/>
  <c r="AU61" i="2262"/>
  <c r="AU10" i="2262"/>
  <c r="AT64" i="2262"/>
  <c r="AZ107" i="2262"/>
  <c r="AQ107" i="2262"/>
  <c r="AS107" i="2262"/>
  <c r="AW107" i="2262"/>
  <c r="AP107" i="2262"/>
  <c r="AR107" i="2262"/>
  <c r="AO107" i="2262"/>
  <c r="AY107" i="2262"/>
  <c r="BA107" i="2262"/>
  <c r="AX107" i="2262"/>
  <c r="AV107" i="2262"/>
  <c r="AV163" i="2262"/>
  <c r="AY163" i="2262"/>
  <c r="AR163" i="2262"/>
  <c r="AW163" i="2262"/>
  <c r="AP163" i="2262"/>
  <c r="AZ163" i="2262"/>
  <c r="AS163" i="2262"/>
  <c r="AX163" i="2262"/>
  <c r="AQ163" i="2262"/>
  <c r="BA163" i="2262"/>
  <c r="AO163" i="2262"/>
  <c r="AS18" i="2262"/>
  <c r="AX18" i="2262"/>
  <c r="AQ18" i="2262"/>
  <c r="AY18" i="2262"/>
  <c r="AR18" i="2262"/>
  <c r="AZ18" i="2262"/>
  <c r="AV18" i="2262"/>
  <c r="AW18" i="2262"/>
  <c r="AP18" i="2262"/>
  <c r="BA18" i="2262"/>
  <c r="AO18" i="2262"/>
  <c r="AX25" i="2262"/>
  <c r="AZ25" i="2262"/>
  <c r="AQ25" i="2262"/>
  <c r="AS25" i="2262"/>
  <c r="AO25" i="2262"/>
  <c r="BA25" i="2262"/>
  <c r="AV25" i="2262"/>
  <c r="AW25" i="2262"/>
  <c r="AP25" i="2262"/>
  <c r="AY25" i="2262"/>
  <c r="AR25" i="2262"/>
  <c r="AX153" i="2262"/>
  <c r="AZ153" i="2262"/>
  <c r="AQ153" i="2262"/>
  <c r="AS153" i="2262"/>
  <c r="AO153" i="2262"/>
  <c r="BA153" i="2262"/>
  <c r="AV153" i="2262"/>
  <c r="AW153" i="2262"/>
  <c r="AY153" i="2262"/>
  <c r="AR153" i="2262"/>
  <c r="AP153" i="2262"/>
  <c r="AT153" i="2262" s="1"/>
  <c r="AO36" i="2262"/>
  <c r="AQ36" i="2262"/>
  <c r="AW36" i="2262"/>
  <c r="AP36" i="2262"/>
  <c r="AS36" i="2262"/>
  <c r="BA36" i="2262"/>
  <c r="AZ36" i="2262"/>
  <c r="AX36" i="2262"/>
  <c r="AR36" i="2262"/>
  <c r="AV36" i="2262"/>
  <c r="AY36" i="2262"/>
  <c r="AV60" i="2262"/>
  <c r="AY60" i="2262"/>
  <c r="AW60" i="2262"/>
  <c r="AZ60" i="2262"/>
  <c r="AP60" i="2262"/>
  <c r="AX60" i="2262"/>
  <c r="AQ60" i="2262"/>
  <c r="AR60" i="2262"/>
  <c r="AO60" i="2262"/>
  <c r="AS60" i="2262"/>
  <c r="BA60" i="2262"/>
  <c r="AS69" i="2262"/>
  <c r="AW69" i="2262"/>
  <c r="AX69" i="2262"/>
  <c r="AZ69" i="2262"/>
  <c r="AQ69" i="2262"/>
  <c r="AY69" i="2262"/>
  <c r="AR69" i="2262"/>
  <c r="AP69" i="2262"/>
  <c r="AO69" i="2262"/>
  <c r="AV69" i="2262"/>
  <c r="BA69" i="2262"/>
  <c r="AV33" i="2262"/>
  <c r="AY33" i="2262"/>
  <c r="AW33" i="2262"/>
  <c r="BA33" i="2262"/>
  <c r="AP33" i="2262"/>
  <c r="AZ33" i="2262"/>
  <c r="AS33" i="2262"/>
  <c r="AR33" i="2262"/>
  <c r="AQ33" i="2262"/>
  <c r="AX33" i="2262"/>
  <c r="AO33" i="2262"/>
  <c r="AV88" i="2262"/>
  <c r="AX88" i="2262"/>
  <c r="AW88" i="2262"/>
  <c r="AZ88" i="2262"/>
  <c r="AP88" i="2262"/>
  <c r="AY88" i="2262"/>
  <c r="AQ88" i="2262"/>
  <c r="AR88" i="2262"/>
  <c r="BA88" i="2262"/>
  <c r="AS88" i="2262"/>
  <c r="AO88" i="2262"/>
  <c r="AS91" i="2262"/>
  <c r="AW91" i="2262"/>
  <c r="AX91" i="2262"/>
  <c r="AZ91" i="2262"/>
  <c r="AQ91" i="2262"/>
  <c r="AY91" i="2262"/>
  <c r="AR91" i="2262"/>
  <c r="AP91" i="2262"/>
  <c r="BA91" i="2262"/>
  <c r="AO91" i="2262"/>
  <c r="AV91" i="2262"/>
  <c r="AV73" i="2262"/>
  <c r="AY73" i="2262"/>
  <c r="BA73" i="2262"/>
  <c r="AR73" i="2262"/>
  <c r="AQ73" i="2262"/>
  <c r="AW73" i="2262"/>
  <c r="AO73" i="2262"/>
  <c r="AS73" i="2262"/>
  <c r="AX73" i="2262"/>
  <c r="AZ73" i="2262"/>
  <c r="AP73" i="2262"/>
  <c r="AS65" i="2262"/>
  <c r="AW65" i="2262"/>
  <c r="AX65" i="2262"/>
  <c r="AZ65" i="2262"/>
  <c r="AQ65" i="2262"/>
  <c r="AO65" i="2262"/>
  <c r="BA65" i="2262"/>
  <c r="AV65" i="2262"/>
  <c r="AR65" i="2262"/>
  <c r="AY65" i="2262"/>
  <c r="AP65" i="2262"/>
  <c r="AS171" i="2262"/>
  <c r="AW171" i="2262"/>
  <c r="AZ171" i="2262"/>
  <c r="BA171" i="2262"/>
  <c r="AY171" i="2262"/>
  <c r="AR171" i="2262"/>
  <c r="AQ171" i="2262"/>
  <c r="AV171" i="2262"/>
  <c r="AO171" i="2262"/>
  <c r="AP171" i="2262"/>
  <c r="AX171" i="2262"/>
  <c r="AS160" i="2262"/>
  <c r="AY160" i="2262"/>
  <c r="AX160" i="2262"/>
  <c r="BA160" i="2262"/>
  <c r="AR160" i="2262"/>
  <c r="AP160" i="2262"/>
  <c r="AO160" i="2262"/>
  <c r="AW160" i="2262"/>
  <c r="AZ160" i="2262"/>
  <c r="AQ160" i="2262"/>
  <c r="AV160" i="2262"/>
  <c r="AV136" i="2262"/>
  <c r="AX136" i="2262"/>
  <c r="AW136" i="2262"/>
  <c r="AZ136" i="2262"/>
  <c r="AP136" i="2262"/>
  <c r="AO136" i="2262"/>
  <c r="BA136" i="2262"/>
  <c r="AS136" i="2262"/>
  <c r="AY136" i="2262"/>
  <c r="AR136" i="2262"/>
  <c r="AQ136" i="2262"/>
  <c r="AS127" i="2262"/>
  <c r="AW127" i="2262"/>
  <c r="AX127" i="2262"/>
  <c r="AZ127" i="2262"/>
  <c r="AQ127" i="2262"/>
  <c r="AO127" i="2262"/>
  <c r="BA127" i="2262"/>
  <c r="AV127" i="2262"/>
  <c r="AY127" i="2262"/>
  <c r="AP127" i="2262"/>
  <c r="AR127" i="2262"/>
  <c r="AV84" i="2262"/>
  <c r="AX84" i="2262"/>
  <c r="AW84" i="2262"/>
  <c r="AZ84" i="2262"/>
  <c r="AP84" i="2262"/>
  <c r="AO84" i="2262"/>
  <c r="BA84" i="2262"/>
  <c r="AS84" i="2262"/>
  <c r="AY84" i="2262"/>
  <c r="AQ84" i="2262"/>
  <c r="AR84" i="2262"/>
  <c r="AV40" i="2262"/>
  <c r="AY40" i="2262"/>
  <c r="AW40" i="2262"/>
  <c r="AZ40" i="2262"/>
  <c r="AP40" i="2262"/>
  <c r="AO40" i="2262"/>
  <c r="BA40" i="2262"/>
  <c r="AS40" i="2262"/>
  <c r="AX40" i="2262"/>
  <c r="AQ40" i="2262"/>
  <c r="AR40" i="2262"/>
  <c r="AV168" i="2262"/>
  <c r="AX168" i="2262"/>
  <c r="AW168" i="2262"/>
  <c r="AZ168" i="2262"/>
  <c r="AP168" i="2262"/>
  <c r="AO168" i="2262"/>
  <c r="BA168" i="2262"/>
  <c r="AS168" i="2262"/>
  <c r="AY168" i="2262"/>
  <c r="AQ168" i="2262"/>
  <c r="AR168" i="2262"/>
  <c r="AV24" i="2262"/>
  <c r="AY24" i="2262"/>
  <c r="AW24" i="2262"/>
  <c r="AZ24" i="2262"/>
  <c r="AP24" i="2262"/>
  <c r="AO24" i="2262"/>
  <c r="BA24" i="2262"/>
  <c r="AS24" i="2262"/>
  <c r="AX24" i="2262"/>
  <c r="AQ24" i="2262"/>
  <c r="AR24" i="2262"/>
  <c r="AS12" i="2262"/>
  <c r="AY12" i="2262"/>
  <c r="AW12" i="2262"/>
  <c r="AZ12" i="2262"/>
  <c r="AP12" i="2262"/>
  <c r="AO12" i="2262"/>
  <c r="BA12" i="2262"/>
  <c r="AV12" i="2262"/>
  <c r="AX12" i="2262"/>
  <c r="AQ12" i="2262"/>
  <c r="AR12" i="2262"/>
  <c r="AS137" i="2262"/>
  <c r="AW137" i="2262"/>
  <c r="AX137" i="2262"/>
  <c r="AZ137" i="2262"/>
  <c r="AQ137" i="2262"/>
  <c r="AO137" i="2262"/>
  <c r="BA137" i="2262"/>
  <c r="AV137" i="2262"/>
  <c r="AY137" i="2262"/>
  <c r="AR137" i="2262"/>
  <c r="AP137" i="2262"/>
  <c r="AS19" i="2262"/>
  <c r="AX19" i="2262"/>
  <c r="AV19" i="2262"/>
  <c r="AZ19" i="2262"/>
  <c r="AQ19" i="2262"/>
  <c r="AO19" i="2262"/>
  <c r="BA19" i="2262"/>
  <c r="AW19" i="2262"/>
  <c r="AY19" i="2262"/>
  <c r="AR19" i="2262"/>
  <c r="AP19" i="2262"/>
  <c r="AS159" i="2262"/>
  <c r="AW159" i="2262"/>
  <c r="AX159" i="2262"/>
  <c r="AZ159" i="2262"/>
  <c r="AQ159" i="2262"/>
  <c r="AO159" i="2262"/>
  <c r="BA159" i="2262"/>
  <c r="AV159" i="2262"/>
  <c r="AY159" i="2262"/>
  <c r="AR159" i="2262"/>
  <c r="AP159" i="2262"/>
  <c r="AS131" i="2262"/>
  <c r="AW131" i="2262"/>
  <c r="AX131" i="2262"/>
  <c r="AZ131" i="2262"/>
  <c r="AQ131" i="2262"/>
  <c r="AO131" i="2262"/>
  <c r="BA131" i="2262"/>
  <c r="AV131" i="2262"/>
  <c r="AY131" i="2262"/>
  <c r="AR131" i="2262"/>
  <c r="AP131" i="2262"/>
  <c r="AS53" i="2262"/>
  <c r="AW53" i="2262"/>
  <c r="AX53" i="2262"/>
  <c r="AZ53" i="2262"/>
  <c r="AQ53" i="2262"/>
  <c r="AO53" i="2262"/>
  <c r="BA53" i="2262"/>
  <c r="AV53" i="2262"/>
  <c r="AY53" i="2262"/>
  <c r="AR53" i="2262"/>
  <c r="AP53" i="2262"/>
  <c r="AV41" i="2262"/>
  <c r="AY41" i="2262"/>
  <c r="AW41" i="2262"/>
  <c r="BA41" i="2262"/>
  <c r="AP41" i="2262"/>
  <c r="AQ41" i="2262"/>
  <c r="AO41" i="2262"/>
  <c r="AX41" i="2262"/>
  <c r="AZ41" i="2262"/>
  <c r="AS41" i="2262"/>
  <c r="AR41" i="2262"/>
  <c r="AS188" i="2262"/>
  <c r="AY188" i="2262"/>
  <c r="AX188" i="2262"/>
  <c r="BA188" i="2262"/>
  <c r="AR188" i="2262"/>
  <c r="AP188" i="2262"/>
  <c r="AO188" i="2262"/>
  <c r="AW188" i="2262"/>
  <c r="AZ188" i="2262"/>
  <c r="AV188" i="2262"/>
  <c r="AQ188" i="2262"/>
  <c r="AV95" i="2262"/>
  <c r="AY95" i="2262"/>
  <c r="AW95" i="2262"/>
  <c r="BA95" i="2262"/>
  <c r="AP95" i="2262"/>
  <c r="AQ95" i="2262"/>
  <c r="AO95" i="2262"/>
  <c r="AX95" i="2262"/>
  <c r="AZ95" i="2262"/>
  <c r="AS95" i="2262"/>
  <c r="AR95" i="2262"/>
  <c r="AW109" i="2262"/>
  <c r="BA109" i="2262"/>
  <c r="AP109" i="2262"/>
  <c r="AZ109" i="2262"/>
  <c r="AS109" i="2262"/>
  <c r="AO109" i="2262"/>
  <c r="AX109" i="2262"/>
  <c r="AQ109" i="2262"/>
  <c r="AR109" i="2262"/>
  <c r="AV109" i="2262"/>
  <c r="AY109" i="2262"/>
  <c r="BA110" i="2262"/>
  <c r="AR110" i="2262"/>
  <c r="AS110" i="2262"/>
  <c r="AX110" i="2262"/>
  <c r="AO110" i="2262"/>
  <c r="AQ110" i="2262"/>
  <c r="AW110" i="2262"/>
  <c r="AP110" i="2262"/>
  <c r="AV110" i="2262"/>
  <c r="AZ110" i="2262"/>
  <c r="AY110" i="2262"/>
  <c r="AW17" i="2262"/>
  <c r="AY17" i="2262"/>
  <c r="BA17" i="2262"/>
  <c r="AR17" i="2262"/>
  <c r="AZ17" i="2262"/>
  <c r="AS17" i="2262"/>
  <c r="AP17" i="2262"/>
  <c r="AQ17" i="2262"/>
  <c r="AO17" i="2262"/>
  <c r="AV17" i="2262"/>
  <c r="AX17" i="2262"/>
  <c r="AV126" i="2262"/>
  <c r="AX126" i="2262"/>
  <c r="AR126" i="2262"/>
  <c r="AW126" i="2262"/>
  <c r="AP126" i="2262"/>
  <c r="AO126" i="2262"/>
  <c r="BA126" i="2262"/>
  <c r="AZ126" i="2262"/>
  <c r="AQ126" i="2262"/>
  <c r="AS126" i="2262"/>
  <c r="AY126" i="2262"/>
  <c r="AX93" i="2262"/>
  <c r="AZ93" i="2262"/>
  <c r="AQ93" i="2262"/>
  <c r="AY93" i="2262"/>
  <c r="AR93" i="2262"/>
  <c r="AW93" i="2262"/>
  <c r="BA93" i="2262"/>
  <c r="AV93" i="2262"/>
  <c r="AO93" i="2262"/>
  <c r="AP93" i="2262"/>
  <c r="AS93" i="2262"/>
  <c r="AW182" i="2262"/>
  <c r="AZ182" i="2262"/>
  <c r="AP182" i="2262"/>
  <c r="AY182" i="2262"/>
  <c r="AQ182" i="2262"/>
  <c r="AX182" i="2262"/>
  <c r="BA182" i="2262"/>
  <c r="AS182" i="2262"/>
  <c r="AO182" i="2262"/>
  <c r="AR182" i="2262"/>
  <c r="AV182" i="2262"/>
  <c r="AO130" i="2262"/>
  <c r="AQ130" i="2262"/>
  <c r="AW130" i="2262"/>
  <c r="AP130" i="2262"/>
  <c r="AV130" i="2262"/>
  <c r="BA130" i="2262"/>
  <c r="AZ130" i="2262"/>
  <c r="AS130" i="2262"/>
  <c r="AX130" i="2262"/>
  <c r="AY130" i="2262"/>
  <c r="AR130" i="2262"/>
  <c r="AS145" i="2262"/>
  <c r="AW145" i="2262"/>
  <c r="AX145" i="2262"/>
  <c r="AZ145" i="2262"/>
  <c r="AQ145" i="2262"/>
  <c r="AY145" i="2262"/>
  <c r="AR145" i="2262"/>
  <c r="AP145" i="2262"/>
  <c r="AO145" i="2262"/>
  <c r="AV145" i="2262"/>
  <c r="BA145" i="2262"/>
  <c r="AV82" i="2262"/>
  <c r="AX82" i="2262"/>
  <c r="AW82" i="2262"/>
  <c r="AZ82" i="2262"/>
  <c r="AP82" i="2262"/>
  <c r="AY82" i="2262"/>
  <c r="AQ82" i="2262"/>
  <c r="AR82" i="2262"/>
  <c r="AO82" i="2262"/>
  <c r="AS82" i="2262"/>
  <c r="BA82" i="2262"/>
  <c r="AS55" i="2262"/>
  <c r="AW55" i="2262"/>
  <c r="AX55" i="2262"/>
  <c r="AZ55" i="2262"/>
  <c r="AQ55" i="2262"/>
  <c r="AY55" i="2262"/>
  <c r="AR55" i="2262"/>
  <c r="AP55" i="2262"/>
  <c r="AO55" i="2262"/>
  <c r="AV55" i="2262"/>
  <c r="BA55" i="2262"/>
  <c r="BA175" i="2262"/>
  <c r="AO175" i="2262"/>
  <c r="AR175" i="2262"/>
  <c r="AX175" i="2262"/>
  <c r="AZ175" i="2262"/>
  <c r="AQ175" i="2262"/>
  <c r="AY175" i="2262"/>
  <c r="AW175" i="2262"/>
  <c r="AP175" i="2262"/>
  <c r="AS175" i="2262"/>
  <c r="AV175" i="2262"/>
  <c r="AS133" i="2262"/>
  <c r="AW133" i="2262"/>
  <c r="AX133" i="2262"/>
  <c r="AZ133" i="2262"/>
  <c r="AQ133" i="2262"/>
  <c r="AY133" i="2262"/>
  <c r="AR133" i="2262"/>
  <c r="AP133" i="2262"/>
  <c r="BA133" i="2262"/>
  <c r="AV133" i="2262"/>
  <c r="AO133" i="2262"/>
  <c r="AV169" i="2262"/>
  <c r="AY169" i="2262"/>
  <c r="AW169" i="2262"/>
  <c r="BA169" i="2262"/>
  <c r="AP169" i="2262"/>
  <c r="AZ169" i="2262"/>
  <c r="AS169" i="2262"/>
  <c r="AR169" i="2262"/>
  <c r="AO169" i="2262"/>
  <c r="AX169" i="2262"/>
  <c r="AQ169" i="2262"/>
  <c r="AV42" i="2262"/>
  <c r="AX42" i="2262"/>
  <c r="AW42" i="2262"/>
  <c r="AZ42" i="2262"/>
  <c r="AP42" i="2262"/>
  <c r="AO42" i="2262"/>
  <c r="BA42" i="2262"/>
  <c r="AS42" i="2262"/>
  <c r="AQ42" i="2262"/>
  <c r="AY42" i="2262"/>
  <c r="AR42" i="2262"/>
  <c r="AS52" i="2262"/>
  <c r="AX52" i="2262"/>
  <c r="AY52" i="2262"/>
  <c r="BA52" i="2262"/>
  <c r="AR52" i="2262"/>
  <c r="AP52" i="2262"/>
  <c r="AO52" i="2262"/>
  <c r="AW52" i="2262"/>
  <c r="AZ52" i="2262"/>
  <c r="AV52" i="2262"/>
  <c r="AQ52" i="2262"/>
  <c r="AV66" i="2262"/>
  <c r="AX66" i="2262"/>
  <c r="AW66" i="2262"/>
  <c r="AZ66" i="2262"/>
  <c r="AP66" i="2262"/>
  <c r="AO66" i="2262"/>
  <c r="BA66" i="2262"/>
  <c r="AS66" i="2262"/>
  <c r="AY66" i="2262"/>
  <c r="AR66" i="2262"/>
  <c r="AQ66" i="2262"/>
  <c r="AV98" i="2262"/>
  <c r="AX98" i="2262"/>
  <c r="AW98" i="2262"/>
  <c r="AZ98" i="2262"/>
  <c r="AP98" i="2262"/>
  <c r="AO98" i="2262"/>
  <c r="BA98" i="2262"/>
  <c r="AS98" i="2262"/>
  <c r="AY98" i="2262"/>
  <c r="AR98" i="2262"/>
  <c r="AQ98" i="2262"/>
  <c r="AS177" i="2262"/>
  <c r="AW177" i="2262"/>
  <c r="AX177" i="2262"/>
  <c r="AZ177" i="2262"/>
  <c r="AQ177" i="2262"/>
  <c r="AO177" i="2262"/>
  <c r="BA177" i="2262"/>
  <c r="AV177" i="2262"/>
  <c r="AY177" i="2262"/>
  <c r="AR177" i="2262"/>
  <c r="AP177" i="2262"/>
  <c r="AV190" i="2262"/>
  <c r="AX190" i="2262"/>
  <c r="AW190" i="2262"/>
  <c r="AZ190" i="2262"/>
  <c r="AP190" i="2262"/>
  <c r="AO190" i="2262"/>
  <c r="BA190" i="2262"/>
  <c r="AS190" i="2262"/>
  <c r="AY190" i="2262"/>
  <c r="AQ190" i="2262"/>
  <c r="AR190" i="2262"/>
  <c r="AS75" i="2262"/>
  <c r="AW75" i="2262"/>
  <c r="AX75" i="2262"/>
  <c r="AZ75" i="2262"/>
  <c r="AQ75" i="2262"/>
  <c r="AO75" i="2262"/>
  <c r="BA75" i="2262"/>
  <c r="AV75" i="2262"/>
  <c r="AY75" i="2262"/>
  <c r="AR75" i="2262"/>
  <c r="AP75" i="2262"/>
  <c r="AS29" i="2262"/>
  <c r="AW29" i="2262"/>
  <c r="AX29" i="2262"/>
  <c r="AZ29" i="2262"/>
  <c r="AQ29" i="2262"/>
  <c r="AO29" i="2262"/>
  <c r="BA29" i="2262"/>
  <c r="AV29" i="2262"/>
  <c r="AY29" i="2262"/>
  <c r="AR29" i="2262"/>
  <c r="AP29" i="2262"/>
  <c r="AV86" i="2262"/>
  <c r="AX86" i="2262"/>
  <c r="AW86" i="2262"/>
  <c r="AZ86" i="2262"/>
  <c r="AP86" i="2262"/>
  <c r="AO86" i="2262"/>
  <c r="BA86" i="2262"/>
  <c r="AS86" i="2262"/>
  <c r="AY86" i="2262"/>
  <c r="AQ86" i="2262"/>
  <c r="AR86" i="2262"/>
  <c r="AS141" i="2262"/>
  <c r="AW141" i="2262"/>
  <c r="AX141" i="2262"/>
  <c r="AZ141" i="2262"/>
  <c r="AQ141" i="2262"/>
  <c r="AO141" i="2262"/>
  <c r="BA141" i="2262"/>
  <c r="AV141" i="2262"/>
  <c r="AY141" i="2262"/>
  <c r="AR141" i="2262"/>
  <c r="AP141" i="2262"/>
  <c r="AV176" i="2262"/>
  <c r="AX176" i="2262"/>
  <c r="AW176" i="2262"/>
  <c r="AZ176" i="2262"/>
  <c r="AP176" i="2262"/>
  <c r="AO176" i="2262"/>
  <c r="BA176" i="2262"/>
  <c r="AS176" i="2262"/>
  <c r="AY176" i="2262"/>
  <c r="AQ176" i="2262"/>
  <c r="AR176" i="2262"/>
  <c r="AS151" i="2262"/>
  <c r="AW151" i="2262"/>
  <c r="AX151" i="2262"/>
  <c r="AZ151" i="2262"/>
  <c r="AQ151" i="2262"/>
  <c r="AO151" i="2262"/>
  <c r="BA151" i="2262"/>
  <c r="AV151" i="2262"/>
  <c r="AY151" i="2262"/>
  <c r="AR151" i="2262"/>
  <c r="AP151" i="2262"/>
  <c r="AS183" i="2262"/>
  <c r="AW183" i="2262"/>
  <c r="AX183" i="2262"/>
  <c r="AZ183" i="2262"/>
  <c r="AQ183" i="2262"/>
  <c r="AO183" i="2262"/>
  <c r="BA183" i="2262"/>
  <c r="AV183" i="2262"/>
  <c r="AY183" i="2262"/>
  <c r="AR183" i="2262"/>
  <c r="AP183" i="2262"/>
  <c r="AS9" i="2262"/>
  <c r="AX9" i="2262"/>
  <c r="AV9" i="2262"/>
  <c r="AZ9" i="2262"/>
  <c r="AQ9" i="2262"/>
  <c r="AO9" i="2262"/>
  <c r="BA9" i="2262"/>
  <c r="AW9" i="2262"/>
  <c r="AY9" i="2262"/>
  <c r="AR9" i="2262"/>
  <c r="AP9" i="2262"/>
  <c r="AV80" i="2262"/>
  <c r="AY80" i="2262"/>
  <c r="AW80" i="2262"/>
  <c r="AZ80" i="2262"/>
  <c r="AP80" i="2262"/>
  <c r="AO80" i="2262"/>
  <c r="BA80" i="2262"/>
  <c r="AS80" i="2262"/>
  <c r="AX80" i="2262"/>
  <c r="AQ80" i="2262"/>
  <c r="AR80" i="2262"/>
  <c r="AV67" i="2262"/>
  <c r="AY67" i="2262"/>
  <c r="AW67" i="2262"/>
  <c r="BA67" i="2262"/>
  <c r="AP67" i="2262"/>
  <c r="AQ67" i="2262"/>
  <c r="AO67" i="2262"/>
  <c r="AX67" i="2262"/>
  <c r="AZ67" i="2262"/>
  <c r="AS67" i="2262"/>
  <c r="AR67" i="2262"/>
  <c r="AV165" i="2262"/>
  <c r="AY165" i="2262"/>
  <c r="AW165" i="2262"/>
  <c r="BA165" i="2262"/>
  <c r="AP165" i="2262"/>
  <c r="AQ165" i="2262"/>
  <c r="AO165" i="2262"/>
  <c r="AX165" i="2262"/>
  <c r="AZ165" i="2262"/>
  <c r="AS165" i="2262"/>
  <c r="AR165" i="2262"/>
  <c r="AW70" i="2262"/>
  <c r="AZ70" i="2262"/>
  <c r="AP70" i="2262"/>
  <c r="AY70" i="2262"/>
  <c r="AO70" i="2262"/>
  <c r="AQ70" i="2262"/>
  <c r="BA70" i="2262"/>
  <c r="AS70" i="2262"/>
  <c r="AV70" i="2262"/>
  <c r="AR70" i="2262"/>
  <c r="AX70" i="2262"/>
  <c r="AO104" i="2262"/>
  <c r="AQ104" i="2262"/>
  <c r="AW104" i="2262"/>
  <c r="AY104" i="2262"/>
  <c r="AZ104" i="2262"/>
  <c r="BA104" i="2262"/>
  <c r="AS104" i="2262"/>
  <c r="AV104" i="2262"/>
  <c r="AR104" i="2262"/>
  <c r="AP104" i="2262"/>
  <c r="AX104" i="2262"/>
  <c r="AS115" i="2262"/>
  <c r="AW115" i="2262"/>
  <c r="AZ115" i="2262"/>
  <c r="AV115" i="2262"/>
  <c r="AO115" i="2262"/>
  <c r="AX115" i="2262"/>
  <c r="BA115" i="2262"/>
  <c r="AR115" i="2262"/>
  <c r="AP115" i="2262"/>
  <c r="AQ115" i="2262"/>
  <c r="AY115" i="2262"/>
  <c r="AS114" i="2262"/>
  <c r="AY114" i="2262"/>
  <c r="AQ114" i="2262"/>
  <c r="BA114" i="2262"/>
  <c r="AX114" i="2262"/>
  <c r="AZ114" i="2262"/>
  <c r="AV114" i="2262"/>
  <c r="AW114" i="2262"/>
  <c r="AP114" i="2262"/>
  <c r="AR114" i="2262"/>
  <c r="AO114" i="2262"/>
  <c r="AV113" i="2262"/>
  <c r="AY113" i="2262"/>
  <c r="BA113" i="2262"/>
  <c r="AX113" i="2262"/>
  <c r="AZ113" i="2262"/>
  <c r="AS113" i="2262"/>
  <c r="AP113" i="2262"/>
  <c r="AQ113" i="2262"/>
  <c r="AO113" i="2262"/>
  <c r="AR113" i="2262"/>
  <c r="AW113" i="2262"/>
  <c r="AX106" i="2262"/>
  <c r="BA106" i="2262"/>
  <c r="AR106" i="2262"/>
  <c r="AS106" i="2262"/>
  <c r="AV106" i="2262"/>
  <c r="AQ106" i="2262"/>
  <c r="AZ106" i="2262"/>
  <c r="AO106" i="2262"/>
  <c r="AY106" i="2262"/>
  <c r="AW106" i="2262"/>
  <c r="AP106" i="2262"/>
  <c r="AS148" i="2262"/>
  <c r="AY148" i="2262"/>
  <c r="BA148" i="2262"/>
  <c r="AQ148" i="2262"/>
  <c r="AZ148" i="2262"/>
  <c r="AV148" i="2262"/>
  <c r="AR148" i="2262"/>
  <c r="AP148" i="2262"/>
  <c r="AO148" i="2262"/>
  <c r="AW148" i="2262"/>
  <c r="AX148" i="2262"/>
  <c r="AS111" i="2262"/>
  <c r="AW111" i="2262"/>
  <c r="AP111" i="2262"/>
  <c r="AZ111" i="2262"/>
  <c r="AX111" i="2262"/>
  <c r="AO111" i="2262"/>
  <c r="BA111" i="2262"/>
  <c r="AQ111" i="2262"/>
  <c r="AY111" i="2262"/>
  <c r="AV111" i="2262"/>
  <c r="AR111" i="2262"/>
  <c r="AS11" i="2262"/>
  <c r="AX11" i="2262"/>
  <c r="AP11" i="2262"/>
  <c r="AV11" i="2262"/>
  <c r="AQ11" i="2262"/>
  <c r="AO11" i="2262"/>
  <c r="BA11" i="2262"/>
  <c r="AZ11" i="2262"/>
  <c r="AR11" i="2262"/>
  <c r="AY11" i="2262"/>
  <c r="AW11" i="2262"/>
  <c r="AS83" i="2262"/>
  <c r="AW83" i="2262"/>
  <c r="AZ83" i="2262"/>
  <c r="AP83" i="2262"/>
  <c r="AO83" i="2262"/>
  <c r="AX83" i="2262"/>
  <c r="BA83" i="2262"/>
  <c r="AV83" i="2262"/>
  <c r="AY83" i="2262"/>
  <c r="AQ83" i="2262"/>
  <c r="AR83" i="2262"/>
  <c r="AW135" i="2262"/>
  <c r="BA135" i="2262"/>
  <c r="AP135" i="2262"/>
  <c r="AZ135" i="2262"/>
  <c r="AS135" i="2262"/>
  <c r="AY135" i="2262"/>
  <c r="AR135" i="2262"/>
  <c r="AV135" i="2262"/>
  <c r="AX135" i="2262"/>
  <c r="AQ135" i="2262"/>
  <c r="AO135" i="2262"/>
  <c r="AU7" i="2262"/>
  <c r="AV144" i="2262"/>
  <c r="AX144" i="2262"/>
  <c r="AZ144" i="2262"/>
  <c r="AR144" i="2262"/>
  <c r="AO144" i="2262"/>
  <c r="AW144" i="2262"/>
  <c r="BA144" i="2262"/>
  <c r="AS144" i="2262"/>
  <c r="AY144" i="2262"/>
  <c r="AP144" i="2262"/>
  <c r="AQ144" i="2262"/>
  <c r="AS119" i="2262"/>
  <c r="AW119" i="2262"/>
  <c r="AX119" i="2262"/>
  <c r="AZ119" i="2262"/>
  <c r="AQ119" i="2262"/>
  <c r="AO119" i="2262"/>
  <c r="BA119" i="2262"/>
  <c r="AV119" i="2262"/>
  <c r="AR119" i="2262"/>
  <c r="AY119" i="2262"/>
  <c r="AP119" i="2262"/>
  <c r="AV146" i="2262"/>
  <c r="AX146" i="2262"/>
  <c r="AW146" i="2262"/>
  <c r="AZ146" i="2262"/>
  <c r="AP146" i="2262"/>
  <c r="AO146" i="2262"/>
  <c r="BA146" i="2262"/>
  <c r="AS146" i="2262"/>
  <c r="AQ146" i="2262"/>
  <c r="AY146" i="2262"/>
  <c r="AR146" i="2262"/>
  <c r="AS63" i="2262"/>
  <c r="AW63" i="2262"/>
  <c r="AX63" i="2262"/>
  <c r="AZ63" i="2262"/>
  <c r="AQ63" i="2262"/>
  <c r="AO63" i="2262"/>
  <c r="BA63" i="2262"/>
  <c r="AV63" i="2262"/>
  <c r="AR63" i="2262"/>
  <c r="AY63" i="2262"/>
  <c r="AP63" i="2262"/>
  <c r="AV178" i="2262"/>
  <c r="AX178" i="2262"/>
  <c r="AW178" i="2262"/>
  <c r="AZ178" i="2262"/>
  <c r="AP178" i="2262"/>
  <c r="AO178" i="2262"/>
  <c r="BA178" i="2262"/>
  <c r="AS178" i="2262"/>
  <c r="AQ178" i="2262"/>
  <c r="AY178" i="2262"/>
  <c r="AR178" i="2262"/>
  <c r="BA76" i="2262"/>
  <c r="AO76" i="2262"/>
  <c r="AR76" i="2262"/>
  <c r="AY76" i="2262"/>
  <c r="AX76" i="2262"/>
  <c r="AZ76" i="2262"/>
  <c r="AQ76" i="2262"/>
  <c r="AW76" i="2262"/>
  <c r="AP76" i="2262"/>
  <c r="AV76" i="2262"/>
  <c r="AS76" i="2262"/>
  <c r="AW8" i="2262"/>
  <c r="AZ8" i="2262"/>
  <c r="AP8" i="2262"/>
  <c r="AX8" i="2262"/>
  <c r="AO8" i="2262"/>
  <c r="AQ8" i="2262"/>
  <c r="BA8" i="2262"/>
  <c r="AR8" i="2262"/>
  <c r="AV8" i="2262"/>
  <c r="AS8" i="2262"/>
  <c r="AY8" i="2262"/>
  <c r="AX157" i="2262"/>
  <c r="AZ157" i="2262"/>
  <c r="AQ157" i="2262"/>
  <c r="AY157" i="2262"/>
  <c r="AO157" i="2262"/>
  <c r="AR157" i="2262"/>
  <c r="BA157" i="2262"/>
  <c r="AP157" i="2262"/>
  <c r="AV157" i="2262"/>
  <c r="AS157" i="2262"/>
  <c r="AW157" i="2262"/>
  <c r="AX54" i="2262"/>
  <c r="BA54" i="2262"/>
  <c r="AR54" i="2262"/>
  <c r="AY54" i="2262"/>
  <c r="AZ54" i="2262"/>
  <c r="AV54" i="2262"/>
  <c r="AO54" i="2262"/>
  <c r="AW54" i="2262"/>
  <c r="AS54" i="2262"/>
  <c r="AQ54" i="2262"/>
  <c r="AP54" i="2262"/>
  <c r="AU79" i="2262"/>
  <c r="AS28" i="2262"/>
  <c r="AX28" i="2262"/>
  <c r="AY28" i="2262"/>
  <c r="BA28" i="2262"/>
  <c r="AR28" i="2262"/>
  <c r="AP28" i="2262"/>
  <c r="AO28" i="2262"/>
  <c r="AW28" i="2262"/>
  <c r="AZ28" i="2262"/>
  <c r="AQ28" i="2262"/>
  <c r="AV28" i="2262"/>
  <c r="AV38" i="2262"/>
  <c r="AY38" i="2262"/>
  <c r="AW38" i="2262"/>
  <c r="AZ38" i="2262"/>
  <c r="AP38" i="2262"/>
  <c r="AO38" i="2262"/>
  <c r="BA38" i="2262"/>
  <c r="AS38" i="2262"/>
  <c r="AX38" i="2262"/>
  <c r="AR38" i="2262"/>
  <c r="AQ38" i="2262"/>
  <c r="AT57" i="2262"/>
  <c r="AS68" i="2262"/>
  <c r="AX68" i="2262"/>
  <c r="AY68" i="2262"/>
  <c r="BA68" i="2262"/>
  <c r="AR68" i="2262"/>
  <c r="AP68" i="2262"/>
  <c r="AO68" i="2262"/>
  <c r="AW68" i="2262"/>
  <c r="AZ68" i="2262"/>
  <c r="AV68" i="2262"/>
  <c r="AQ68" i="2262"/>
  <c r="AV181" i="2262"/>
  <c r="AY181" i="2262"/>
  <c r="AW181" i="2262"/>
  <c r="BA181" i="2262"/>
  <c r="AP181" i="2262"/>
  <c r="AQ181" i="2262"/>
  <c r="AO181" i="2262"/>
  <c r="AX181" i="2262"/>
  <c r="AZ181" i="2262"/>
  <c r="AS181" i="2262"/>
  <c r="AR181" i="2262"/>
  <c r="AS170" i="2262"/>
  <c r="AY170" i="2262"/>
  <c r="AX170" i="2262"/>
  <c r="BA170" i="2262"/>
  <c r="AR170" i="2262"/>
  <c r="AP170" i="2262"/>
  <c r="AO170" i="2262"/>
  <c r="AW170" i="2262"/>
  <c r="AZ170" i="2262"/>
  <c r="AV170" i="2262"/>
  <c r="AQ170" i="2262"/>
  <c r="AV23" i="2262"/>
  <c r="AY23" i="2262"/>
  <c r="AW23" i="2262"/>
  <c r="BA23" i="2262"/>
  <c r="AP23" i="2262"/>
  <c r="AQ23" i="2262"/>
  <c r="AO23" i="2262"/>
  <c r="AX23" i="2262"/>
  <c r="AZ23" i="2262"/>
  <c r="AS23" i="2262"/>
  <c r="AR23" i="2262"/>
  <c r="AV149" i="2262"/>
  <c r="AY149" i="2262"/>
  <c r="AW149" i="2262"/>
  <c r="BA149" i="2262"/>
  <c r="AP149" i="2262"/>
  <c r="AQ149" i="2262"/>
  <c r="AO149" i="2262"/>
  <c r="AX149" i="2262"/>
  <c r="AZ149" i="2262"/>
  <c r="AS149" i="2262"/>
  <c r="AR149" i="2262"/>
  <c r="AV121" i="2262"/>
  <c r="AY121" i="2262"/>
  <c r="AW121" i="2262"/>
  <c r="BA121" i="2262"/>
  <c r="AP121" i="2262"/>
  <c r="AQ121" i="2262"/>
  <c r="AO121" i="2262"/>
  <c r="AX121" i="2262"/>
  <c r="AZ121" i="2262"/>
  <c r="AS121" i="2262"/>
  <c r="AR121" i="2262"/>
  <c r="AV101" i="2262"/>
  <c r="AY101" i="2262"/>
  <c r="AW101" i="2262"/>
  <c r="BA101" i="2262"/>
  <c r="AP101" i="2262"/>
  <c r="AQ101" i="2262"/>
  <c r="AO101" i="2262"/>
  <c r="AX101" i="2262"/>
  <c r="AZ101" i="2262"/>
  <c r="AS101" i="2262"/>
  <c r="AR101" i="2262"/>
  <c r="AS184" i="2262"/>
  <c r="AY184" i="2262"/>
  <c r="AX184" i="2262"/>
  <c r="BA184" i="2262"/>
  <c r="AR184" i="2262"/>
  <c r="AP184" i="2262"/>
  <c r="AO184" i="2262"/>
  <c r="AW184" i="2262"/>
  <c r="AZ184" i="2262"/>
  <c r="AV184" i="2262"/>
  <c r="AQ184" i="2262"/>
  <c r="AS138" i="2262"/>
  <c r="AY138" i="2262"/>
  <c r="AX138" i="2262"/>
  <c r="BA138" i="2262"/>
  <c r="AR138" i="2262"/>
  <c r="AP138" i="2262"/>
  <c r="AO138" i="2262"/>
  <c r="AW138" i="2262"/>
  <c r="AZ138" i="2262"/>
  <c r="AV138" i="2262"/>
  <c r="AQ138" i="2262"/>
  <c r="AT61" i="2262"/>
  <c r="AW22" i="2262"/>
  <c r="AZ22" i="2262"/>
  <c r="AP22" i="2262"/>
  <c r="AX22" i="2262"/>
  <c r="AO22" i="2262"/>
  <c r="AQ22" i="2262"/>
  <c r="BA22" i="2262"/>
  <c r="AS22" i="2262"/>
  <c r="AV22" i="2262"/>
  <c r="AR22" i="2262"/>
  <c r="AY22" i="2262"/>
  <c r="AZ46" i="2262"/>
  <c r="AP46" i="2262"/>
  <c r="AV46" i="2262"/>
  <c r="AX46" i="2262"/>
  <c r="BA46" i="2262"/>
  <c r="AS46" i="2262"/>
  <c r="AQ46" i="2262"/>
  <c r="AR46" i="2262"/>
  <c r="AY46" i="2262"/>
  <c r="AO46" i="2262"/>
  <c r="AW46" i="2262"/>
  <c r="AW45" i="2262"/>
  <c r="BA45" i="2262"/>
  <c r="AP45" i="2262"/>
  <c r="AZ45" i="2262"/>
  <c r="AQ45" i="2262"/>
  <c r="AS45" i="2262"/>
  <c r="AR45" i="2262"/>
  <c r="AY45" i="2262"/>
  <c r="AO45" i="2262"/>
  <c r="AX45" i="2262"/>
  <c r="AV45" i="2262"/>
  <c r="AO139" i="2262"/>
  <c r="AR139" i="2262"/>
  <c r="AX139" i="2262"/>
  <c r="AV139" i="2262"/>
  <c r="AY139" i="2262"/>
  <c r="AW139" i="2262"/>
  <c r="AP139" i="2262"/>
  <c r="AQ139" i="2262"/>
  <c r="AZ139" i="2262"/>
  <c r="BA139" i="2262"/>
  <c r="AS139" i="2262"/>
  <c r="AV30" i="2262"/>
  <c r="AY30" i="2262"/>
  <c r="AR30" i="2262"/>
  <c r="AW30" i="2262"/>
  <c r="AP30" i="2262"/>
  <c r="AO30" i="2262"/>
  <c r="BA30" i="2262"/>
  <c r="AZ30" i="2262"/>
  <c r="AQ30" i="2262"/>
  <c r="AS30" i="2262"/>
  <c r="AX30" i="2262"/>
  <c r="AU191" i="2262"/>
  <c r="AV154" i="2262"/>
  <c r="AX154" i="2262"/>
  <c r="AW154" i="2262"/>
  <c r="AZ154" i="2262"/>
  <c r="AP154" i="2262"/>
  <c r="AO154" i="2262"/>
  <c r="BA154" i="2262"/>
  <c r="AS154" i="2262"/>
  <c r="AQ154" i="2262"/>
  <c r="AY154" i="2262"/>
  <c r="AR154" i="2262"/>
  <c r="AT173" i="2262"/>
  <c r="AW124" i="2262"/>
  <c r="AZ124" i="2262"/>
  <c r="AP124" i="2262"/>
  <c r="AY124" i="2262"/>
  <c r="AO124" i="2262"/>
  <c r="AQ124" i="2262"/>
  <c r="BA124" i="2262"/>
  <c r="AR124" i="2262"/>
  <c r="AS124" i="2262"/>
  <c r="AV124" i="2262"/>
  <c r="AX124" i="2262"/>
  <c r="AW192" i="2262"/>
  <c r="AZ192" i="2262"/>
  <c r="AP192" i="2262"/>
  <c r="AY192" i="2262"/>
  <c r="AO192" i="2262"/>
  <c r="AQ192" i="2262"/>
  <c r="BA192" i="2262"/>
  <c r="AR192" i="2262"/>
  <c r="AS192" i="2262"/>
  <c r="AV192" i="2262"/>
  <c r="AX192" i="2262"/>
  <c r="AU44" i="2262"/>
  <c r="AT82" i="2262" l="1"/>
  <c r="AT158" i="2262"/>
  <c r="AT122" i="2262"/>
  <c r="AU122" i="2262"/>
  <c r="AU135" i="2262"/>
  <c r="AT169" i="2262"/>
  <c r="AT88" i="2262"/>
  <c r="AT25" i="2262"/>
  <c r="AU163" i="2262"/>
  <c r="AT18" i="2262"/>
  <c r="AT105" i="2262"/>
  <c r="AU117" i="2262"/>
  <c r="AT35" i="2262"/>
  <c r="AU152" i="2262"/>
  <c r="AU156" i="2262"/>
  <c r="AU92" i="2262"/>
  <c r="AU108" i="2262"/>
  <c r="AT108" i="2262"/>
  <c r="AT112" i="2262"/>
  <c r="AT154" i="2262"/>
  <c r="AT30" i="2262"/>
  <c r="AT101" i="2262"/>
  <c r="AT149" i="2262"/>
  <c r="AU38" i="2262"/>
  <c r="AU175" i="2262"/>
  <c r="AU105" i="2262"/>
  <c r="AT156" i="2262"/>
  <c r="AT63" i="2262"/>
  <c r="AU119" i="2262"/>
  <c r="AU104" i="2262"/>
  <c r="AT183" i="2262"/>
  <c r="AU86" i="2262"/>
  <c r="AT75" i="2262"/>
  <c r="AU52" i="2262"/>
  <c r="AU42" i="2262"/>
  <c r="AT42" i="2262"/>
  <c r="AU133" i="2262"/>
  <c r="AU35" i="2262"/>
  <c r="AU100" i="2262"/>
  <c r="AT142" i="2262"/>
  <c r="AT117" i="2262"/>
  <c r="AT170" i="2262"/>
  <c r="AT54" i="2262"/>
  <c r="AU178" i="2262"/>
  <c r="AT178" i="2262"/>
  <c r="AT144" i="2262"/>
  <c r="AT11" i="2262"/>
  <c r="AU111" i="2262"/>
  <c r="AU148" i="2262"/>
  <c r="AU106" i="2262"/>
  <c r="AU114" i="2262"/>
  <c r="AT104" i="2262"/>
  <c r="AT80" i="2262"/>
  <c r="AT151" i="2262"/>
  <c r="AT176" i="2262"/>
  <c r="AU141" i="2262"/>
  <c r="AT130" i="2262"/>
  <c r="AU182" i="2262"/>
  <c r="AT93" i="2262"/>
  <c r="AU19" i="2262"/>
  <c r="AU137" i="2262"/>
  <c r="AU12" i="2262"/>
  <c r="AT24" i="2262"/>
  <c r="AU168" i="2262"/>
  <c r="AT40" i="2262"/>
  <c r="AU84" i="2262"/>
  <c r="AU127" i="2262"/>
  <c r="AT136" i="2262"/>
  <c r="AU160" i="2262"/>
  <c r="AU73" i="2262"/>
  <c r="AU33" i="2262"/>
  <c r="AU36" i="2262"/>
  <c r="AU153" i="2262"/>
  <c r="AT21" i="2262"/>
  <c r="AU112" i="2262"/>
  <c r="AT181" i="2262"/>
  <c r="AT165" i="2262"/>
  <c r="AT98" i="2262"/>
  <c r="AT171" i="2262"/>
  <c r="AU65" i="2262"/>
  <c r="AU107" i="2262"/>
  <c r="AU23" i="2262"/>
  <c r="AT175" i="2262"/>
  <c r="AT95" i="2262"/>
  <c r="AT53" i="2262"/>
  <c r="AU109" i="2262"/>
  <c r="AT109" i="2262"/>
  <c r="AU45" i="2262"/>
  <c r="AU138" i="2262"/>
  <c r="AT121" i="2262"/>
  <c r="AT157" i="2262"/>
  <c r="AU144" i="2262"/>
  <c r="AT135" i="2262"/>
  <c r="AU145" i="2262"/>
  <c r="AU93" i="2262"/>
  <c r="AT126" i="2262"/>
  <c r="AU188" i="2262"/>
  <c r="AU41" i="2262"/>
  <c r="AU159" i="2262"/>
  <c r="AT69" i="2262"/>
  <c r="AU21" i="2262"/>
  <c r="AT124" i="2262"/>
  <c r="AU9" i="2262"/>
  <c r="AU29" i="2262"/>
  <c r="AT190" i="2262"/>
  <c r="AT177" i="2262"/>
  <c r="AU60" i="2262"/>
  <c r="AU18" i="2262"/>
  <c r="AT107" i="2262"/>
  <c r="AT150" i="2262"/>
  <c r="AT92" i="2262"/>
  <c r="AT192" i="2262"/>
  <c r="AU46" i="2262"/>
  <c r="AU101" i="2262"/>
  <c r="AT68" i="2262"/>
  <c r="AU8" i="2262"/>
  <c r="AT67" i="2262"/>
  <c r="AU98" i="2262"/>
  <c r="AU66" i="2262"/>
  <c r="AU169" i="2262"/>
  <c r="AU82" i="2262"/>
  <c r="AU91" i="2262"/>
  <c r="AT33" i="2262"/>
  <c r="AT161" i="2262"/>
  <c r="AU161" i="2262"/>
  <c r="AT100" i="2262"/>
  <c r="AU192" i="2262"/>
  <c r="AU124" i="2262"/>
  <c r="AU154" i="2262"/>
  <c r="AU30" i="2262"/>
  <c r="AT139" i="2262"/>
  <c r="AU139" i="2262"/>
  <c r="AT45" i="2262"/>
  <c r="AT46" i="2262"/>
  <c r="AU22" i="2262"/>
  <c r="AT22" i="2262"/>
  <c r="AT138" i="2262"/>
  <c r="AU184" i="2262"/>
  <c r="AU121" i="2262"/>
  <c r="AU149" i="2262"/>
  <c r="AT23" i="2262"/>
  <c r="AU170" i="2262"/>
  <c r="AU181" i="2262"/>
  <c r="AU68" i="2262"/>
  <c r="AT38" i="2262"/>
  <c r="AT28" i="2262"/>
  <c r="AU157" i="2262"/>
  <c r="AT8" i="2262"/>
  <c r="AT76" i="2262"/>
  <c r="AU63" i="2262"/>
  <c r="AU146" i="2262"/>
  <c r="AT146" i="2262"/>
  <c r="AT119" i="2262"/>
  <c r="AU83" i="2262"/>
  <c r="AT83" i="2262"/>
  <c r="AU11" i="2262"/>
  <c r="AT111" i="2262"/>
  <c r="AT113" i="2262"/>
  <c r="AU115" i="2262"/>
  <c r="AU70" i="2262"/>
  <c r="AT70" i="2262"/>
  <c r="AU165" i="2262"/>
  <c r="AU67" i="2262"/>
  <c r="AU80" i="2262"/>
  <c r="AT9" i="2262"/>
  <c r="AU151" i="2262"/>
  <c r="AU176" i="2262"/>
  <c r="AT141" i="2262"/>
  <c r="AT86" i="2262"/>
  <c r="AT29" i="2262"/>
  <c r="AU190" i="2262"/>
  <c r="AT66" i="2262"/>
  <c r="AT52" i="2262"/>
  <c r="AT55" i="2262"/>
  <c r="AU130" i="2262"/>
  <c r="AT182" i="2262"/>
  <c r="AU126" i="2262"/>
  <c r="AU17" i="2262"/>
  <c r="AT110" i="2262"/>
  <c r="AU95" i="2262"/>
  <c r="AT188" i="2262"/>
  <c r="AT41" i="2262"/>
  <c r="AU53" i="2262"/>
  <c r="AT131" i="2262"/>
  <c r="AT159" i="2262"/>
  <c r="AT137" i="2262"/>
  <c r="AT12" i="2262"/>
  <c r="AU24" i="2262"/>
  <c r="AT168" i="2262"/>
  <c r="AU40" i="2262"/>
  <c r="AT84" i="2262"/>
  <c r="AU136" i="2262"/>
  <c r="AT160" i="2262"/>
  <c r="AT65" i="2262"/>
  <c r="AT91" i="2262"/>
  <c r="AU88" i="2262"/>
  <c r="AT60" i="2262"/>
  <c r="AT36" i="2262"/>
  <c r="AU150" i="2262"/>
  <c r="AU142" i="2262"/>
  <c r="AT184" i="2262"/>
  <c r="AU28" i="2262"/>
  <c r="AU54" i="2262"/>
  <c r="AU76" i="2262"/>
  <c r="AT106" i="2262"/>
  <c r="AT114" i="2262"/>
  <c r="AU183" i="2262"/>
  <c r="AU75" i="2262"/>
  <c r="AU177" i="2262"/>
  <c r="AT133" i="2262"/>
  <c r="AU55" i="2262"/>
  <c r="AT145" i="2262"/>
  <c r="AU131" i="2262"/>
  <c r="AT19" i="2262"/>
  <c r="AT127" i="2262"/>
  <c r="AU171" i="2262"/>
  <c r="AT73" i="2262"/>
  <c r="AU69" i="2262"/>
  <c r="AU25" i="2262"/>
  <c r="AT163" i="2262"/>
  <c r="AT148" i="2262"/>
  <c r="AU113" i="2262"/>
  <c r="AT115" i="2262"/>
  <c r="AT17" i="2262"/>
  <c r="AU110" i="2262"/>
</calcChain>
</file>

<file path=xl/sharedStrings.xml><?xml version="1.0" encoding="utf-8"?>
<sst xmlns="http://schemas.openxmlformats.org/spreadsheetml/2006/main" count="1217" uniqueCount="652">
  <si>
    <t>NRO</t>
  </si>
  <si>
    <t>CGO</t>
  </si>
  <si>
    <t>DENOMINACION</t>
  </si>
  <si>
    <t>P001</t>
  </si>
  <si>
    <t>P1723</t>
  </si>
  <si>
    <t>P1763</t>
  </si>
  <si>
    <t>P1821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</si>
  <si>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</si>
  <si>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</si>
  <si>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</si>
  <si>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</si>
  <si>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</si>
  <si>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</si>
  <si>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</si>
  <si>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</si>
  <si>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</si>
  <si>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</si>
  <si>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</si>
  <si>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</si>
  <si>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</si>
  <si>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</si>
  <si>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</si>
  <si>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</si>
  <si>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</si>
  <si>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</si>
  <si>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</si>
  <si>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</si>
  <si>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</si>
  <si>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</si>
  <si>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</si>
  <si>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</si>
  <si>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</si>
  <si>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</si>
  <si>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</si>
  <si>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</si>
  <si>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</si>
  <si>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</si>
  <si>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</si>
  <si>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</si>
  <si>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</si>
  <si>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</si>
  <si>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</si>
  <si>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</si>
  <si>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</si>
  <si>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</si>
  <si>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</si>
  <si>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</si>
  <si>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</si>
  <si>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</si>
  <si>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</si>
  <si>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</si>
  <si>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</si>
  <si>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</si>
  <si>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</si>
  <si>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</si>
  <si>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</si>
  <si>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</si>
  <si>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</si>
  <si>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</si>
  <si>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</si>
  <si>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</si>
  <si>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</si>
  <si>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</si>
  <si>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</si>
  <si>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</si>
  <si>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</si>
  <si>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</si>
  <si>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</si>
  <si>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</si>
  <si>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</si>
  <si>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</si>
  <si>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</si>
  <si>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</si>
  <si>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</si>
  <si>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</si>
  <si>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</si>
  <si>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</si>
  <si>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</si>
  <si>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</si>
  <si>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</si>
  <si>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</si>
  <si>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</si>
  <si>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</si>
  <si>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</si>
  <si>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</si>
  <si>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</si>
  <si>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</si>
  <si>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</si>
  <si>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</si>
  <si>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</si>
  <si>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</si>
  <si>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</si>
  <si>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</si>
  <si>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</si>
  <si>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</si>
  <si>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</si>
  <si>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</si>
  <si>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</si>
  <si>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</si>
  <si>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</si>
  <si>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</si>
  <si>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</si>
  <si>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</si>
  <si>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</si>
  <si>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</si>
  <si>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</si>
  <si>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</si>
  <si>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</si>
  <si>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</si>
  <si>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</si>
  <si>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</si>
  <si>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</si>
  <si>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</si>
  <si>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</si>
  <si>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</si>
  <si>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</si>
  <si>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</si>
  <si>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</si>
  <si>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</si>
  <si>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</si>
  <si>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</si>
  <si>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</si>
  <si>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</si>
  <si>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</si>
  <si>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</si>
  <si>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</si>
  <si>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</si>
  <si>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</si>
  <si>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</si>
  <si>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</si>
  <si>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</si>
  <si>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</si>
  <si>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</si>
  <si>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</si>
  <si>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</si>
  <si>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</si>
  <si>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</si>
  <si>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</si>
  <si>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</si>
  <si>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</si>
  <si>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</si>
  <si>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</si>
  <si>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</si>
  <si>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</si>
  <si>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</si>
  <si>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</si>
  <si>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</si>
  <si>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</si>
  <si>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</si>
  <si>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</si>
  <si>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</si>
  <si>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</si>
  <si>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</si>
  <si>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</si>
  <si>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</si>
  <si>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</si>
  <si>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</si>
  <si>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</si>
  <si>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13-256</t>
  </si>
  <si>
    <t>Director de 1ª Ens. Prim.T. P. P.</t>
  </si>
  <si>
    <t>13-260</t>
  </si>
  <si>
    <t>Director de 2ª Ens. Primaria</t>
  </si>
  <si>
    <t>13-265</t>
  </si>
  <si>
    <t>Director de 3ª Ens. Primaria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</si>
  <si>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</si>
  <si>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</si>
  <si>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</si>
  <si>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</si>
  <si>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</si>
  <si>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</si>
  <si>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</si>
  <si>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</si>
  <si>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</si>
  <si>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</si>
  <si>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</si>
  <si>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</si>
  <si>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</si>
  <si>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</si>
  <si>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</si>
  <si>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</si>
  <si>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</si>
  <si>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</si>
  <si>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</si>
  <si>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</si>
  <si>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</si>
  <si>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</si>
  <si>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</si>
  <si>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</si>
  <si>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</si>
  <si>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</si>
  <si>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</si>
  <si>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</si>
  <si>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</si>
  <si>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</si>
  <si>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</si>
  <si>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</si>
  <si>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</si>
  <si>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</si>
  <si>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</si>
  <si>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</si>
  <si>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</si>
  <si>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</si>
  <si>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</si>
  <si>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</si>
  <si>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</si>
  <si>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</si>
  <si>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</si>
  <si>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</si>
  <si>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</si>
  <si>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</si>
  <si>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</si>
  <si>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</si>
  <si>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</si>
  <si>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</si>
  <si>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</si>
  <si>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</si>
  <si>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</si>
  <si>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</si>
  <si>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</si>
  <si>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</si>
  <si>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</si>
  <si>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</si>
  <si>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</si>
  <si>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</si>
  <si>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</si>
  <si>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</si>
  <si>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</si>
  <si>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</si>
  <si>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</si>
  <si>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</si>
  <si>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</si>
  <si>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</si>
  <si>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</si>
  <si>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</si>
  <si>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</si>
  <si>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</si>
  <si>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</si>
  <si>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</si>
  <si>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</si>
  <si>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</si>
  <si>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</si>
  <si>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</si>
  <si>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</si>
  <si>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</si>
  <si>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</si>
  <si>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</si>
  <si>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</si>
  <si>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</si>
  <si>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</si>
  <si>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</si>
  <si>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</si>
  <si>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</si>
  <si>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</si>
  <si>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</si>
  <si>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</si>
  <si>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</si>
  <si>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</si>
  <si>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</si>
  <si>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</si>
  <si>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</si>
  <si>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</si>
  <si>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</si>
  <si>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</si>
  <si>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</si>
  <si>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</si>
  <si>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</si>
  <si>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</si>
  <si>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</si>
  <si>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</si>
  <si>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</si>
  <si>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</si>
  <si>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</si>
  <si>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</si>
  <si>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</si>
  <si>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</si>
  <si>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</si>
  <si>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</si>
  <si>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</si>
  <si>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</si>
  <si>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</si>
  <si>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</si>
  <si>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</si>
  <si>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</si>
  <si>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</si>
  <si>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</si>
  <si>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</si>
  <si>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</si>
  <si>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</si>
  <si>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</si>
  <si>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</si>
  <si>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</si>
  <si>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</si>
  <si>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</si>
  <si>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</si>
  <si>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</si>
  <si>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</si>
  <si>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13-517</t>
  </si>
  <si>
    <t>Maestro Esp Artística</t>
  </si>
  <si>
    <t>13-520</t>
  </si>
  <si>
    <t>Preceptor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</si>
  <si>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</si>
  <si>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</si>
  <si>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</si>
  <si>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</si>
  <si>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</si>
  <si>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</si>
  <si>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</si>
  <si>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</si>
  <si>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</si>
  <si>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</si>
  <si>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</si>
  <si>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</si>
  <si>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</si>
  <si>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</si>
  <si>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</si>
  <si>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</si>
  <si>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</si>
  <si>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</si>
  <si>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</si>
  <si>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</si>
  <si>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</si>
  <si>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</si>
  <si>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</si>
  <si>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</si>
  <si>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</si>
  <si>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</si>
  <si>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</si>
  <si>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</si>
  <si>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</si>
  <si>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</si>
  <si>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</si>
  <si>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</si>
  <si>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</si>
  <si>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</si>
  <si>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</si>
  <si>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</si>
  <si>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</si>
  <si>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</si>
  <si>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</si>
  <si>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</si>
  <si>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</si>
  <si>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</si>
  <si>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</si>
  <si>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</si>
  <si>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</si>
  <si>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</si>
  <si>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</si>
  <si>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</si>
  <si>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</si>
  <si>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</si>
  <si>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</si>
  <si>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</si>
  <si>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13-800</t>
  </si>
  <si>
    <t>Mtro. Mat. Esp. Esc. Hogar</t>
  </si>
  <si>
    <t>13-900</t>
  </si>
  <si>
    <t>13-910</t>
  </si>
  <si>
    <t>13-920</t>
  </si>
  <si>
    <t>Hs. Cat. Ley 22416 01 Hora</t>
  </si>
  <si>
    <t>Presidente Junta Clas. Primaria</t>
  </si>
  <si>
    <t>Vocal Junta Clas. Primaria</t>
  </si>
  <si>
    <t>Miembro Vocal de Junta D.E.M.E.S.</t>
  </si>
  <si>
    <t xml:space="preserve">Basico </t>
  </si>
  <si>
    <t>Ded. Funcional</t>
  </si>
  <si>
    <t>Ded. Excl.</t>
  </si>
  <si>
    <t>Compl. Esp.</t>
  </si>
  <si>
    <t xml:space="preserve">Ad. Rem </t>
  </si>
  <si>
    <t>Est. Doc</t>
  </si>
  <si>
    <t>Supl. Cap.</t>
  </si>
  <si>
    <t>P.Cal Ed.</t>
  </si>
  <si>
    <t>Func. Jer</t>
  </si>
  <si>
    <t>Pr.Jor Func.</t>
  </si>
  <si>
    <t>Pr.Jor Pts.</t>
  </si>
  <si>
    <t>Bon Minor.</t>
  </si>
  <si>
    <t>Fun. Dif</t>
  </si>
  <si>
    <t>Remun</t>
  </si>
  <si>
    <t>Total</t>
  </si>
  <si>
    <t>M.Did. Anual</t>
  </si>
  <si>
    <t>M.Did Men.</t>
  </si>
  <si>
    <t>No Rem</t>
  </si>
  <si>
    <t>Antig</t>
  </si>
  <si>
    <t>Valor del Punto</t>
  </si>
  <si>
    <t>P1839</t>
  </si>
  <si>
    <t>Bon. Por Minoridad</t>
  </si>
  <si>
    <t>Años</t>
  </si>
  <si>
    <t>Porcentaje</t>
  </si>
  <si>
    <t>P1803</t>
  </si>
  <si>
    <t>Maestro Mat. Esp. - Ex. Cons. Menor</t>
  </si>
  <si>
    <t>Ad Rem Hs</t>
  </si>
  <si>
    <t>Compl. Inicial</t>
  </si>
  <si>
    <t>Prom hs</t>
  </si>
  <si>
    <t>13-041</t>
  </si>
  <si>
    <t>Inspector de Jovenes y Adultos</t>
  </si>
  <si>
    <t>13-020</t>
  </si>
  <si>
    <t xml:space="preserve">Inspector Gral. De Adultos </t>
  </si>
  <si>
    <t>Fondo</t>
  </si>
  <si>
    <t>Ad R Doc</t>
  </si>
  <si>
    <t>Nuevo  A.R.D.</t>
  </si>
  <si>
    <t>C100003</t>
  </si>
  <si>
    <t>C117230</t>
  </si>
  <si>
    <t>C117630</t>
  </si>
  <si>
    <t>C118210</t>
  </si>
  <si>
    <t>C130300</t>
  </si>
  <si>
    <t>C110230</t>
  </si>
  <si>
    <t>C117730</t>
  </si>
  <si>
    <t>C117430</t>
  </si>
  <si>
    <t>C118420</t>
  </si>
  <si>
    <t>C117930</t>
  </si>
  <si>
    <t>C117830</t>
  </si>
  <si>
    <t>C118030</t>
  </si>
  <si>
    <t>C118510</t>
  </si>
  <si>
    <t>C 117900</t>
  </si>
  <si>
    <t>C114200</t>
  </si>
  <si>
    <t>C118390</t>
  </si>
  <si>
    <t>C117330</t>
  </si>
  <si>
    <t>C117530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</si>
  <si>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</si>
  <si>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</si>
  <si>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</si>
  <si>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</si>
  <si>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</si>
  <si>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</si>
  <si>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</si>
  <si>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</si>
  <si>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</si>
  <si>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</si>
  <si>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</si>
  <si>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</si>
  <si>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</si>
  <si>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</si>
  <si>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</si>
  <si>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</si>
  <si>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</si>
  <si>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</si>
  <si>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</si>
  <si>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</si>
  <si>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</si>
  <si>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</si>
  <si>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</si>
  <si>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</si>
  <si>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</si>
  <si>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Preceptor Escuela de Mod Especial</t>
  </si>
  <si>
    <t>13-797</t>
  </si>
  <si>
    <t>Preceptor Jor Compl, Esc Hogar, An Alb</t>
  </si>
  <si>
    <t>13-930</t>
  </si>
  <si>
    <t>Zona</t>
  </si>
  <si>
    <t>ANTIGÜEDAD (EN AÑOS)</t>
  </si>
  <si>
    <t>ZONA DESFAVORABLE (EN NUMEROS)</t>
  </si>
  <si>
    <t>Jornada Extendida Modulo de 2 hs</t>
  </si>
  <si>
    <t>Mat. Did. Mens (5%)</t>
  </si>
  <si>
    <t>Mat. Did. Hs.</t>
  </si>
  <si>
    <t>Adel Inc Docente</t>
  </si>
  <si>
    <t>C130030</t>
  </si>
  <si>
    <t>HS FONID</t>
  </si>
  <si>
    <t>HS SEM</t>
  </si>
  <si>
    <t>Adic Rem Cgo 1</t>
  </si>
  <si>
    <t>Adic Rem Cgo 2</t>
  </si>
  <si>
    <t>Adic Rem Cgo 4</t>
  </si>
  <si>
    <t>Adic Rem Cgo 6</t>
  </si>
  <si>
    <t>C118360</t>
  </si>
  <si>
    <t>Prom Cgos 1</t>
  </si>
  <si>
    <t>Prom Cgos 2</t>
  </si>
  <si>
    <t>C118460</t>
  </si>
  <si>
    <t>x</t>
  </si>
  <si>
    <t>Maestro Mat. Esp. - Ex. Cons. Menor Jubilado</t>
  </si>
  <si>
    <t>Ad. Extr</t>
  </si>
  <si>
    <t>Adic Rem Cgo 7</t>
  </si>
  <si>
    <t>NO</t>
  </si>
  <si>
    <t>SI</t>
  </si>
  <si>
    <t>LIQ PN</t>
  </si>
  <si>
    <t>Supl. Cap 01</t>
  </si>
  <si>
    <t>Supl. Cap 02</t>
  </si>
  <si>
    <t>Titular Ded Simple</t>
  </si>
  <si>
    <t>Titular Ded Exclusiva</t>
  </si>
  <si>
    <t>Titular Ded Semiexclusiva</t>
  </si>
  <si>
    <t>Asociado Ded Simple</t>
  </si>
  <si>
    <t>Asiciado  Ded Semiexclusiva</t>
  </si>
  <si>
    <t>Asociado Ded Exclusiva</t>
  </si>
  <si>
    <t>Adjunto Ded Simple</t>
  </si>
  <si>
    <t>Adjunto  Ded Semiexclusiva</t>
  </si>
  <si>
    <t>Adjunto Ded Exclusiva</t>
  </si>
  <si>
    <t>Jefe Trabajos Practicos Ded Simple</t>
  </si>
  <si>
    <t>Jefe Trabajos Practicos Ded Semiexclusiva</t>
  </si>
  <si>
    <t>Jefe Trabajos Practicos Ded Exclusiva</t>
  </si>
  <si>
    <t>Ayudante Trabajos Practicos Ded Simple</t>
  </si>
  <si>
    <t>Ayudante Jefe Trabajos Practicos Ded Semiexclusiva</t>
  </si>
  <si>
    <t>Ayudante  Trabajos Practicos Ded Exclusiva</t>
  </si>
  <si>
    <t>45-200</t>
  </si>
  <si>
    <t>45-210</t>
  </si>
  <si>
    <t>Gto. Inh. Lab. Doc (5%)</t>
  </si>
  <si>
    <t>Gtos. Inh. Lab. Doc.</t>
  </si>
  <si>
    <t>Mat. Did. 930</t>
  </si>
  <si>
    <t>Gto. Inh. Lab. Doc 930</t>
  </si>
  <si>
    <t>Gto. Inh. Lab. Doc hs</t>
  </si>
  <si>
    <t>Gto. Inh. Lab. Doc 04</t>
  </si>
  <si>
    <t>Gto. Inh. Lab. Doc 03</t>
  </si>
  <si>
    <t>Gto. Inh. Lab. Doc 02</t>
  </si>
  <si>
    <t>Gto. Inh. Lab. Doc 01</t>
  </si>
  <si>
    <t>C112620</t>
  </si>
  <si>
    <t>Basico</t>
  </si>
  <si>
    <t>Total Rem</t>
  </si>
  <si>
    <t>Total No Rem</t>
  </si>
  <si>
    <t>Fonid hs</t>
  </si>
  <si>
    <t>13-100</t>
  </si>
  <si>
    <t>13-101</t>
  </si>
  <si>
    <t>13-102</t>
  </si>
  <si>
    <t>Adic Rem</t>
  </si>
  <si>
    <t>Est Doc</t>
  </si>
  <si>
    <t>Gildo</t>
  </si>
  <si>
    <t>Prom. Cal. Ed</t>
  </si>
  <si>
    <t>Ad. Rem Doc</t>
  </si>
  <si>
    <t>Nvo Ad. Rem. Doc</t>
  </si>
  <si>
    <t>Mat. Did.</t>
  </si>
  <si>
    <t>Fonid</t>
  </si>
  <si>
    <t>según pn 45 200</t>
  </si>
  <si>
    <t>según pn 45 210</t>
  </si>
  <si>
    <t>Director de 1ª Ens. Primaria (Jardin Inf)</t>
  </si>
  <si>
    <t>Director de 2ª Ens. Primaria (Jardin Inf)</t>
  </si>
  <si>
    <t>Director de 3ª Ens. Primaria (Jardin Inf)</t>
  </si>
  <si>
    <t>Fonid cgos</t>
  </si>
  <si>
    <t>45-100</t>
  </si>
  <si>
    <t>45-110</t>
  </si>
  <si>
    <t>45-120</t>
  </si>
  <si>
    <t>45-220</t>
  </si>
  <si>
    <t>45-300</t>
  </si>
  <si>
    <t>45-310</t>
  </si>
  <si>
    <t>45-320</t>
  </si>
  <si>
    <t>45-400</t>
  </si>
  <si>
    <t>45-410</t>
  </si>
  <si>
    <t>45-420</t>
  </si>
  <si>
    <t>45-500</t>
  </si>
  <si>
    <t>45-510</t>
  </si>
  <si>
    <t>45-520</t>
  </si>
  <si>
    <t>46-110</t>
  </si>
  <si>
    <t>Vicedecano</t>
  </si>
  <si>
    <t>46-120</t>
  </si>
  <si>
    <t>Rector</t>
  </si>
  <si>
    <t>46-130</t>
  </si>
  <si>
    <t>Secretario Academico</t>
  </si>
  <si>
    <t>46-100</t>
  </si>
  <si>
    <t>Decano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</si>
  <si>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</si>
  <si>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</si>
  <si>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</si>
  <si>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</si>
  <si>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</si>
  <si>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</si>
  <si>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</si>
  <si>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</si>
  <si>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</si>
  <si>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</si>
  <si>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</si>
  <si>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</si>
  <si>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</si>
  <si>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</si>
  <si>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TR</t>
  </si>
  <si>
    <t>TNR</t>
  </si>
  <si>
    <t>0101023</t>
  </si>
  <si>
    <t>0205005</t>
  </si>
  <si>
    <t>EQUIV</t>
  </si>
  <si>
    <t>0101024</t>
  </si>
  <si>
    <t>C120170</t>
  </si>
  <si>
    <t>Ap Mat Did Rem.</t>
  </si>
  <si>
    <t>Ap Mat Did Rem. Compl</t>
  </si>
  <si>
    <t>C121170</t>
  </si>
  <si>
    <t>Ap Mat Did Rem.Compl</t>
  </si>
  <si>
    <t>C130230</t>
  </si>
  <si>
    <t>Vicerector</t>
  </si>
  <si>
    <t>46-125</t>
  </si>
  <si>
    <t>46-165</t>
  </si>
  <si>
    <t>Director</t>
  </si>
  <si>
    <t>CONTROL</t>
  </si>
  <si>
    <t>Ap. Mat</t>
  </si>
  <si>
    <t>Ap. Mat.</t>
  </si>
  <si>
    <t>APROSS</t>
  </si>
  <si>
    <t>OS DIPE</t>
  </si>
  <si>
    <t>LIQUIDO C/ OS APROSS</t>
  </si>
  <si>
    <t>LIQUIDO C/ OS DIPE</t>
  </si>
  <si>
    <t>Aportes Personales</t>
  </si>
  <si>
    <t>Contribuciones Patronales</t>
  </si>
  <si>
    <t>Adic. Equip Escal. Gral. RM</t>
  </si>
  <si>
    <t>Titulo</t>
  </si>
  <si>
    <t>Ap. Jub.</t>
  </si>
  <si>
    <t>Ap. Jub. Compl</t>
  </si>
  <si>
    <t>Ob Soc</t>
  </si>
  <si>
    <t>Jub.</t>
  </si>
  <si>
    <t>Jub. Adic</t>
  </si>
  <si>
    <t>Jub. Compl</t>
  </si>
  <si>
    <t>COSTO</t>
  </si>
  <si>
    <t>45-900</t>
  </si>
  <si>
    <t>Ap Pers Jub</t>
  </si>
  <si>
    <t>Ap Pers Jub Compl</t>
  </si>
  <si>
    <t>Contr Patronal Jub</t>
  </si>
  <si>
    <t>Contr Patr Jub Adic</t>
  </si>
  <si>
    <t>Contr Patr Jub Compl</t>
  </si>
  <si>
    <t>Contr Patr APROSS</t>
  </si>
  <si>
    <t>Contr Patr OS DIPE</t>
  </si>
  <si>
    <t>DIPE ANSSAL</t>
  </si>
  <si>
    <t>Contr Patr DIPE ANSSAL</t>
  </si>
  <si>
    <t>C660060</t>
  </si>
  <si>
    <t>C660070</t>
  </si>
  <si>
    <t>C660300</t>
  </si>
  <si>
    <t>C672400</t>
  </si>
  <si>
    <t>C672440</t>
  </si>
  <si>
    <t>C662200</t>
  </si>
  <si>
    <t>C662400</t>
  </si>
  <si>
    <t>C662300</t>
  </si>
  <si>
    <t>C670920</t>
  </si>
  <si>
    <t>C661460</t>
  </si>
  <si>
    <t>C661470</t>
  </si>
  <si>
    <t>Corrección Pauta Salarial sobre FONID</t>
  </si>
  <si>
    <t>C120180</t>
  </si>
  <si>
    <t>Corr pauta FONID CGO</t>
  </si>
  <si>
    <t>Corr pauta FONID HS</t>
  </si>
  <si>
    <t>Nvo Ad. Rem Doc HS</t>
  </si>
  <si>
    <t>Ad. Rem. Doc HS</t>
  </si>
  <si>
    <t>LIQUIDO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</si>
  <si>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</si>
  <si>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</si>
  <si>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</si>
  <si>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</si>
  <si>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</si>
  <si>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</si>
  <si>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</si>
  <si>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</si>
  <si>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 xml:space="preserve"> </t>
  </si>
  <si>
    <t>Adic Rem Cgo 5 SUPERV</t>
  </si>
  <si>
    <t>Estado Docente %</t>
  </si>
  <si>
    <t>Mat. Did. Mensual Secr y Prosecr</t>
  </si>
  <si>
    <t>Mat. Did. Mensual Dir y Frente Alumnos</t>
  </si>
  <si>
    <t>Mat. Did. Mensual Prec Bibl y Ay Téc</t>
  </si>
  <si>
    <t>Mat. Did. Mensual Superv jor compl y min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</si>
  <si>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</si>
  <si>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</si>
  <si>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</si>
  <si>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</si>
  <si>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</si>
  <si>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</si>
  <si>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Adicional</t>
  </si>
  <si>
    <t>Horas Universitarias 09</t>
  </si>
  <si>
    <t>Horas Universitarias 10</t>
  </si>
  <si>
    <t>Horas Universitarias 11</t>
  </si>
  <si>
    <t>Horas Universitarias 12</t>
  </si>
  <si>
    <t>Correccion Pauta Salarial Remunerativa</t>
  </si>
  <si>
    <t>C 118340</t>
  </si>
  <si>
    <t>Correccion Pauta Salarial</t>
  </si>
  <si>
    <t>Correccion Pauta Salarial No Remunerativa</t>
  </si>
  <si>
    <t>C118350</t>
  </si>
  <si>
    <t>COBRA ADEL INC DOC (SI/NO)</t>
  </si>
  <si>
    <t>NARD Cgo</t>
  </si>
  <si>
    <t>ARD Cgo</t>
  </si>
  <si>
    <t>TOPE</t>
  </si>
  <si>
    <t>Valor Punto:$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</si>
</sst>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-* #,##0_-;\-* #,##0_-;_-* &quot;-&quot;_-;_-@_-"/>
    <numFmt numFmtId="166" formatCode="_(&quot;$&quot;* #,##0.00_);_(&quot;$&quot;* \(#,##0.00\);_(&quot;$&quot;* &quot;-&quot;??_);_(@_)"/>
    <numFmt numFmtId="167" formatCode="_ * #,##0_ ;_ * \-#,##0_ ;_ * &quot;-&quot;??_ ;_ @_ "/>
    <numFmt numFmtId="168" formatCode="0.0000"/>
    <numFmt numFmtId="169" formatCode="0_ ;\-0\ "/>
    <numFmt numFmtId="170" formatCode="0.000000"/>
    <numFmt numFmtId="171" formatCode="0.0000%"/>
    <numFmt numFmtId="172" formatCode="#,##0.00_ ;\-#,##0.00\ "/>
    <numFmt numFmtId="173" formatCode="_ * #,##0.00000_ ;_ * \-#,##0.00000_ ;_ * &quot;-&quot;??_ ;_ @_ "/>
  </numFmts>
  <fonts count="43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6"/>
      <color indexed="8"/>
      <name val="Times New Roman"/>
      <family val="1"/>
    </font>
    <font>
      <b/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u/>
      <sz val="10"/>
      <color indexed="12"/>
      <name val="Arial"/>
      <family val="2"/>
    </font>
    <font>
      <sz val="7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color indexed="9"/>
      <name val="Times New Roman"/>
      <family val="1"/>
    </font>
    <font>
      <sz val="6"/>
      <color indexed="9"/>
      <name val="Times New Roman"/>
      <family val="1"/>
    </font>
    <font>
      <b/>
      <sz val="20"/>
      <color indexed="8"/>
      <name val="Times New Roman"/>
      <family val="1"/>
    </font>
    <font>
      <b/>
      <sz val="7"/>
      <name val="Times New Roman"/>
      <family val="1"/>
    </font>
    <font>
      <sz val="6"/>
      <color theme="3" tint="0.79998168889431442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2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0"/>
      <name val="Times New Roman"/>
      <family val="1"/>
    </font>
    <font>
      <sz val="5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</borders>
  <cellStyleXfs count="4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9" fontId="35" fillId="0" borderId="0" applyFont="0" applyFill="0" applyBorder="0" applyAlignment="0" applyProtection="0"/>
  </cellStyleXfs>
  <cellXfs count="215">
    <xf numFmtId="0" fontId="0" fillId="0" borderId="0" xfId="0"/>
    <xf numFmtId="2" fontId="0" fillId="0" borderId="0" xfId="0" applyNumberFormat="1"/>
    <xf numFmtId="0" fontId="4" fillId="0" borderId="0" xfId="37" applyFont="1" applyFill="1" applyBorder="1"/>
    <xf numFmtId="43" fontId="4" fillId="0" borderId="0" xfId="35" applyNumberFormat="1" applyFont="1" applyFill="1" applyBorder="1"/>
    <xf numFmtId="43" fontId="4" fillId="0" borderId="0" xfId="37" applyNumberFormat="1" applyFont="1" applyFill="1" applyBorder="1"/>
    <xf numFmtId="0" fontId="4" fillId="0" borderId="10" xfId="37" applyFont="1" applyFill="1" applyBorder="1"/>
    <xf numFmtId="43" fontId="5" fillId="0" borderId="12" xfId="37" applyNumberFormat="1" applyFont="1" applyFill="1" applyBorder="1" applyAlignment="1">
      <alignment horizontal="center" wrapText="1"/>
    </xf>
    <xf numFmtId="43" fontId="6" fillId="0" borderId="0" xfId="35" applyNumberFormat="1" applyFont="1" applyFill="1" applyBorder="1" applyAlignment="1"/>
    <xf numFmtId="0" fontId="6" fillId="0" borderId="0" xfId="37" applyFont="1" applyFill="1" applyBorder="1" applyAlignment="1"/>
    <xf numFmtId="0" fontId="6" fillId="0" borderId="0" xfId="37" applyFont="1" applyFill="1" applyBorder="1"/>
    <xf numFmtId="0" fontId="6" fillId="0" borderId="0" xfId="37" applyFont="1" applyFill="1" applyBorder="1" applyAlignment="1">
      <alignment horizontal="left" wrapText="1"/>
    </xf>
    <xf numFmtId="0" fontId="4" fillId="0" borderId="0" xfId="37" applyFont="1" applyFill="1" applyBorder="1" applyAlignment="1">
      <alignment horizontal="center"/>
    </xf>
    <xf numFmtId="43" fontId="7" fillId="0" borderId="0" xfId="37" applyNumberFormat="1" applyFont="1" applyFill="1" applyBorder="1" applyAlignment="1">
      <alignment wrapText="1"/>
    </xf>
    <xf numFmtId="43" fontId="6" fillId="0" borderId="0" xfId="37" applyNumberFormat="1" applyFont="1" applyFill="1" applyBorder="1" applyAlignment="1"/>
    <xf numFmtId="43" fontId="0" fillId="0" borderId="0" xfId="0" applyNumberFormat="1"/>
    <xf numFmtId="43" fontId="7" fillId="0" borderId="0" xfId="37" applyNumberFormat="1" applyFont="1" applyFill="1" applyBorder="1" applyAlignment="1">
      <alignment horizontal="right" wrapText="1"/>
    </xf>
    <xf numFmtId="43" fontId="8" fillId="0" borderId="0" xfId="31" applyNumberFormat="1" applyFill="1" applyBorder="1" applyAlignment="1" applyProtection="1"/>
    <xf numFmtId="43" fontId="4" fillId="0" borderId="0" xfId="33" applyFont="1" applyFill="1" applyBorder="1"/>
    <xf numFmtId="43" fontId="0" fillId="0" borderId="0" xfId="33" applyFont="1"/>
    <xf numFmtId="43" fontId="4" fillId="0" borderId="0" xfId="33" applyFont="1" applyFill="1" applyBorder="1" applyAlignment="1"/>
    <xf numFmtId="0" fontId="6" fillId="0" borderId="0" xfId="37" applyFont="1" applyFill="1" applyBorder="1" applyAlignment="1">
      <alignment horizontal="center"/>
    </xf>
    <xf numFmtId="0" fontId="1" fillId="0" borderId="0" xfId="0" applyFont="1"/>
    <xf numFmtId="0" fontId="30" fillId="0" borderId="0" xfId="37" applyFont="1" applyFill="1" applyBorder="1"/>
    <xf numFmtId="0" fontId="5" fillId="0" borderId="0" xfId="37" applyFont="1" applyFill="1" applyBorder="1" applyAlignment="1">
      <alignment horizontal="left"/>
    </xf>
    <xf numFmtId="1" fontId="0" fillId="0" borderId="0" xfId="0" applyNumberFormat="1" applyFill="1" applyBorder="1"/>
    <xf numFmtId="43" fontId="31" fillId="0" borderId="0" xfId="37" applyNumberFormat="1" applyFont="1" applyFill="1" applyBorder="1"/>
    <xf numFmtId="0" fontId="31" fillId="0" borderId="0" xfId="37" applyFont="1" applyFill="1" applyBorder="1"/>
    <xf numFmtId="168" fontId="12" fillId="0" borderId="0" xfId="34" applyNumberFormat="1" applyFont="1" applyFill="1" applyBorder="1" applyAlignment="1">
      <alignment horizontal="center"/>
    </xf>
    <xf numFmtId="0" fontId="10" fillId="0" borderId="0" xfId="37" applyFont="1" applyFill="1" applyAlignment="1">
      <alignment horizontal="center"/>
    </xf>
    <xf numFmtId="0" fontId="5" fillId="0" borderId="13" xfId="37" applyFont="1" applyFill="1" applyBorder="1" applyAlignment="1">
      <alignment horizontal="center"/>
    </xf>
    <xf numFmtId="43" fontId="5" fillId="0" borderId="15" xfId="37" applyNumberFormat="1" applyFont="1" applyFill="1" applyBorder="1" applyAlignment="1">
      <alignment horizontal="center" vertical="center" wrapText="1"/>
    </xf>
    <xf numFmtId="168" fontId="12" fillId="0" borderId="0" xfId="34" applyNumberFormat="1" applyFont="1" applyFill="1" applyBorder="1" applyAlignment="1">
      <alignment vertical="center"/>
    </xf>
    <xf numFmtId="0" fontId="10" fillId="0" borderId="11" xfId="37" applyFont="1" applyFill="1" applyBorder="1" applyAlignment="1"/>
    <xf numFmtId="0" fontId="10" fillId="0" borderId="0" xfId="37" applyFont="1" applyFill="1" applyBorder="1" applyAlignment="1"/>
    <xf numFmtId="0" fontId="32" fillId="0" borderId="0" xfId="37" applyFont="1" applyFill="1" applyBorder="1" applyAlignment="1">
      <alignment vertical="center" wrapText="1"/>
    </xf>
    <xf numFmtId="0" fontId="5" fillId="0" borderId="0" xfId="37" applyFont="1" applyFill="1" applyBorder="1" applyAlignment="1">
      <alignment horizontal="right"/>
    </xf>
    <xf numFmtId="167" fontId="7" fillId="0" borderId="0" xfId="33" applyNumberFormat="1" applyFont="1" applyFill="1" applyBorder="1" applyAlignment="1">
      <alignment horizontal="right"/>
    </xf>
    <xf numFmtId="43" fontId="7" fillId="0" borderId="0" xfId="35" applyNumberFormat="1" applyFont="1" applyFill="1" applyBorder="1" applyAlignment="1">
      <alignment horizontal="right"/>
    </xf>
    <xf numFmtId="0" fontId="34" fillId="0" borderId="0" xfId="37" applyFont="1" applyFill="1" applyBorder="1"/>
    <xf numFmtId="43" fontId="0" fillId="0" borderId="0" xfId="33" applyNumberFormat="1" applyFont="1"/>
    <xf numFmtId="0" fontId="6" fillId="0" borderId="17" xfId="37" applyFont="1" applyFill="1" applyBorder="1" applyAlignment="1"/>
    <xf numFmtId="43" fontId="6" fillId="0" borderId="17" xfId="37" applyNumberFormat="1" applyFont="1" applyFill="1" applyBorder="1" applyAlignment="1"/>
    <xf numFmtId="43" fontId="7" fillId="0" borderId="17" xfId="37" applyNumberFormat="1" applyFont="1" applyFill="1" applyBorder="1" applyAlignment="1">
      <alignment horizontal="center"/>
    </xf>
    <xf numFmtId="43" fontId="6" fillId="0" borderId="12" xfId="35" applyNumberFormat="1" applyFont="1" applyFill="1" applyBorder="1" applyAlignment="1">
      <alignment horizontal="center"/>
    </xf>
    <xf numFmtId="43" fontId="6" fillId="0" borderId="12" xfId="37" applyNumberFormat="1" applyFont="1" applyFill="1" applyBorder="1" applyAlignment="1">
      <alignment horizontal="center"/>
    </xf>
    <xf numFmtId="43" fontId="6" fillId="0" borderId="17" xfId="37" applyNumberFormat="1" applyFont="1" applyFill="1" applyBorder="1" applyAlignment="1">
      <alignment horizontal="center"/>
    </xf>
    <xf numFmtId="43" fontId="6" fillId="0" borderId="18" xfId="37" applyNumberFormat="1" applyFont="1" applyFill="1" applyBorder="1" applyAlignment="1">
      <alignment horizontal="center"/>
    </xf>
    <xf numFmtId="0" fontId="6" fillId="24" borderId="0" xfId="37" applyFont="1" applyFill="1" applyBorder="1"/>
    <xf numFmtId="0" fontId="6" fillId="24" borderId="0" xfId="37" applyFont="1" applyFill="1" applyBorder="1" applyAlignment="1">
      <alignment horizontal="left" wrapText="1"/>
    </xf>
    <xf numFmtId="43" fontId="6" fillId="24" borderId="0" xfId="35" applyNumberFormat="1" applyFont="1" applyFill="1" applyBorder="1" applyAlignment="1"/>
    <xf numFmtId="43" fontId="7" fillId="24" borderId="0" xfId="37" applyNumberFormat="1" applyFont="1" applyFill="1" applyBorder="1" applyAlignment="1">
      <alignment horizontal="right" wrapText="1"/>
    </xf>
    <xf numFmtId="43" fontId="7" fillId="24" borderId="0" xfId="37" applyNumberFormat="1" applyFont="1" applyFill="1" applyBorder="1" applyAlignment="1">
      <alignment wrapText="1"/>
    </xf>
    <xf numFmtId="0" fontId="6" fillId="0" borderId="16" xfId="37" applyFont="1" applyFill="1" applyBorder="1"/>
    <xf numFmtId="0" fontId="6" fillId="0" borderId="16" xfId="37" applyFont="1" applyFill="1" applyBorder="1" applyAlignment="1">
      <alignment horizontal="left" wrapText="1"/>
    </xf>
    <xf numFmtId="43" fontId="7" fillId="0" borderId="16" xfId="37" applyNumberFormat="1" applyFont="1" applyFill="1" applyBorder="1" applyAlignment="1">
      <alignment horizontal="right" wrapText="1"/>
    </xf>
    <xf numFmtId="0" fontId="6" fillId="0" borderId="16" xfId="37" applyFont="1" applyFill="1" applyBorder="1" applyAlignment="1">
      <alignment horizontal="center"/>
    </xf>
    <xf numFmtId="0" fontId="4" fillId="0" borderId="16" xfId="37" applyFont="1" applyFill="1" applyBorder="1" applyAlignment="1">
      <alignment horizontal="center"/>
    </xf>
    <xf numFmtId="1" fontId="0" fillId="0" borderId="16" xfId="0" applyNumberFormat="1" applyFill="1" applyBorder="1"/>
    <xf numFmtId="0" fontId="6" fillId="0" borderId="16" xfId="37" applyFont="1" applyFill="1" applyBorder="1" applyAlignment="1"/>
    <xf numFmtId="0" fontId="4" fillId="0" borderId="16" xfId="37" applyFont="1" applyFill="1" applyBorder="1"/>
    <xf numFmtId="43" fontId="7" fillId="0" borderId="16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/>
    </xf>
    <xf numFmtId="43" fontId="36" fillId="0" borderId="0" xfId="37" applyNumberFormat="1" applyFont="1" applyFill="1" applyBorder="1"/>
    <xf numFmtId="2" fontId="6" fillId="0" borderId="0" xfId="37" applyNumberFormat="1" applyFont="1" applyFill="1" applyBorder="1" applyAlignment="1">
      <alignment horizontal="right" wrapText="1"/>
    </xf>
    <xf numFmtId="0" fontId="7" fillId="0" borderId="0" xfId="37" applyFont="1" applyFill="1" applyBorder="1" applyAlignment="1">
      <alignment horizontal="left" wrapText="1"/>
    </xf>
    <xf numFmtId="2" fontId="7" fillId="0" borderId="0" xfId="37" applyNumberFormat="1" applyFont="1" applyFill="1" applyBorder="1" applyAlignment="1">
      <alignment horizontal="right" wrapText="1"/>
    </xf>
    <xf numFmtId="0" fontId="10" fillId="0" borderId="0" xfId="37" applyFont="1" applyFill="1" applyBorder="1" applyAlignment="1">
      <alignment horizontal="center"/>
    </xf>
    <xf numFmtId="167" fontId="7" fillId="0" borderId="16" xfId="33" applyNumberFormat="1" applyFont="1" applyFill="1" applyBorder="1" applyAlignment="1">
      <alignment horizontal="right"/>
    </xf>
    <xf numFmtId="0" fontId="7" fillId="0" borderId="20" xfId="37" applyFont="1" applyFill="1" applyBorder="1" applyAlignment="1">
      <alignment horizontal="right"/>
    </xf>
    <xf numFmtId="43" fontId="6" fillId="0" borderId="18" xfId="37" applyNumberFormat="1" applyFont="1" applyFill="1" applyBorder="1" applyAlignment="1"/>
    <xf numFmtId="43" fontId="6" fillId="0" borderId="17" xfId="33" applyFont="1" applyFill="1" applyBorder="1" applyAlignment="1"/>
    <xf numFmtId="0" fontId="6" fillId="0" borderId="17" xfId="37" applyFont="1" applyFill="1" applyBorder="1"/>
    <xf numFmtId="43" fontId="6" fillId="0" borderId="18" xfId="35" applyNumberFormat="1" applyFont="1" applyFill="1" applyBorder="1" applyAlignment="1"/>
    <xf numFmtId="43" fontId="5" fillId="0" borderId="10" xfId="37" applyNumberFormat="1" applyFont="1" applyFill="1" applyBorder="1" applyAlignment="1">
      <alignment horizontal="center" vertical="center" wrapText="1"/>
    </xf>
    <xf numFmtId="43" fontId="5" fillId="0" borderId="10" xfId="37" applyNumberFormat="1" applyFont="1" applyFill="1" applyBorder="1" applyAlignment="1">
      <alignment horizontal="center" vertical="center"/>
    </xf>
    <xf numFmtId="43" fontId="5" fillId="0" borderId="10" xfId="33" applyFont="1" applyFill="1" applyBorder="1" applyAlignment="1">
      <alignment vertical="center" wrapText="1"/>
    </xf>
    <xf numFmtId="43" fontId="5" fillId="0" borderId="10" xfId="33" applyFont="1" applyFill="1" applyBorder="1" applyAlignment="1">
      <alignment horizontal="center" vertical="center" wrapText="1"/>
    </xf>
    <xf numFmtId="43" fontId="6" fillId="0" borderId="0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 wrapText="1"/>
    </xf>
    <xf numFmtId="43" fontId="9" fillId="0" borderId="0" xfId="35" applyNumberFormat="1" applyFont="1" applyFill="1" applyBorder="1" applyAlignment="1">
      <alignment horizontal="right"/>
    </xf>
    <xf numFmtId="43" fontId="6" fillId="0" borderId="16" xfId="35" applyNumberFormat="1" applyFont="1" applyFill="1" applyBorder="1" applyAlignment="1">
      <alignment horizontal="right"/>
    </xf>
    <xf numFmtId="43" fontId="6" fillId="0" borderId="16" xfId="37" applyNumberFormat="1" applyFont="1" applyFill="1" applyBorder="1" applyAlignment="1">
      <alignment horizontal="right" wrapText="1"/>
    </xf>
    <xf numFmtId="43" fontId="9" fillId="0" borderId="16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 wrapText="1"/>
    </xf>
    <xf numFmtId="43" fontId="9" fillId="0" borderId="16" xfId="37" applyNumberFormat="1" applyFont="1" applyFill="1" applyBorder="1" applyAlignment="1">
      <alignment horizontal="right" wrapText="1"/>
    </xf>
    <xf numFmtId="43" fontId="6" fillId="0" borderId="16" xfId="37" applyNumberFormat="1" applyFont="1" applyFill="1" applyBorder="1" applyAlignment="1">
      <alignment horizontal="right"/>
    </xf>
    <xf numFmtId="43" fontId="9" fillId="24" borderId="0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/>
    </xf>
    <xf numFmtId="43" fontId="9" fillId="0" borderId="16" xfId="37" applyNumberFormat="1" applyFont="1" applyFill="1" applyBorder="1" applyAlignment="1">
      <alignment horizontal="right"/>
    </xf>
    <xf numFmtId="43" fontId="6" fillId="0" borderId="0" xfId="33" applyNumberFormat="1" applyFont="1" applyFill="1" applyBorder="1" applyAlignment="1">
      <alignment horizontal="right"/>
    </xf>
    <xf numFmtId="43" fontId="6" fillId="0" borderId="16" xfId="33" applyNumberFormat="1" applyFont="1" applyFill="1" applyBorder="1" applyAlignment="1">
      <alignment horizontal="right"/>
    </xf>
    <xf numFmtId="0" fontId="6" fillId="0" borderId="17" xfId="37" applyFont="1" applyFill="1" applyBorder="1" applyAlignment="1">
      <alignment horizontal="center"/>
    </xf>
    <xf numFmtId="0" fontId="6" fillId="0" borderId="10" xfId="37" applyFont="1" applyFill="1" applyBorder="1" applyAlignment="1">
      <alignment horizontal="center" vertical="center" wrapText="1"/>
    </xf>
    <xf numFmtId="0" fontId="9" fillId="0" borderId="0" xfId="0" applyFont="1"/>
    <xf numFmtId="43" fontId="5" fillId="0" borderId="18" xfId="37" applyNumberFormat="1" applyFont="1" applyFill="1" applyBorder="1" applyAlignment="1">
      <alignment horizontal="center"/>
    </xf>
    <xf numFmtId="43" fontId="5" fillId="0" borderId="17" xfId="37" applyNumberFormat="1" applyFont="1" applyFill="1" applyBorder="1" applyAlignment="1">
      <alignment horizontal="center" wrapText="1"/>
    </xf>
    <xf numFmtId="43" fontId="7" fillId="0" borderId="15" xfId="37" applyNumberFormat="1" applyFont="1" applyFill="1" applyBorder="1" applyAlignment="1">
      <alignment horizontal="center" vertical="center" wrapText="1"/>
    </xf>
    <xf numFmtId="43" fontId="5" fillId="0" borderId="18" xfId="37" applyNumberFormat="1" applyFont="1" applyFill="1" applyBorder="1" applyAlignment="1">
      <alignment horizontal="center" wrapText="1"/>
    </xf>
    <xf numFmtId="0" fontId="10" fillId="0" borderId="19" xfId="37" applyFont="1" applyFill="1" applyBorder="1" applyAlignment="1"/>
    <xf numFmtId="169" fontId="4" fillId="0" borderId="11" xfId="35" applyNumberFormat="1" applyFont="1" applyFill="1" applyBorder="1"/>
    <xf numFmtId="0" fontId="0" fillId="0" borderId="11" xfId="0" applyBorder="1"/>
    <xf numFmtId="0" fontId="0" fillId="0" borderId="14" xfId="0" applyBorder="1"/>
    <xf numFmtId="0" fontId="0" fillId="0" borderId="20" xfId="0" applyBorder="1"/>
    <xf numFmtId="0" fontId="0" fillId="0" borderId="16" xfId="0" applyBorder="1"/>
    <xf numFmtId="0" fontId="0" fillId="0" borderId="18" xfId="0" applyBorder="1"/>
    <xf numFmtId="43" fontId="7" fillId="0" borderId="10" xfId="37" applyNumberFormat="1" applyFont="1" applyFill="1" applyBorder="1" applyAlignment="1">
      <alignment horizontal="center" vertical="center" wrapText="1"/>
    </xf>
    <xf numFmtId="43" fontId="7" fillId="0" borderId="17" xfId="37" applyNumberFormat="1" applyFont="1" applyFill="1" applyBorder="1" applyAlignment="1">
      <alignment horizontal="center" vertical="center" wrapText="1"/>
    </xf>
    <xf numFmtId="43" fontId="7" fillId="0" borderId="17" xfId="37" applyNumberFormat="1" applyFont="1" applyFill="1" applyBorder="1" applyAlignment="1">
      <alignment horizontal="center" vertical="center"/>
    </xf>
    <xf numFmtId="43" fontId="6" fillId="0" borderId="21" xfId="37" applyNumberFormat="1" applyFont="1" applyFill="1" applyBorder="1" applyAlignment="1">
      <alignment horizontal="center"/>
    </xf>
    <xf numFmtId="49" fontId="6" fillId="0" borderId="0" xfId="35" applyNumberFormat="1" applyFont="1" applyFill="1" applyBorder="1" applyAlignment="1"/>
    <xf numFmtId="0" fontId="6" fillId="0" borderId="22" xfId="37" applyFont="1" applyFill="1" applyBorder="1" applyAlignment="1">
      <alignment horizontal="center"/>
    </xf>
    <xf numFmtId="165" fontId="4" fillId="0" borderId="0" xfId="37" applyNumberFormat="1" applyFont="1" applyFill="1" applyBorder="1" applyAlignment="1">
      <alignment horizontal="right"/>
    </xf>
    <xf numFmtId="165" fontId="7" fillId="0" borderId="20" xfId="37" applyNumberFormat="1" applyFont="1" applyFill="1" applyBorder="1" applyAlignment="1">
      <alignment horizontal="right"/>
    </xf>
    <xf numFmtId="165" fontId="7" fillId="0" borderId="0" xfId="37" applyNumberFormat="1" applyFont="1" applyFill="1" applyBorder="1" applyAlignment="1">
      <alignment horizontal="right" wrapText="1"/>
    </xf>
    <xf numFmtId="165" fontId="7" fillId="0" borderId="16" xfId="37" applyNumberFormat="1" applyFont="1" applyFill="1" applyBorder="1" applyAlignment="1">
      <alignment horizontal="right" wrapText="1"/>
    </xf>
    <xf numFmtId="165" fontId="7" fillId="0" borderId="16" xfId="35" applyNumberFormat="1" applyFont="1" applyFill="1" applyBorder="1" applyAlignment="1">
      <alignment horizontal="right"/>
    </xf>
    <xf numFmtId="165" fontId="7" fillId="0" borderId="0" xfId="35" applyNumberFormat="1" applyFont="1" applyFill="1" applyBorder="1" applyAlignment="1">
      <alignment horizontal="right"/>
    </xf>
    <xf numFmtId="165" fontId="6" fillId="0" borderId="0" xfId="37" applyNumberFormat="1" applyFont="1" applyFill="1" applyBorder="1" applyAlignment="1">
      <alignment horizontal="right"/>
    </xf>
    <xf numFmtId="167" fontId="4" fillId="0" borderId="0" xfId="37" applyNumberFormat="1" applyFont="1" applyFill="1" applyBorder="1" applyAlignment="1">
      <alignment horizontal="right"/>
    </xf>
    <xf numFmtId="167" fontId="7" fillId="0" borderId="20" xfId="37" applyNumberFormat="1" applyFont="1" applyFill="1" applyBorder="1" applyAlignment="1">
      <alignment horizontal="right"/>
    </xf>
    <xf numFmtId="167" fontId="7" fillId="0" borderId="0" xfId="35" applyNumberFormat="1" applyFont="1" applyFill="1" applyBorder="1" applyAlignment="1">
      <alignment horizontal="right"/>
    </xf>
    <xf numFmtId="167" fontId="7" fillId="0" borderId="16" xfId="35" applyNumberFormat="1" applyFont="1" applyFill="1" applyBorder="1" applyAlignment="1">
      <alignment horizontal="right"/>
    </xf>
    <xf numFmtId="167" fontId="6" fillId="0" borderId="0" xfId="37" applyNumberFormat="1" applyFont="1" applyFill="1" applyBorder="1" applyAlignment="1">
      <alignment horizontal="right"/>
    </xf>
    <xf numFmtId="167" fontId="7" fillId="0" borderId="0" xfId="37" applyNumberFormat="1" applyFont="1" applyFill="1" applyBorder="1" applyAlignment="1">
      <alignment horizontal="right"/>
    </xf>
    <xf numFmtId="167" fontId="7" fillId="0" borderId="16" xfId="37" applyNumberFormat="1" applyFont="1" applyFill="1" applyBorder="1" applyAlignment="1">
      <alignment horizontal="right"/>
    </xf>
    <xf numFmtId="165" fontId="33" fillId="0" borderId="0" xfId="35" applyNumberFormat="1" applyFont="1" applyFill="1" applyBorder="1" applyAlignment="1">
      <alignment horizontal="right"/>
    </xf>
    <xf numFmtId="165" fontId="4" fillId="0" borderId="0" xfId="35" applyNumberFormat="1" applyFont="1" applyFill="1" applyBorder="1"/>
    <xf numFmtId="0" fontId="7" fillId="0" borderId="0" xfId="37" applyFont="1" applyFill="1" applyBorder="1" applyAlignment="1">
      <alignment horizontal="right"/>
    </xf>
    <xf numFmtId="43" fontId="4" fillId="0" borderId="0" xfId="35" applyNumberFormat="1" applyFont="1" applyFill="1" applyBorder="1" applyAlignment="1"/>
    <xf numFmtId="165" fontId="4" fillId="0" borderId="0" xfId="37" applyNumberFormat="1" applyFont="1" applyFill="1" applyBorder="1" applyAlignment="1">
      <alignment horizontal="right" wrapText="1"/>
    </xf>
    <xf numFmtId="165" fontId="7" fillId="0" borderId="20" xfId="37" applyNumberFormat="1" applyFont="1" applyFill="1" applyBorder="1" applyAlignment="1">
      <alignment horizontal="right" wrapText="1"/>
    </xf>
    <xf numFmtId="165" fontId="7" fillId="0" borderId="16" xfId="35" applyNumberFormat="1" applyFont="1" applyFill="1" applyBorder="1" applyAlignment="1">
      <alignment horizontal="right" wrapText="1"/>
    </xf>
    <xf numFmtId="165" fontId="7" fillId="0" borderId="0" xfId="35" applyNumberFormat="1" applyFont="1" applyFill="1" applyBorder="1" applyAlignment="1">
      <alignment horizontal="right" wrapText="1"/>
    </xf>
    <xf numFmtId="165" fontId="6" fillId="0" borderId="0" xfId="37" applyNumberFormat="1" applyFont="1" applyFill="1" applyBorder="1" applyAlignment="1">
      <alignment horizontal="right" wrapText="1"/>
    </xf>
    <xf numFmtId="2" fontId="31" fillId="0" borderId="0" xfId="33" applyNumberFormat="1" applyFont="1" applyFill="1" applyBorder="1" applyAlignment="1"/>
    <xf numFmtId="43" fontId="4" fillId="0" borderId="0" xfId="37" applyNumberFormat="1" applyFont="1" applyFill="1" applyBorder="1" applyAlignment="1"/>
    <xf numFmtId="43" fontId="0" fillId="0" borderId="0" xfId="33" applyFont="1" applyFill="1"/>
    <xf numFmtId="168" fontId="0" fillId="0" borderId="0" xfId="0" applyNumberFormat="1" applyFill="1"/>
    <xf numFmtId="43" fontId="9" fillId="24" borderId="0" xfId="37" applyNumberFormat="1" applyFont="1" applyFill="1" applyBorder="1" applyAlignment="1">
      <alignment horizontal="right"/>
    </xf>
    <xf numFmtId="43" fontId="7" fillId="0" borderId="0" xfId="37" applyNumberFormat="1" applyFont="1" applyFill="1" applyBorder="1" applyAlignment="1">
      <alignment horizontal="right"/>
    </xf>
    <xf numFmtId="43" fontId="7" fillId="0" borderId="16" xfId="37" applyNumberFormat="1" applyFont="1" applyFill="1" applyBorder="1" applyAlignment="1">
      <alignment horizontal="right"/>
    </xf>
    <xf numFmtId="167" fontId="4" fillId="0" borderId="0" xfId="34" applyNumberFormat="1" applyFont="1" applyFill="1" applyBorder="1" applyAlignment="1">
      <alignment horizontal="right"/>
    </xf>
    <xf numFmtId="167" fontId="7" fillId="0" borderId="20" xfId="34" applyNumberFormat="1" applyFont="1" applyFill="1" applyBorder="1" applyAlignment="1">
      <alignment horizontal="right"/>
    </xf>
    <xf numFmtId="167" fontId="7" fillId="0" borderId="0" xfId="34" applyNumberFormat="1" applyFont="1" applyFill="1" applyBorder="1" applyAlignment="1">
      <alignment horizontal="right" wrapText="1"/>
    </xf>
    <xf numFmtId="167" fontId="7" fillId="0" borderId="16" xfId="34" applyNumberFormat="1" applyFont="1" applyFill="1" applyBorder="1" applyAlignment="1">
      <alignment horizontal="right" wrapText="1"/>
    </xf>
    <xf numFmtId="167" fontId="7" fillId="0" borderId="0" xfId="34" applyNumberFormat="1" applyFont="1" applyFill="1" applyBorder="1" applyAlignment="1">
      <alignment horizontal="right"/>
    </xf>
    <xf numFmtId="167" fontId="7" fillId="0" borderId="16" xfId="34" applyNumberFormat="1" applyFont="1" applyFill="1" applyBorder="1" applyAlignment="1">
      <alignment horizontal="right"/>
    </xf>
    <xf numFmtId="167" fontId="6" fillId="0" borderId="0" xfId="34" applyNumberFormat="1" applyFont="1" applyFill="1" applyBorder="1" applyAlignment="1">
      <alignment horizontal="right"/>
    </xf>
    <xf numFmtId="0" fontId="37" fillId="0" borderId="0" xfId="37" applyFont="1" applyFill="1" applyBorder="1" applyAlignment="1">
      <alignment horizontal="center" vertical="center" wrapText="1"/>
    </xf>
    <xf numFmtId="43" fontId="6" fillId="0" borderId="10" xfId="37" applyNumberFormat="1" applyFont="1" applyFill="1" applyBorder="1" applyAlignment="1">
      <alignment horizontal="center" vertical="center" wrapText="1"/>
    </xf>
    <xf numFmtId="43" fontId="6" fillId="0" borderId="17" xfId="37" applyNumberFormat="1" applyFont="1" applyFill="1" applyBorder="1" applyAlignment="1">
      <alignment horizontal="center" vertical="center" wrapText="1"/>
    </xf>
    <xf numFmtId="43" fontId="6" fillId="0" borderId="0" xfId="37" applyNumberFormat="1" applyFont="1" applyFill="1" applyBorder="1" applyAlignment="1">
      <alignment wrapText="1"/>
    </xf>
    <xf numFmtId="43" fontId="6" fillId="0" borderId="16" xfId="37" applyNumberFormat="1" applyFont="1" applyFill="1" applyBorder="1" applyAlignment="1">
      <alignment wrapText="1"/>
    </xf>
    <xf numFmtId="43" fontId="6" fillId="0" borderId="16" xfId="37" applyNumberFormat="1" applyFont="1" applyFill="1" applyBorder="1" applyAlignment="1"/>
    <xf numFmtId="43" fontId="5" fillId="0" borderId="0" xfId="37" applyNumberFormat="1" applyFont="1" applyFill="1" applyBorder="1"/>
    <xf numFmtId="168" fontId="38" fillId="0" borderId="0" xfId="34" applyNumberFormat="1" applyFont="1" applyFill="1" applyBorder="1" applyAlignment="1">
      <alignment horizontal="center"/>
    </xf>
    <xf numFmtId="43" fontId="7" fillId="0" borderId="17" xfId="37" applyNumberFormat="1" applyFont="1" applyFill="1" applyBorder="1" applyAlignment="1"/>
    <xf numFmtId="168" fontId="39" fillId="0" borderId="0" xfId="34" applyNumberFormat="1" applyFont="1" applyFill="1" applyBorder="1" applyAlignment="1">
      <alignment horizontal="center"/>
    </xf>
    <xf numFmtId="0" fontId="5" fillId="0" borderId="0" xfId="37" applyFont="1" applyFill="1" applyBorder="1" applyAlignment="1">
      <alignment horizontal="center" wrapText="1"/>
    </xf>
    <xf numFmtId="10" fontId="6" fillId="0" borderId="17" xfId="47" applyNumberFormat="1" applyFont="1" applyFill="1" applyBorder="1" applyAlignment="1">
      <alignment horizontal="center"/>
    </xf>
    <xf numFmtId="10" fontId="6" fillId="0" borderId="18" xfId="47" applyNumberFormat="1" applyFont="1" applyFill="1" applyBorder="1" applyAlignment="1">
      <alignment horizontal="center"/>
    </xf>
    <xf numFmtId="10" fontId="6" fillId="0" borderId="18" xfId="37" applyNumberFormat="1" applyFont="1" applyFill="1" applyBorder="1" applyAlignment="1">
      <alignment horizontal="center"/>
    </xf>
    <xf numFmtId="10" fontId="6" fillId="0" borderId="12" xfId="37" applyNumberFormat="1" applyFont="1" applyFill="1" applyBorder="1" applyAlignment="1">
      <alignment horizontal="center"/>
    </xf>
    <xf numFmtId="10" fontId="6" fillId="0" borderId="12" xfId="47" applyNumberFormat="1" applyFont="1" applyFill="1" applyBorder="1" applyAlignment="1">
      <alignment horizontal="center"/>
    </xf>
    <xf numFmtId="0" fontId="9" fillId="25" borderId="0" xfId="0" applyFont="1" applyFill="1"/>
    <xf numFmtId="0" fontId="6" fillId="25" borderId="0" xfId="37" applyFont="1" applyFill="1" applyBorder="1" applyAlignment="1">
      <alignment horizontal="left" wrapText="1"/>
    </xf>
    <xf numFmtId="43" fontId="6" fillId="25" borderId="0" xfId="35" applyNumberFormat="1" applyFont="1" applyFill="1" applyBorder="1" applyAlignment="1"/>
    <xf numFmtId="43" fontId="7" fillId="25" borderId="0" xfId="37" applyNumberFormat="1" applyFont="1" applyFill="1" applyBorder="1" applyAlignment="1">
      <alignment horizontal="right" wrapText="1"/>
    </xf>
    <xf numFmtId="43" fontId="7" fillId="25" borderId="0" xfId="37" applyNumberFormat="1" applyFont="1" applyFill="1" applyBorder="1" applyAlignment="1">
      <alignment wrapText="1"/>
    </xf>
    <xf numFmtId="0" fontId="5" fillId="26" borderId="12" xfId="37" applyFont="1" applyFill="1" applyBorder="1" applyAlignment="1">
      <alignment horizontal="center" wrapText="1"/>
    </xf>
    <xf numFmtId="0" fontId="5" fillId="26" borderId="13" xfId="37" applyFont="1" applyFill="1" applyBorder="1" applyAlignment="1">
      <alignment horizontal="center" wrapText="1"/>
    </xf>
    <xf numFmtId="10" fontId="6" fillId="26" borderId="17" xfId="47" applyNumberFormat="1" applyFont="1" applyFill="1" applyBorder="1" applyAlignment="1">
      <alignment horizontal="center"/>
    </xf>
    <xf numFmtId="10" fontId="6" fillId="26" borderId="18" xfId="47" applyNumberFormat="1" applyFont="1" applyFill="1" applyBorder="1" applyAlignment="1">
      <alignment horizontal="center"/>
    </xf>
    <xf numFmtId="10" fontId="6" fillId="26" borderId="18" xfId="37" applyNumberFormat="1" applyFont="1" applyFill="1" applyBorder="1" applyAlignment="1">
      <alignment horizontal="center"/>
    </xf>
    <xf numFmtId="0" fontId="5" fillId="27" borderId="12" xfId="37" applyFont="1" applyFill="1" applyBorder="1" applyAlignment="1">
      <alignment horizontal="center" wrapText="1"/>
    </xf>
    <xf numFmtId="0" fontId="5" fillId="27" borderId="13" xfId="37" applyFont="1" applyFill="1" applyBorder="1" applyAlignment="1">
      <alignment horizontal="center" wrapText="1"/>
    </xf>
    <xf numFmtId="10" fontId="6" fillId="27" borderId="17" xfId="47" applyNumberFormat="1" applyFont="1" applyFill="1" applyBorder="1" applyAlignment="1">
      <alignment horizontal="center"/>
    </xf>
    <xf numFmtId="10" fontId="6" fillId="27" borderId="18" xfId="47" applyNumberFormat="1" applyFont="1" applyFill="1" applyBorder="1" applyAlignment="1">
      <alignment horizontal="center"/>
    </xf>
    <xf numFmtId="10" fontId="6" fillId="27" borderId="18" xfId="37" applyNumberFormat="1" applyFont="1" applyFill="1" applyBorder="1" applyAlignment="1">
      <alignment horizontal="center"/>
    </xf>
    <xf numFmtId="43" fontId="6" fillId="0" borderId="17" xfId="37" applyNumberFormat="1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33" applyNumberFormat="1" applyFont="1" applyFill="1"/>
    <xf numFmtId="43" fontId="0" fillId="0" borderId="0" xfId="0" applyNumberFormat="1" applyFill="1"/>
    <xf numFmtId="2" fontId="4" fillId="0" borderId="0" xfId="37" applyNumberFormat="1" applyFont="1" applyFill="1" applyBorder="1" applyAlignment="1">
      <alignment horizontal="center"/>
    </xf>
    <xf numFmtId="43" fontId="7" fillId="0" borderId="16" xfId="37" applyNumberFormat="1" applyFont="1" applyFill="1" applyBorder="1" applyAlignment="1">
      <alignment wrapText="1"/>
    </xf>
    <xf numFmtId="0" fontId="31" fillId="0" borderId="16" xfId="37" applyFont="1" applyFill="1" applyBorder="1"/>
    <xf numFmtId="10" fontId="0" fillId="0" borderId="0" xfId="47" applyNumberFormat="1" applyFont="1"/>
    <xf numFmtId="170" fontId="0" fillId="0" borderId="0" xfId="0" applyNumberFormat="1"/>
    <xf numFmtId="43" fontId="4" fillId="0" borderId="0" xfId="33" applyFont="1" applyFill="1" applyBorder="1" applyAlignment="1">
      <alignment horizontal="center"/>
    </xf>
    <xf numFmtId="168" fontId="39" fillId="0" borderId="0" xfId="34" applyNumberFormat="1" applyFont="1" applyFill="1" applyBorder="1" applyAlignment="1">
      <alignment vertical="center"/>
    </xf>
    <xf numFmtId="43" fontId="9" fillId="0" borderId="0" xfId="35" applyNumberFormat="1" applyFont="1" applyFill="1" applyBorder="1" applyAlignment="1" applyProtection="1">
      <alignment horizontal="right"/>
      <protection locked="0" hidden="1"/>
    </xf>
    <xf numFmtId="169" fontId="4" fillId="0" borderId="0" xfId="35" applyNumberFormat="1" applyFont="1" applyFill="1" applyBorder="1" applyAlignment="1">
      <alignment horizontal="center"/>
    </xf>
    <xf numFmtId="171" fontId="0" fillId="0" borderId="0" xfId="47" applyNumberFormat="1" applyFont="1"/>
    <xf numFmtId="172" fontId="0" fillId="0" borderId="0" xfId="0" applyNumberFormat="1" applyFill="1"/>
    <xf numFmtId="4" fontId="0" fillId="0" borderId="0" xfId="0" applyNumberFormat="1"/>
    <xf numFmtId="43" fontId="42" fillId="0" borderId="0" xfId="37" applyNumberFormat="1" applyFont="1" applyFill="1" applyBorder="1"/>
    <xf numFmtId="13" fontId="0" fillId="0" borderId="0" xfId="0" applyNumberFormat="1"/>
    <xf numFmtId="0" fontId="32" fillId="0" borderId="0" xfId="37" applyFont="1" applyFill="1" applyBorder="1" applyAlignment="1">
      <alignment horizontal="left" vertical="center" wrapText="1"/>
    </xf>
    <xf numFmtId="165" fontId="32" fillId="0" borderId="0" xfId="37" applyNumberFormat="1" applyFont="1" applyFill="1" applyBorder="1" applyAlignment="1">
      <alignment horizontal="left" vertical="center" wrapText="1"/>
    </xf>
    <xf numFmtId="0" fontId="5" fillId="0" borderId="19" xfId="37" applyFont="1" applyFill="1" applyBorder="1" applyAlignment="1">
      <alignment horizontal="center" vertical="center" wrapText="1"/>
    </xf>
    <xf numFmtId="0" fontId="5" fillId="0" borderId="14" xfId="37" applyFont="1" applyFill="1" applyBorder="1" applyAlignment="1">
      <alignment horizontal="center" vertical="center" wrapText="1"/>
    </xf>
    <xf numFmtId="165" fontId="5" fillId="0" borderId="19" xfId="37" applyNumberFormat="1" applyFont="1" applyFill="1" applyBorder="1" applyAlignment="1">
      <alignment horizontal="center" vertical="center" wrapText="1"/>
    </xf>
    <xf numFmtId="0" fontId="5" fillId="0" borderId="19" xfId="37" applyFont="1" applyFill="1" applyBorder="1" applyAlignment="1">
      <alignment horizontal="center" vertical="center"/>
    </xf>
    <xf numFmtId="0" fontId="5" fillId="0" borderId="14" xfId="37" applyFont="1" applyFill="1" applyBorder="1" applyAlignment="1">
      <alignment horizontal="center" vertical="center"/>
    </xf>
    <xf numFmtId="1" fontId="5" fillId="0" borderId="19" xfId="37" applyNumberFormat="1" applyFont="1" applyFill="1" applyBorder="1" applyAlignment="1">
      <alignment horizontal="center" vertical="center" wrapText="1"/>
    </xf>
    <xf numFmtId="1" fontId="5" fillId="0" borderId="14" xfId="37" applyNumberFormat="1" applyFont="1" applyFill="1" applyBorder="1" applyAlignment="1">
      <alignment horizontal="center" vertical="center" wrapText="1"/>
    </xf>
    <xf numFmtId="44" fontId="5" fillId="0" borderId="19" xfId="37" applyNumberFormat="1" applyFont="1" applyFill="1" applyBorder="1" applyAlignment="1">
      <alignment horizontal="center" vertical="center"/>
    </xf>
    <xf numFmtId="44" fontId="5" fillId="0" borderId="14" xfId="37" applyNumberFormat="1" applyFont="1" applyFill="1" applyBorder="1" applyAlignment="1">
      <alignment horizontal="center" vertical="center"/>
    </xf>
    <xf numFmtId="43" fontId="40" fillId="0" borderId="0" xfId="33" applyFont="1" applyFill="1" applyBorder="1" applyAlignment="1">
      <alignment horizontal="center" wrapText="1"/>
    </xf>
    <xf numFmtId="173" fontId="41" fillId="0" borderId="0" xfId="34" applyNumberFormat="1" applyFont="1" applyFill="1" applyBorder="1" applyAlignment="1">
      <alignment horizontal="center"/>
    </xf>
    <xf numFmtId="43" fontId="42" fillId="0" borderId="0" xfId="37" applyNumberFormat="1" applyFont="1" applyFill="1" applyBorder="1" applyAlignment="1">
      <alignment horizontal="center"/>
    </xf>
    <xf numFmtId="0" fontId="10" fillId="0" borderId="11" xfId="37" applyFont="1" applyFill="1" applyBorder="1" applyAlignment="1">
      <alignment horizontal="center"/>
    </xf>
    <xf numFmtId="0" fontId="32" fillId="0" borderId="0" xfId="37" applyFont="1" applyFill="1" applyBorder="1" applyAlignment="1">
      <alignment horizontal="center" vertical="center" wrapText="1"/>
    </xf>
    <xf numFmtId="0" fontId="0" fillId="26" borderId="0" xfId="0" applyFill="1" applyAlignment="1">
      <alignment horizontal="center" wrapText="1"/>
    </xf>
    <xf numFmtId="0" fontId="0" fillId="27" borderId="16" xfId="0" applyFill="1" applyBorder="1" applyAlignment="1">
      <alignment horizontal="center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oneda" xfId="34" builtinId="4"/>
    <cellStyle name="Moneda_Tabla Docente 2003" xfId="35"/>
    <cellStyle name="Neutral" xfId="36" builtinId="28" customBuiltin="1"/>
    <cellStyle name="Normal" xfId="0" builtinId="0"/>
    <cellStyle name="Normal_Tabla Docente 2003" xfId="37"/>
    <cellStyle name="Notas" xfId="38" builtinId="10" customBuiltin="1"/>
    <cellStyle name="Porcentaje" xfId="47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13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69"/>
  <sheetViews>
    <sheetView topLeftCell="A16" workbookViewId="0">
      <selection activeCell="E38" sqref="E38"/>
    </sheetView>
  </sheetViews>
  <sheetFormatPr baseColWidth="10" defaultRowHeight="12.75" x14ac:dyDescent="0.2"/>
  <cols>
    <col min="1" max="1" width="4.7109375" customWidth="1"/>
    <col min="2" max="2" width="37.5703125" customWidth="1"/>
    <col min="3" max="3" width="11.42578125" customWidth="1"/>
    <col min="4" max="4" width="13.28515625" bestFit="1" customWidth="1"/>
    <col min="9" max="9" width="5.28515625" bestFit="1" customWidth="1"/>
  </cols>
  <sheetData>
    <row r="1" spans="1:10" x14ac:dyDescent="0.2">
      <c r="A1" t="s">
        <v>570</v>
      </c>
      <c r="F1" s="21" t="s">
        <v>650</v>
      </c>
      <c r="I1" t="s">
        <v>383</v>
      </c>
      <c r="J1" t="s">
        <v>384</v>
      </c>
    </row>
    <row r="2" spans="1:10" x14ac:dyDescent="0.2">
      <c r="B2" t="s">
        <v>380</v>
      </c>
      <c r="C2" s="137">
        <v>5.2267999999999999</v>
      </c>
      <c r="I2">
        <v>0</v>
      </c>
      <c r="J2" s="1">
        <v>0</v>
      </c>
    </row>
    <row r="3" spans="1:10" x14ac:dyDescent="0.2">
      <c r="B3" t="s">
        <v>382</v>
      </c>
      <c r="C3" s="18">
        <v>0.15</v>
      </c>
      <c r="I3">
        <v>1</v>
      </c>
      <c r="J3" s="1">
        <v>0.15</v>
      </c>
    </row>
    <row r="4" spans="1:10" x14ac:dyDescent="0.2">
      <c r="B4" t="s">
        <v>626</v>
      </c>
      <c r="C4" s="18">
        <v>0.35</v>
      </c>
      <c r="D4" s="182">
        <f>INT(('Escala Docente'!G139*0.35*100)+0.5)/100</f>
        <v>2354.08</v>
      </c>
      <c r="E4" s="14">
        <f>(INT(D4/15*100)/100)+0.01</f>
        <v>156.94</v>
      </c>
      <c r="F4" s="14"/>
      <c r="G4" s="14"/>
      <c r="H4" s="14"/>
      <c r="I4">
        <v>2</v>
      </c>
      <c r="J4" s="1">
        <v>0.15</v>
      </c>
    </row>
    <row r="5" spans="1:10" x14ac:dyDescent="0.2">
      <c r="C5" s="18"/>
      <c r="I5">
        <v>3</v>
      </c>
      <c r="J5" s="1">
        <v>0.15</v>
      </c>
    </row>
    <row r="6" spans="1:10" x14ac:dyDescent="0.2">
      <c r="A6" s="21" t="s">
        <v>467</v>
      </c>
      <c r="B6" t="s">
        <v>627</v>
      </c>
      <c r="C6" s="136">
        <v>154.12633607000001</v>
      </c>
      <c r="D6" s="18"/>
      <c r="I6">
        <v>4</v>
      </c>
      <c r="J6" s="1">
        <v>0.15</v>
      </c>
    </row>
    <row r="7" spans="1:10" x14ac:dyDescent="0.2">
      <c r="A7" s="21" t="s">
        <v>467</v>
      </c>
      <c r="B7" t="s">
        <v>629</v>
      </c>
      <c r="C7" s="136">
        <v>179.82244959000002</v>
      </c>
      <c r="D7" s="18"/>
      <c r="I7">
        <v>5</v>
      </c>
      <c r="J7" s="1">
        <v>0.3</v>
      </c>
    </row>
    <row r="8" spans="1:10" x14ac:dyDescent="0.2">
      <c r="A8" s="21" t="s">
        <v>467</v>
      </c>
      <c r="B8" t="s">
        <v>628</v>
      </c>
      <c r="C8" s="136">
        <v>205.50849410000001</v>
      </c>
      <c r="D8" s="18"/>
      <c r="I8">
        <v>6</v>
      </c>
      <c r="J8" s="1">
        <v>0.3</v>
      </c>
    </row>
    <row r="9" spans="1:10" x14ac:dyDescent="0.2">
      <c r="A9" s="21" t="s">
        <v>467</v>
      </c>
      <c r="B9" t="s">
        <v>630</v>
      </c>
      <c r="C9" s="136">
        <v>308.25267214000002</v>
      </c>
      <c r="D9" s="18"/>
      <c r="I9">
        <v>7</v>
      </c>
      <c r="J9" s="1">
        <v>0.4</v>
      </c>
    </row>
    <row r="10" spans="1:10" x14ac:dyDescent="0.2">
      <c r="A10" s="21" t="s">
        <v>467</v>
      </c>
      <c r="B10" t="s">
        <v>448</v>
      </c>
      <c r="C10" s="18">
        <v>0</v>
      </c>
      <c r="D10" s="18"/>
      <c r="I10">
        <v>8</v>
      </c>
      <c r="J10" s="1">
        <v>0.4</v>
      </c>
    </row>
    <row r="11" spans="1:10" x14ac:dyDescent="0.2">
      <c r="A11" s="21" t="s">
        <v>467</v>
      </c>
      <c r="B11" t="s">
        <v>449</v>
      </c>
      <c r="C11" s="181">
        <v>8.5687275100000004</v>
      </c>
      <c r="D11" s="18"/>
      <c r="I11">
        <v>9</v>
      </c>
      <c r="J11" s="1">
        <v>0.4</v>
      </c>
    </row>
    <row r="12" spans="1:10" x14ac:dyDescent="0.2">
      <c r="A12" s="21" t="s">
        <v>467</v>
      </c>
      <c r="B12" s="21" t="s">
        <v>490</v>
      </c>
      <c r="C12" s="193">
        <v>20.560918420000004</v>
      </c>
      <c r="D12" s="18"/>
      <c r="I12">
        <v>10</v>
      </c>
      <c r="J12" s="1">
        <v>0.5</v>
      </c>
    </row>
    <row r="13" spans="1:10" x14ac:dyDescent="0.2">
      <c r="I13">
        <v>11</v>
      </c>
      <c r="J13" s="1">
        <v>0.5</v>
      </c>
    </row>
    <row r="14" spans="1:10" x14ac:dyDescent="0.2">
      <c r="A14" s="21" t="s">
        <v>467</v>
      </c>
      <c r="B14" t="s">
        <v>387</v>
      </c>
      <c r="C14" s="136">
        <f>+D14</f>
        <v>120.64687782</v>
      </c>
      <c r="D14" s="136">
        <v>120.64687782</v>
      </c>
      <c r="E14" s="1"/>
      <c r="I14">
        <v>12</v>
      </c>
      <c r="J14" s="1">
        <v>0.6</v>
      </c>
    </row>
    <row r="15" spans="1:10" x14ac:dyDescent="0.2">
      <c r="A15" s="21" t="s">
        <v>467</v>
      </c>
      <c r="B15" t="s">
        <v>454</v>
      </c>
      <c r="C15" s="136">
        <f t="shared" ref="C15:C20" si="0">+D15</f>
        <v>3241.8587356399998</v>
      </c>
      <c r="D15" s="18">
        <v>3241.8587356399998</v>
      </c>
      <c r="E15" s="1"/>
      <c r="I15">
        <v>13</v>
      </c>
      <c r="J15" s="1">
        <v>0.6</v>
      </c>
    </row>
    <row r="16" spans="1:10" x14ac:dyDescent="0.2">
      <c r="A16" s="21" t="s">
        <v>467</v>
      </c>
      <c r="B16" t="s">
        <v>455</v>
      </c>
      <c r="C16" s="136">
        <f t="shared" si="0"/>
        <v>3262.4095850500003</v>
      </c>
      <c r="D16" s="18">
        <v>3262.4095850500003</v>
      </c>
      <c r="E16" s="1"/>
      <c r="I16">
        <v>14</v>
      </c>
      <c r="J16" s="1">
        <v>0.6</v>
      </c>
    </row>
    <row r="17" spans="1:13" x14ac:dyDescent="0.2">
      <c r="A17" s="21" t="s">
        <v>467</v>
      </c>
      <c r="B17" t="s">
        <v>456</v>
      </c>
      <c r="C17" s="136">
        <f t="shared" si="0"/>
        <v>4472.7549321000006</v>
      </c>
      <c r="D17" s="136">
        <v>4472.7549321000006</v>
      </c>
      <c r="E17" s="1"/>
      <c r="F17" s="14"/>
      <c r="G17" s="14"/>
      <c r="H17" s="14"/>
      <c r="I17">
        <v>15</v>
      </c>
      <c r="J17" s="1">
        <v>0.7</v>
      </c>
    </row>
    <row r="18" spans="1:13" x14ac:dyDescent="0.2">
      <c r="A18" s="21" t="s">
        <v>467</v>
      </c>
      <c r="B18" t="s">
        <v>625</v>
      </c>
      <c r="C18" s="136">
        <f t="shared" si="0"/>
        <v>6219.0535434300009</v>
      </c>
      <c r="D18" s="136">
        <v>6219.0535434300009</v>
      </c>
      <c r="E18" s="1"/>
      <c r="I18">
        <v>16</v>
      </c>
      <c r="J18" s="1">
        <v>0.7</v>
      </c>
    </row>
    <row r="19" spans="1:13" x14ac:dyDescent="0.2">
      <c r="A19" s="21" t="s">
        <v>467</v>
      </c>
      <c r="B19" t="s">
        <v>457</v>
      </c>
      <c r="C19" s="136">
        <f t="shared" si="0"/>
        <v>3416.5359211200002</v>
      </c>
      <c r="D19" s="136">
        <v>3416.5359211200002</v>
      </c>
      <c r="E19" s="1"/>
      <c r="F19" s="14"/>
      <c r="G19" s="14"/>
      <c r="H19" s="14"/>
      <c r="I19">
        <v>17</v>
      </c>
      <c r="J19" s="1">
        <v>0.8</v>
      </c>
    </row>
    <row r="20" spans="1:13" x14ac:dyDescent="0.2">
      <c r="A20" s="21" t="s">
        <v>467</v>
      </c>
      <c r="B20" t="s">
        <v>465</v>
      </c>
      <c r="C20" s="136">
        <f t="shared" si="0"/>
        <v>3087.7323995700003</v>
      </c>
      <c r="D20" s="136">
        <v>3087.7323995700003</v>
      </c>
      <c r="E20" s="1"/>
      <c r="F20" s="14"/>
      <c r="G20" s="14"/>
      <c r="H20" s="14"/>
      <c r="I20">
        <v>18</v>
      </c>
      <c r="J20" s="1">
        <v>0.8</v>
      </c>
    </row>
    <row r="21" spans="1:13" x14ac:dyDescent="0.2">
      <c r="A21" s="21" t="s">
        <v>467</v>
      </c>
      <c r="E21" s="1"/>
      <c r="F21" s="14"/>
      <c r="G21" s="14"/>
      <c r="H21" s="14"/>
      <c r="I21">
        <v>19</v>
      </c>
      <c r="J21" s="1">
        <v>0.8</v>
      </c>
    </row>
    <row r="22" spans="1:13" x14ac:dyDescent="0.2">
      <c r="A22" s="21" t="s">
        <v>467</v>
      </c>
      <c r="B22" t="s">
        <v>389</v>
      </c>
      <c r="C22" s="136">
        <v>46.75</v>
      </c>
      <c r="D22" s="14"/>
      <c r="E22" s="1"/>
      <c r="F22" s="14"/>
      <c r="G22" s="14"/>
      <c r="H22" s="14"/>
      <c r="I22">
        <v>20</v>
      </c>
      <c r="J22" s="1">
        <v>1</v>
      </c>
    </row>
    <row r="23" spans="1:13" x14ac:dyDescent="0.2">
      <c r="A23" s="21" t="s">
        <v>467</v>
      </c>
      <c r="B23" t="s">
        <v>459</v>
      </c>
      <c r="C23" s="136">
        <f>+D23</f>
        <v>2267.09801556</v>
      </c>
      <c r="D23" s="136">
        <v>2267.09801556</v>
      </c>
      <c r="E23" s="1"/>
      <c r="F23" s="14"/>
      <c r="G23" s="14"/>
      <c r="H23" s="14"/>
      <c r="I23">
        <v>21</v>
      </c>
      <c r="J23" s="1">
        <v>1</v>
      </c>
    </row>
    <row r="24" spans="1:13" x14ac:dyDescent="0.2">
      <c r="A24" s="21" t="s">
        <v>467</v>
      </c>
      <c r="B24" t="s">
        <v>460</v>
      </c>
      <c r="C24" s="136">
        <f>+D24</f>
        <v>2236.2667069399999</v>
      </c>
      <c r="D24" s="136">
        <v>2236.2667069399999</v>
      </c>
      <c r="E24" s="1"/>
      <c r="F24" s="14"/>
      <c r="G24" s="14"/>
      <c r="H24" s="14"/>
      <c r="I24">
        <v>22</v>
      </c>
      <c r="J24" s="1">
        <v>1.1000000000000001</v>
      </c>
    </row>
    <row r="25" spans="1:13" x14ac:dyDescent="0.2">
      <c r="A25" s="21" t="s">
        <v>467</v>
      </c>
      <c r="C25" s="136"/>
      <c r="E25" s="1"/>
      <c r="F25" s="14"/>
      <c r="G25" s="14"/>
      <c r="H25" s="14"/>
      <c r="I25">
        <v>23</v>
      </c>
      <c r="J25" s="1">
        <v>1.1000000000000001</v>
      </c>
    </row>
    <row r="26" spans="1:13" x14ac:dyDescent="0.2">
      <c r="A26" s="21" t="s">
        <v>467</v>
      </c>
      <c r="B26" s="21" t="s">
        <v>469</v>
      </c>
      <c r="C26" s="136">
        <f>+D26</f>
        <v>2369.1575009200001</v>
      </c>
      <c r="D26" s="136">
        <v>2369.1575009200001</v>
      </c>
      <c r="E26" s="1"/>
      <c r="I26">
        <v>24</v>
      </c>
      <c r="J26" s="1">
        <v>1.2</v>
      </c>
    </row>
    <row r="27" spans="1:13" x14ac:dyDescent="0.2">
      <c r="A27" s="21" t="s">
        <v>467</v>
      </c>
      <c r="B27" s="21" t="s">
        <v>470</v>
      </c>
      <c r="C27" s="136">
        <f>+D27</f>
        <v>2168.79427093</v>
      </c>
      <c r="D27" s="136">
        <v>2168.79427093</v>
      </c>
      <c r="E27" s="1"/>
      <c r="I27">
        <v>25</v>
      </c>
      <c r="J27" s="1">
        <v>1.2</v>
      </c>
    </row>
    <row r="28" spans="1:13" x14ac:dyDescent="0.2">
      <c r="B28" s="21"/>
      <c r="C28" s="136"/>
      <c r="D28" s="180"/>
      <c r="I28">
        <v>26</v>
      </c>
      <c r="J28" s="1">
        <v>1.3</v>
      </c>
    </row>
    <row r="29" spans="1:13" x14ac:dyDescent="0.2">
      <c r="A29" s="21" t="s">
        <v>467</v>
      </c>
      <c r="B29" s="21" t="s">
        <v>649</v>
      </c>
      <c r="C29" s="18">
        <f>+D29</f>
        <v>132.58872368000002</v>
      </c>
      <c r="D29" s="1">
        <v>132.58872368000002</v>
      </c>
      <c r="E29" s="1"/>
      <c r="F29" s="194">
        <f>+C29*1.5</f>
        <v>198.88308552000001</v>
      </c>
      <c r="I29">
        <v>27</v>
      </c>
      <c r="J29" s="1">
        <v>1.3</v>
      </c>
    </row>
    <row r="30" spans="1:13" x14ac:dyDescent="0.2">
      <c r="A30" s="21" t="s">
        <v>467</v>
      </c>
      <c r="B30" s="21" t="s">
        <v>648</v>
      </c>
      <c r="C30" s="18">
        <f>+D30</f>
        <v>132.59</v>
      </c>
      <c r="D30" s="1">
        <v>132.59</v>
      </c>
      <c r="E30" s="1"/>
      <c r="F30" s="194">
        <f>+C30</f>
        <v>132.59</v>
      </c>
      <c r="I30">
        <v>28</v>
      </c>
      <c r="J30" s="1">
        <v>1.4</v>
      </c>
    </row>
    <row r="31" spans="1:13" x14ac:dyDescent="0.2">
      <c r="B31" s="21"/>
      <c r="C31" s="18"/>
      <c r="F31" s="194"/>
      <c r="I31">
        <v>29</v>
      </c>
      <c r="J31" s="1">
        <v>1.4</v>
      </c>
    </row>
    <row r="32" spans="1:13" x14ac:dyDescent="0.2">
      <c r="A32" s="21" t="s">
        <v>467</v>
      </c>
      <c r="B32" t="s">
        <v>614</v>
      </c>
      <c r="C32" s="18">
        <v>5.28</v>
      </c>
      <c r="D32" s="1">
        <f>5.28*1.006901</f>
        <v>5.3164372800000006</v>
      </c>
      <c r="F32" s="194">
        <f>F29</f>
        <v>198.88308552000001</v>
      </c>
      <c r="I32">
        <v>30</v>
      </c>
      <c r="J32" s="1">
        <v>1.5</v>
      </c>
      <c r="M32" s="180"/>
    </row>
    <row r="33" spans="1:13" x14ac:dyDescent="0.2">
      <c r="A33" s="21" t="s">
        <v>467</v>
      </c>
      <c r="B33" t="s">
        <v>613</v>
      </c>
      <c r="C33" s="18">
        <f>+D33</f>
        <v>4.42</v>
      </c>
      <c r="D33" s="1">
        <v>4.42</v>
      </c>
      <c r="F33" s="194">
        <f>F30</f>
        <v>132.59</v>
      </c>
      <c r="I33">
        <v>31</v>
      </c>
      <c r="J33" s="1">
        <v>1.5</v>
      </c>
    </row>
    <row r="34" spans="1:13" x14ac:dyDescent="0.2">
      <c r="C34" s="18"/>
      <c r="I34">
        <v>32</v>
      </c>
      <c r="J34" s="1">
        <v>1.5</v>
      </c>
      <c r="M34" s="180"/>
    </row>
    <row r="35" spans="1:13" x14ac:dyDescent="0.2">
      <c r="A35" s="21" t="s">
        <v>467</v>
      </c>
      <c r="B35" s="21" t="s">
        <v>611</v>
      </c>
      <c r="C35" s="18">
        <v>216.04</v>
      </c>
      <c r="D35" s="18">
        <v>216.04</v>
      </c>
      <c r="E35" s="14"/>
      <c r="F35" s="14">
        <f>+C35*2</f>
        <v>432.08</v>
      </c>
      <c r="G35" s="14"/>
      <c r="H35" s="196"/>
      <c r="I35">
        <v>33</v>
      </c>
      <c r="J35" s="1">
        <v>1.5</v>
      </c>
    </row>
    <row r="36" spans="1:13" x14ac:dyDescent="0.2">
      <c r="A36" s="21" t="s">
        <v>467</v>
      </c>
      <c r="B36" s="21" t="s">
        <v>612</v>
      </c>
      <c r="C36" s="18">
        <f>+D36</f>
        <v>14.402666666666667</v>
      </c>
      <c r="D36" s="18">
        <f>+D35/15</f>
        <v>14.402666666666667</v>
      </c>
      <c r="E36" s="14"/>
      <c r="F36" s="14"/>
      <c r="G36" s="14"/>
      <c r="H36" s="14"/>
      <c r="I36">
        <v>34</v>
      </c>
      <c r="J36" s="1">
        <v>1.5</v>
      </c>
    </row>
    <row r="37" spans="1:13" x14ac:dyDescent="0.2">
      <c r="B37" s="21"/>
      <c r="C37" s="18"/>
      <c r="D37" s="180"/>
      <c r="E37" s="14"/>
      <c r="F37" s="14"/>
      <c r="G37" s="14"/>
      <c r="H37" s="14"/>
      <c r="I37">
        <v>35</v>
      </c>
      <c r="J37" s="1">
        <v>1.5</v>
      </c>
    </row>
    <row r="38" spans="1:13" x14ac:dyDescent="0.2">
      <c r="B38" t="s">
        <v>464</v>
      </c>
      <c r="C38" s="18">
        <v>0</v>
      </c>
      <c r="D38" s="14">
        <f>IF(C38&gt;0,(C38/30-0.01),0)</f>
        <v>0</v>
      </c>
      <c r="E38" s="14"/>
      <c r="F38" s="14"/>
      <c r="G38" s="14"/>
      <c r="H38" s="14"/>
      <c r="I38">
        <v>36</v>
      </c>
      <c r="J38" s="1">
        <v>1.5</v>
      </c>
    </row>
    <row r="39" spans="1:13" x14ac:dyDescent="0.2">
      <c r="C39" s="18"/>
      <c r="D39" s="14"/>
      <c r="E39" s="14"/>
      <c r="F39" s="14"/>
      <c r="G39" s="14"/>
      <c r="H39" s="14"/>
      <c r="I39">
        <v>39</v>
      </c>
      <c r="J39" s="1">
        <v>1.5</v>
      </c>
    </row>
    <row r="40" spans="1:13" x14ac:dyDescent="0.2">
      <c r="A40" s="21" t="s">
        <v>467</v>
      </c>
      <c r="B40" s="21" t="s">
        <v>496</v>
      </c>
      <c r="C40" s="18">
        <v>573.26901534000001</v>
      </c>
      <c r="D40" s="18"/>
      <c r="E40" s="1"/>
      <c r="F40" s="14"/>
      <c r="G40" s="14"/>
      <c r="H40" s="14"/>
      <c r="I40">
        <v>40</v>
      </c>
      <c r="J40" s="1">
        <v>1.5</v>
      </c>
    </row>
    <row r="41" spans="1:13" x14ac:dyDescent="0.2">
      <c r="A41" s="21" t="s">
        <v>467</v>
      </c>
      <c r="B41" s="21" t="s">
        <v>495</v>
      </c>
      <c r="C41" s="18">
        <v>668.82392024000001</v>
      </c>
      <c r="D41" s="18"/>
      <c r="E41" s="1"/>
      <c r="F41" s="14"/>
      <c r="G41" s="14"/>
      <c r="H41" s="14"/>
      <c r="I41">
        <v>41</v>
      </c>
      <c r="J41" s="1">
        <v>1.5</v>
      </c>
    </row>
    <row r="42" spans="1:13" x14ac:dyDescent="0.2">
      <c r="A42" s="21" t="s">
        <v>467</v>
      </c>
      <c r="B42" s="21" t="s">
        <v>494</v>
      </c>
      <c r="C42" s="18">
        <v>764.36875613000007</v>
      </c>
      <c r="D42" s="18"/>
      <c r="E42" s="1"/>
      <c r="I42">
        <v>42</v>
      </c>
      <c r="J42" s="1">
        <v>1.5</v>
      </c>
    </row>
    <row r="43" spans="1:13" x14ac:dyDescent="0.2">
      <c r="A43" s="21" t="s">
        <v>467</v>
      </c>
      <c r="B43" s="21" t="s">
        <v>493</v>
      </c>
      <c r="C43" s="18">
        <v>1146.5480996900001</v>
      </c>
      <c r="D43" s="18"/>
      <c r="E43" s="1"/>
      <c r="I43">
        <v>43</v>
      </c>
      <c r="J43" s="1">
        <v>1.5</v>
      </c>
    </row>
    <row r="44" spans="1:13" x14ac:dyDescent="0.2">
      <c r="A44" s="21" t="s">
        <v>467</v>
      </c>
      <c r="B44" t="s">
        <v>488</v>
      </c>
      <c r="C44" s="18"/>
      <c r="D44" s="18"/>
      <c r="E44" s="1"/>
      <c r="F44" s="14"/>
      <c r="G44" s="14"/>
      <c r="H44" s="14"/>
      <c r="I44">
        <v>44</v>
      </c>
      <c r="J44" s="1">
        <v>1.5</v>
      </c>
    </row>
    <row r="45" spans="1:13" x14ac:dyDescent="0.2">
      <c r="A45" s="21" t="s">
        <v>467</v>
      </c>
      <c r="B45" s="21" t="s">
        <v>492</v>
      </c>
      <c r="C45" s="39">
        <v>31.858347640000002</v>
      </c>
      <c r="D45" s="18"/>
      <c r="E45" s="1"/>
      <c r="I45">
        <v>45</v>
      </c>
      <c r="J45" s="1">
        <v>1.5</v>
      </c>
    </row>
    <row r="46" spans="1:13" x14ac:dyDescent="0.2">
      <c r="A46" s="21" t="s">
        <v>467</v>
      </c>
      <c r="B46" s="21" t="s">
        <v>491</v>
      </c>
      <c r="C46" s="39">
        <v>76.423785900000013</v>
      </c>
      <c r="D46" s="18"/>
      <c r="E46" s="1"/>
      <c r="I46">
        <v>46</v>
      </c>
      <c r="J46" s="1">
        <v>1.5</v>
      </c>
    </row>
    <row r="47" spans="1:13" x14ac:dyDescent="0.2">
      <c r="B47" s="21"/>
      <c r="C47" s="39"/>
      <c r="I47">
        <v>47</v>
      </c>
      <c r="J47" s="1">
        <v>1.5</v>
      </c>
    </row>
    <row r="48" spans="1:13" x14ac:dyDescent="0.2">
      <c r="B48" s="21" t="s">
        <v>501</v>
      </c>
      <c r="C48" s="39">
        <f>INT((D48/15*100)+0.49)/100</f>
        <v>80.67</v>
      </c>
      <c r="D48">
        <f>D49</f>
        <v>1210</v>
      </c>
      <c r="F48">
        <v>1210</v>
      </c>
      <c r="I48">
        <v>48</v>
      </c>
      <c r="J48" s="1">
        <v>1.5</v>
      </c>
      <c r="L48">
        <f>267.87+5.37</f>
        <v>273.24</v>
      </c>
    </row>
    <row r="49" spans="1:10" x14ac:dyDescent="0.2">
      <c r="B49" s="21" t="s">
        <v>518</v>
      </c>
      <c r="C49">
        <v>1210</v>
      </c>
      <c r="D49">
        <v>1210</v>
      </c>
      <c r="I49">
        <v>49</v>
      </c>
      <c r="J49" s="1">
        <v>1.5</v>
      </c>
    </row>
    <row r="50" spans="1:10" ht="12" customHeight="1" x14ac:dyDescent="0.2">
      <c r="B50" s="21"/>
      <c r="I50">
        <v>50</v>
      </c>
      <c r="J50" s="1">
        <v>1.5</v>
      </c>
    </row>
    <row r="51" spans="1:10" x14ac:dyDescent="0.2">
      <c r="A51" s="21" t="s">
        <v>467</v>
      </c>
      <c r="B51" s="21" t="s">
        <v>561</v>
      </c>
      <c r="C51" s="1">
        <v>269.71857087000001</v>
      </c>
      <c r="D51" s="1">
        <v>18.105326581838259</v>
      </c>
      <c r="E51" s="1">
        <f>+D51*2</f>
        <v>36.210653163676518</v>
      </c>
      <c r="G51" s="1"/>
      <c r="I51">
        <v>51</v>
      </c>
      <c r="J51" s="1">
        <v>1.5</v>
      </c>
    </row>
    <row r="52" spans="1:10" x14ac:dyDescent="0.2">
      <c r="A52" s="21" t="s">
        <v>467</v>
      </c>
      <c r="B52" s="21" t="s">
        <v>564</v>
      </c>
      <c r="C52" s="1">
        <v>77.068202540000016</v>
      </c>
      <c r="D52" s="1">
        <v>5.1733366803819036</v>
      </c>
      <c r="E52" s="1">
        <f>+D52*2</f>
        <v>10.346673360763807</v>
      </c>
      <c r="G52" s="1"/>
      <c r="I52">
        <v>52</v>
      </c>
      <c r="J52" s="1">
        <v>1.5</v>
      </c>
    </row>
    <row r="53" spans="1:10" x14ac:dyDescent="0.2">
      <c r="B53" s="21"/>
      <c r="C53" s="1"/>
      <c r="D53" s="1"/>
      <c r="I53">
        <v>53</v>
      </c>
      <c r="J53" s="1">
        <v>1.5</v>
      </c>
    </row>
    <row r="54" spans="1:10" x14ac:dyDescent="0.2">
      <c r="B54" s="21" t="s">
        <v>644</v>
      </c>
      <c r="C54" s="187">
        <v>0</v>
      </c>
      <c r="D54" s="192"/>
    </row>
    <row r="55" spans="1:10" x14ac:dyDescent="0.2">
      <c r="B55" s="21"/>
      <c r="C55" s="187"/>
      <c r="D55" s="192"/>
    </row>
    <row r="56" spans="1:10" x14ac:dyDescent="0.2">
      <c r="B56" t="s">
        <v>631</v>
      </c>
      <c r="C56" s="186">
        <v>0.13</v>
      </c>
    </row>
    <row r="57" spans="1:10" x14ac:dyDescent="0.2">
      <c r="B57" t="s">
        <v>632</v>
      </c>
      <c r="C57" s="186">
        <v>5.0000000000000001E-3</v>
      </c>
    </row>
    <row r="58" spans="1:10" x14ac:dyDescent="0.2">
      <c r="B58" t="s">
        <v>633</v>
      </c>
      <c r="C58" s="186">
        <v>4.4999999999999998E-2</v>
      </c>
    </row>
    <row r="59" spans="1:10" x14ac:dyDescent="0.2">
      <c r="B59" t="s">
        <v>634</v>
      </c>
      <c r="C59" s="186">
        <v>2.7000000000000003E-2</v>
      </c>
    </row>
    <row r="60" spans="1:10" x14ac:dyDescent="0.2">
      <c r="B60" t="s">
        <v>635</v>
      </c>
      <c r="C60" s="186">
        <v>3.0000000000000001E-3</v>
      </c>
    </row>
    <row r="61" spans="1:10" x14ac:dyDescent="0.2">
      <c r="B61" t="s">
        <v>636</v>
      </c>
      <c r="C61" s="186">
        <v>0.16</v>
      </c>
    </row>
    <row r="62" spans="1:10" x14ac:dyDescent="0.2">
      <c r="B62" t="s">
        <v>593</v>
      </c>
      <c r="C62" s="186">
        <v>4.4999999999999998E-2</v>
      </c>
    </row>
    <row r="64" spans="1:10" x14ac:dyDescent="0.2">
      <c r="B64" t="s">
        <v>637</v>
      </c>
      <c r="C64" s="186">
        <v>0.01</v>
      </c>
    </row>
    <row r="65" spans="2:3" x14ac:dyDescent="0.2">
      <c r="B65" t="s">
        <v>594</v>
      </c>
      <c r="C65" s="186">
        <v>3.5000000000000003E-2</v>
      </c>
    </row>
    <row r="66" spans="2:3" x14ac:dyDescent="0.2">
      <c r="B66" t="s">
        <v>597</v>
      </c>
      <c r="C66" s="186">
        <v>6.0000000000000001E-3</v>
      </c>
    </row>
    <row r="67" spans="2:3" x14ac:dyDescent="0.2">
      <c r="B67" t="s">
        <v>595</v>
      </c>
      <c r="C67" s="186">
        <v>5.4000000000000006E-2</v>
      </c>
    </row>
    <row r="69" spans="2:3" x14ac:dyDescent="0.2">
      <c r="B69" t="s">
        <v>394</v>
      </c>
      <c r="C69" s="136">
        <v>0.5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D331"/>
  <sheetViews>
    <sheetView showGridLines="0" tabSelected="1" zoomScale="160" zoomScaleNormal="160" zoomScaleSheetLayoutView="100" workbookViewId="0">
      <pane xSplit="5" ySplit="6" topLeftCell="F164" activePane="bottomRight" state="frozen"/>
      <selection activeCell="D1" sqref="D1"/>
      <selection pane="topRight" activeCell="G1" sqref="G1"/>
      <selection pane="bottomLeft" activeCell="D7" sqref="D7"/>
      <selection pane="bottomRight" activeCell="H166" sqref="H166"/>
    </sheetView>
  </sheetViews>
  <sheetFormatPr baseColWidth="10" defaultRowHeight="11.25" customHeight="1" x14ac:dyDescent="0.15"/>
  <cols>
    <col min="1" max="1" width="6.5703125" style="11" hidden="1" customWidth="1"/>
    <col min="2" max="2" width="8.7109375" style="11" hidden="1" customWidth="1"/>
    <col min="3" max="3" width="4.28515625" style="2" customWidth="1"/>
    <col min="4" max="4" width="3.7109375" style="2" hidden="1" customWidth="1"/>
    <col min="5" max="5" width="29.7109375" style="2" customWidth="1"/>
    <col min="6" max="6" width="4.7109375" style="35" customWidth="1"/>
    <col min="7" max="7" width="7.5703125" style="128" customWidth="1"/>
    <col min="8" max="8" width="5.7109375" style="129" customWidth="1"/>
    <col min="9" max="9" width="7.7109375" style="135" customWidth="1"/>
    <col min="10" max="10" width="5.28515625" style="141" customWidth="1"/>
    <col min="11" max="11" width="7.28515625" style="4" customWidth="1"/>
    <col min="12" max="12" width="6.28515625" style="118" customWidth="1"/>
    <col min="13" max="13" width="6.7109375" style="4" customWidth="1"/>
    <col min="14" max="14" width="7.85546875" style="4" customWidth="1"/>
    <col min="15" max="15" width="8.42578125" style="4" customWidth="1"/>
    <col min="16" max="17" width="6.5703125" style="4" customWidth="1"/>
    <col min="18" max="18" width="7.140625" style="4" customWidth="1"/>
    <col min="19" max="19" width="7.7109375" style="4" customWidth="1"/>
    <col min="20" max="20" width="8.85546875" style="135" customWidth="1"/>
    <col min="21" max="21" width="7.140625" style="4" customWidth="1"/>
    <col min="22" max="22" width="7" style="4" customWidth="1"/>
    <col min="23" max="23" width="6.28515625" style="4" customWidth="1"/>
    <col min="24" max="24" width="4.28515625" style="111" customWidth="1"/>
    <col min="25" max="25" width="7.140625" style="4" customWidth="1"/>
    <col min="26" max="26" width="7.42578125" style="4" customWidth="1"/>
    <col min="27" max="27" width="6.140625" style="19" customWidth="1"/>
    <col min="28" max="28" width="7.140625" style="4" customWidth="1"/>
    <col min="29" max="29" width="6.28515625" style="4" customWidth="1"/>
    <col min="30" max="30" width="4.42578125" style="111" customWidth="1"/>
    <col min="31" max="31" width="6.28515625" style="4" customWidth="1"/>
    <col min="32" max="32" width="6" style="4" customWidth="1"/>
    <col min="33" max="33" width="6.28515625" style="4" customWidth="1"/>
    <col min="34" max="34" width="7.85546875" style="4" hidden="1" customWidth="1"/>
    <col min="35" max="35" width="6.85546875" style="4" customWidth="1"/>
    <col min="36" max="36" width="7.85546875" style="4" customWidth="1"/>
    <col min="37" max="37" width="6.140625" style="17" customWidth="1"/>
    <col min="38" max="38" width="6.28515625" style="17" customWidth="1"/>
    <col min="39" max="39" width="7.28515625" style="4" hidden="1" customWidth="1"/>
    <col min="40" max="40" width="7.28515625" style="4" customWidth="1"/>
    <col min="41" max="41" width="6.5703125" style="4" customWidth="1"/>
    <col min="42" max="42" width="6.7109375" style="4" customWidth="1"/>
    <col min="43" max="43" width="6.42578125" style="4" customWidth="1"/>
    <col min="44" max="44" width="6.28515625" style="4" customWidth="1"/>
    <col min="45" max="46" width="7.85546875" style="154" customWidth="1"/>
    <col min="47" max="52" width="7.140625" style="4" customWidth="1"/>
    <col min="53" max="53" width="7.140625" style="17" customWidth="1"/>
    <col min="54" max="54" width="5" style="11" customWidth="1"/>
    <col min="55" max="55" width="3.7109375" style="11" customWidth="1"/>
    <col min="56" max="56" width="3.42578125" style="9" customWidth="1"/>
    <col min="57" max="57" width="9.85546875" style="2" customWidth="1"/>
    <col min="58" max="16384" width="11.42578125" style="2"/>
  </cols>
  <sheetData>
    <row r="1" spans="1:56" ht="50.25" customHeight="1" x14ac:dyDescent="0.15">
      <c r="C1" s="197" t="str">
        <f ca="1">MID(CELL("FILENAME",M33),FIND("[",CELL("FILENAME",M33))+1,FIND("]",CELL("FILENAME",M33))-FIND("[",CELL("FILENAME",M33))-1)</f>
        <v>Esc Doc 2018 06 Cba v2.xlsx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8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48"/>
      <c r="AO1" s="148"/>
    </row>
    <row r="2" spans="1:56" ht="11.25" customHeight="1" x14ac:dyDescent="0.2">
      <c r="B2" s="66"/>
      <c r="C2" s="33" t="s">
        <v>445</v>
      </c>
      <c r="D2" s="33"/>
      <c r="E2" s="33"/>
      <c r="G2" s="191">
        <v>0</v>
      </c>
      <c r="I2" s="134">
        <f>LOOKUP(G2,Valores!I:I,Valores!J:J)</f>
        <v>0</v>
      </c>
      <c r="N2" s="25">
        <v>0.15</v>
      </c>
      <c r="O2" s="16"/>
      <c r="AL2" s="208"/>
      <c r="BD2" s="22">
        <f>(((G139+T139)*1.15)+P139+Q139+R139+AA139+AC139)*0.05</f>
        <v>800.67701681155006</v>
      </c>
    </row>
    <row r="3" spans="1:56" ht="11.25" customHeight="1" x14ac:dyDescent="0.25">
      <c r="B3" s="66"/>
      <c r="C3" s="33" t="s">
        <v>446</v>
      </c>
      <c r="D3" s="33"/>
      <c r="E3" s="33"/>
      <c r="G3" s="191">
        <v>0</v>
      </c>
      <c r="H3" s="210" t="s">
        <v>651</v>
      </c>
      <c r="I3" s="210"/>
      <c r="J3" s="209">
        <f>Valores!C2</f>
        <v>5.2267999999999999</v>
      </c>
      <c r="K3" s="209"/>
      <c r="AL3" s="208"/>
      <c r="AM3" s="31"/>
      <c r="AN3" s="189" t="s">
        <v>467</v>
      </c>
      <c r="AO3" s="31"/>
      <c r="AP3" s="157">
        <f>Valores!C2</f>
        <v>5.2267999999999999</v>
      </c>
      <c r="AQ3" s="27"/>
      <c r="AR3" s="27"/>
      <c r="AS3" s="155"/>
      <c r="AT3" s="155"/>
      <c r="AU3" s="27"/>
      <c r="AV3" s="27"/>
      <c r="AW3" s="27"/>
      <c r="AX3" s="27"/>
      <c r="AY3" s="27"/>
      <c r="AZ3" s="27"/>
    </row>
    <row r="4" spans="1:56" ht="11.25" customHeight="1" x14ac:dyDescent="0.25">
      <c r="A4" s="28"/>
      <c r="B4" s="66"/>
      <c r="C4" s="33" t="s">
        <v>647</v>
      </c>
      <c r="D4" s="66"/>
      <c r="E4" s="66"/>
      <c r="G4" s="188" t="s">
        <v>466</v>
      </c>
      <c r="AL4" s="188"/>
      <c r="AM4" s="189">
        <f>Valores!C2</f>
        <v>5.2267999999999999</v>
      </c>
      <c r="AN4" s="189" t="s">
        <v>466</v>
      </c>
      <c r="AO4" s="31"/>
      <c r="AP4" s="27"/>
      <c r="AQ4" s="27"/>
      <c r="AR4" s="27"/>
      <c r="AS4" s="155"/>
      <c r="AT4" s="155"/>
      <c r="AU4" s="27"/>
      <c r="AV4" s="27"/>
      <c r="AW4" s="27"/>
      <c r="AX4" s="27"/>
      <c r="AY4" s="27"/>
      <c r="AZ4" s="27"/>
    </row>
    <row r="5" spans="1:56" ht="48" customHeight="1" x14ac:dyDescent="0.15">
      <c r="A5" s="183"/>
      <c r="B5" s="183"/>
      <c r="C5" s="5"/>
      <c r="E5" s="5"/>
      <c r="F5" s="202" t="s">
        <v>361</v>
      </c>
      <c r="G5" s="203"/>
      <c r="H5" s="204" t="s">
        <v>362</v>
      </c>
      <c r="I5" s="205"/>
      <c r="J5" s="206" t="s">
        <v>363</v>
      </c>
      <c r="K5" s="207"/>
      <c r="L5" s="199" t="s">
        <v>364</v>
      </c>
      <c r="M5" s="200"/>
      <c r="N5" s="73" t="s">
        <v>388</v>
      </c>
      <c r="O5" s="74" t="s">
        <v>379</v>
      </c>
      <c r="P5" s="73" t="s">
        <v>365</v>
      </c>
      <c r="Q5" s="73" t="s">
        <v>366</v>
      </c>
      <c r="R5" s="73" t="s">
        <v>367</v>
      </c>
      <c r="S5" s="73" t="s">
        <v>489</v>
      </c>
      <c r="T5" s="74" t="s">
        <v>368</v>
      </c>
      <c r="U5" s="73" t="s">
        <v>368</v>
      </c>
      <c r="V5" s="73" t="s">
        <v>369</v>
      </c>
      <c r="W5" s="73" t="s">
        <v>370</v>
      </c>
      <c r="X5" s="201" t="s">
        <v>371</v>
      </c>
      <c r="Y5" s="200"/>
      <c r="Z5" s="73" t="s">
        <v>372</v>
      </c>
      <c r="AA5" s="75" t="s">
        <v>395</v>
      </c>
      <c r="AB5" s="73" t="s">
        <v>444</v>
      </c>
      <c r="AC5" s="73" t="s">
        <v>396</v>
      </c>
      <c r="AD5" s="199" t="s">
        <v>373</v>
      </c>
      <c r="AE5" s="200"/>
      <c r="AF5" s="73" t="s">
        <v>561</v>
      </c>
      <c r="AG5" s="73" t="s">
        <v>562</v>
      </c>
      <c r="AH5" s="73" t="s">
        <v>642</v>
      </c>
      <c r="AI5" s="105" t="s">
        <v>499</v>
      </c>
      <c r="AJ5" s="73" t="s">
        <v>609</v>
      </c>
      <c r="AK5" s="76" t="s">
        <v>377</v>
      </c>
      <c r="AL5" s="76" t="s">
        <v>450</v>
      </c>
      <c r="AM5" s="76" t="s">
        <v>645</v>
      </c>
      <c r="AN5" s="105" t="s">
        <v>500</v>
      </c>
      <c r="AO5" s="149" t="s">
        <v>589</v>
      </c>
      <c r="AP5" s="149" t="s">
        <v>590</v>
      </c>
      <c r="AQ5" s="149" t="s">
        <v>573</v>
      </c>
      <c r="AR5" s="149" t="s">
        <v>574</v>
      </c>
      <c r="AS5" s="149" t="s">
        <v>596</v>
      </c>
      <c r="AT5" s="105" t="s">
        <v>575</v>
      </c>
      <c r="AU5" s="105" t="s">
        <v>576</v>
      </c>
      <c r="AV5" s="149" t="s">
        <v>591</v>
      </c>
      <c r="AW5" s="149" t="s">
        <v>593</v>
      </c>
      <c r="AX5" s="149" t="s">
        <v>592</v>
      </c>
      <c r="AY5" s="149" t="s">
        <v>594</v>
      </c>
      <c r="AZ5" s="149" t="s">
        <v>597</v>
      </c>
      <c r="BA5" s="149" t="s">
        <v>595</v>
      </c>
      <c r="BB5" s="76" t="s">
        <v>452</v>
      </c>
      <c r="BC5" s="76" t="s">
        <v>453</v>
      </c>
      <c r="BD5" s="92" t="s">
        <v>468</v>
      </c>
    </row>
    <row r="6" spans="1:56" s="8" customFormat="1" ht="11.25" customHeight="1" x14ac:dyDescent="0.15">
      <c r="A6" s="20" t="s">
        <v>0</v>
      </c>
      <c r="B6" s="20"/>
      <c r="C6" s="40" t="s">
        <v>1</v>
      </c>
      <c r="E6" s="41" t="s">
        <v>2</v>
      </c>
      <c r="F6" s="68" t="s">
        <v>3</v>
      </c>
      <c r="G6" s="72" t="s">
        <v>397</v>
      </c>
      <c r="H6" s="130" t="s">
        <v>4</v>
      </c>
      <c r="I6" s="69" t="s">
        <v>398</v>
      </c>
      <c r="J6" s="142" t="s">
        <v>5</v>
      </c>
      <c r="K6" s="69" t="s">
        <v>399</v>
      </c>
      <c r="L6" s="119" t="s">
        <v>6</v>
      </c>
      <c r="M6" s="69" t="s">
        <v>400</v>
      </c>
      <c r="N6" s="41" t="s">
        <v>401</v>
      </c>
      <c r="O6" s="41" t="s">
        <v>458</v>
      </c>
      <c r="P6" s="41" t="s">
        <v>402</v>
      </c>
      <c r="Q6" s="41" t="s">
        <v>403</v>
      </c>
      <c r="R6" s="41" t="s">
        <v>404</v>
      </c>
      <c r="S6" s="41" t="s">
        <v>497</v>
      </c>
      <c r="T6" s="13" t="s">
        <v>405</v>
      </c>
      <c r="U6" s="41" t="s">
        <v>405</v>
      </c>
      <c r="V6" s="41" t="s">
        <v>406</v>
      </c>
      <c r="W6" s="41" t="s">
        <v>407</v>
      </c>
      <c r="X6" s="112" t="s">
        <v>385</v>
      </c>
      <c r="Y6" s="69" t="s">
        <v>408</v>
      </c>
      <c r="Z6" s="41" t="s">
        <v>409</v>
      </c>
      <c r="AA6" s="70" t="s">
        <v>410</v>
      </c>
      <c r="AB6" s="70" t="s">
        <v>461</v>
      </c>
      <c r="AC6" s="41" t="s">
        <v>411</v>
      </c>
      <c r="AD6" s="112" t="s">
        <v>381</v>
      </c>
      <c r="AE6" s="69" t="s">
        <v>412</v>
      </c>
      <c r="AF6" s="41" t="s">
        <v>560</v>
      </c>
      <c r="AG6" s="41" t="s">
        <v>563</v>
      </c>
      <c r="AH6" s="41" t="s">
        <v>643</v>
      </c>
      <c r="AI6" s="107" t="s">
        <v>554</v>
      </c>
      <c r="AJ6" s="179" t="s">
        <v>610</v>
      </c>
      <c r="AK6" s="70" t="s">
        <v>414</v>
      </c>
      <c r="AL6" s="70" t="s">
        <v>451</v>
      </c>
      <c r="AM6" s="70" t="s">
        <v>646</v>
      </c>
      <c r="AN6" s="106" t="s">
        <v>555</v>
      </c>
      <c r="AO6" s="150" t="s">
        <v>598</v>
      </c>
      <c r="AP6" s="150" t="s">
        <v>599</v>
      </c>
      <c r="AQ6" s="41" t="s">
        <v>600</v>
      </c>
      <c r="AR6" s="41" t="s">
        <v>601</v>
      </c>
      <c r="AS6" s="41" t="s">
        <v>602</v>
      </c>
      <c r="AT6" s="156"/>
      <c r="AU6" s="156"/>
      <c r="AV6" s="41" t="s">
        <v>603</v>
      </c>
      <c r="AW6" s="41" t="s">
        <v>605</v>
      </c>
      <c r="AX6" s="41" t="s">
        <v>604</v>
      </c>
      <c r="AY6" s="41" t="s">
        <v>606</v>
      </c>
      <c r="AZ6" s="41" t="s">
        <v>607</v>
      </c>
      <c r="BA6" s="41" t="s">
        <v>608</v>
      </c>
      <c r="BB6" s="91"/>
      <c r="BC6" s="91"/>
      <c r="BD6" s="71"/>
    </row>
    <row r="7" spans="1:56" s="9" customFormat="1" ht="11.25" customHeight="1" x14ac:dyDescent="0.15">
      <c r="A7" s="20">
        <v>6</v>
      </c>
      <c r="B7" s="20"/>
      <c r="C7" s="9" t="s">
        <v>7</v>
      </c>
      <c r="E7" s="10" t="s">
        <v>8</v>
      </c>
      <c r="F7" s="123">
        <v>107</v>
      </c>
      <c r="G7" s="7">
        <f>INT((F7*Valores!$C$2*100*1.006901)+0.5)/100</f>
        <v>563.13</v>
      </c>
      <c r="H7" s="113">
        <v>3779</v>
      </c>
      <c r="I7" s="77">
        <f>INT((H7*Valores!$C$2*100*1.006901)+0.5)/100</f>
        <v>19888.39</v>
      </c>
      <c r="J7" s="143">
        <v>219</v>
      </c>
      <c r="K7" s="77">
        <f>INT((J7*Valores!$C$2*100*1.006901)+0.5)/100</f>
        <v>1152.57</v>
      </c>
      <c r="L7" s="123">
        <v>0</v>
      </c>
      <c r="M7" s="77">
        <f>INT((L7*Valores!$C$2*100*1.006901)+0.5)/100</f>
        <v>0</v>
      </c>
      <c r="N7" s="77">
        <f t="shared" ref="N7:N70" si="0">IF($I$2=0,IF(C7&lt;&gt;"13-930",(SUM(G7,I7,K7,M7,Y7,T7,S7)*$N$2),0),0)</f>
        <v>3412.5957149535002</v>
      </c>
      <c r="O7" s="77">
        <f t="shared" ref="O7:O70" si="1">SUM(G7,I7,K7,M7,Y7,S7)*$I$2</f>
        <v>0</v>
      </c>
      <c r="P7" s="78">
        <f>Valores!$C$16</f>
        <v>3262.4095850500003</v>
      </c>
      <c r="Q7" s="78">
        <f>Valores!$D$4</f>
        <v>2354.08</v>
      </c>
      <c r="R7" s="77">
        <v>0</v>
      </c>
      <c r="S7" s="79">
        <f>Valores!$C$43</f>
        <v>1146.5480996900001</v>
      </c>
      <c r="T7" s="77">
        <v>0</v>
      </c>
      <c r="U7" s="77">
        <f t="shared" ref="U7:U44" si="2">T7*(1+$I$2)</f>
        <v>0</v>
      </c>
      <c r="V7" s="78">
        <f>SUM(G7,I7,K7)</f>
        <v>21604.09</v>
      </c>
      <c r="W7" s="78">
        <f>INT((SUM(G7,I7,K7)*0.4*100)+0.49)/100</f>
        <v>8641.64</v>
      </c>
      <c r="X7" s="116">
        <v>0</v>
      </c>
      <c r="Y7" s="77">
        <f>X7*Valores!$C$2*1.006901</f>
        <v>0</v>
      </c>
      <c r="Z7" s="77">
        <v>0</v>
      </c>
      <c r="AA7" s="89">
        <f>Valores!$C$29</f>
        <v>132.58872368000002</v>
      </c>
      <c r="AB7" s="77">
        <f t="shared" ref="AB7:AB70" si="3">SUM(G7,I7,K7,Y7,S7,M7)*$G$3/100</f>
        <v>0</v>
      </c>
      <c r="AC7" s="77">
        <f>Valores!$C$30</f>
        <v>132.59</v>
      </c>
      <c r="AD7" s="116">
        <v>0</v>
      </c>
      <c r="AE7" s="77">
        <f>AD7*Valores!$C$2*1.006901</f>
        <v>0</v>
      </c>
      <c r="AF7" s="77">
        <f>Valores!$C$51</f>
        <v>269.71857087000001</v>
      </c>
      <c r="AG7" s="77">
        <f>Valores!$C$52</f>
        <v>77.068202540000016</v>
      </c>
      <c r="AH7" s="77">
        <f>SUM(G7,I7,K7,M7,N7,O7,P7,Q7,R7,S7,U7,V7,W7,Y7,Z7,AA7,AB7,AC7,AE7,AF7,AG7)*Valores!$C$54</f>
        <v>0</v>
      </c>
      <c r="AI7" s="15">
        <f>SUM(G7,I7,K7,M7,N7,O7,P7,Q7,R7,U7,V7,W7,Y7,Z7,AA7,AB7,AC7,AE7,S7,AF7,AG7,AH7)</f>
        <v>62637.4188967835</v>
      </c>
      <c r="AJ7" s="78">
        <f>Valores!$C$35</f>
        <v>216.04</v>
      </c>
      <c r="AK7" s="79">
        <f>Valores!$C$9</f>
        <v>308.25267214000002</v>
      </c>
      <c r="AL7" s="89">
        <v>0</v>
      </c>
      <c r="AM7" s="79">
        <f>IF($G$4="SI",SUM(AK7+AL7),AK7)*Valores!$C$54</f>
        <v>0</v>
      </c>
      <c r="AN7" s="12">
        <f t="shared" ref="AN7:AN70" si="4">SUM(AJ7:AK7,AL7,AM7)</f>
        <v>524.29267214000004</v>
      </c>
      <c r="AO7" s="151">
        <f>AI7*-Valores!$C$56</f>
        <v>-8142.8644565818549</v>
      </c>
      <c r="AP7" s="13">
        <f>AI7*-Valores!$C$57</f>
        <v>-313.18709448391752</v>
      </c>
      <c r="AQ7" s="78">
        <f>AI7*-Valores!$C$58</f>
        <v>-2818.6838503552572</v>
      </c>
      <c r="AR7" s="78">
        <f>AI7*-Valores!$C$59</f>
        <v>-1691.2103102131548</v>
      </c>
      <c r="AS7" s="78">
        <f>AI7*-Valores!$C$60</f>
        <v>-187.91225669035052</v>
      </c>
      <c r="AT7" s="15">
        <f t="shared" ref="AT7:AT70" si="5">AI7+AN7+AP7+AQ7+AO7</f>
        <v>51886.976167502471</v>
      </c>
      <c r="AU7" s="15">
        <f t="shared" ref="AU7:AU70" si="6">AI7+AN7+AP7+AR7+AO7+AS7</f>
        <v>52826.537450954223</v>
      </c>
      <c r="AV7" s="78">
        <f>AI7*Valores!$C$61</f>
        <v>10021.987023485361</v>
      </c>
      <c r="AW7" s="78">
        <f>AI7*Valores!$C$62</f>
        <v>2818.6838503552572</v>
      </c>
      <c r="AX7" s="78">
        <f>AI7*Valores!$C$64</f>
        <v>626.37418896783504</v>
      </c>
      <c r="AY7" s="78">
        <f>AI7*Valores!$C$65</f>
        <v>2192.3096613874227</v>
      </c>
      <c r="AZ7" s="78">
        <f>AI7*Valores!$C$66</f>
        <v>375.82451338070103</v>
      </c>
      <c r="BA7" s="78">
        <f>AI7*5.4/100</f>
        <v>3382.4206204263091</v>
      </c>
      <c r="BB7" s="20">
        <v>33</v>
      </c>
      <c r="BC7" s="20">
        <v>45</v>
      </c>
      <c r="BD7" s="9" t="s">
        <v>466</v>
      </c>
    </row>
    <row r="8" spans="1:56" s="9" customFormat="1" ht="11.25" customHeight="1" x14ac:dyDescent="0.15">
      <c r="A8" s="20">
        <v>7</v>
      </c>
      <c r="B8" s="20"/>
      <c r="C8" s="9" t="s">
        <v>9</v>
      </c>
      <c r="E8" s="10" t="s">
        <v>10</v>
      </c>
      <c r="F8" s="123">
        <v>107</v>
      </c>
      <c r="G8" s="7">
        <f>INT((F8*Valores!$C$2*100*1.006901)+0.5)/100</f>
        <v>563.13</v>
      </c>
      <c r="H8" s="113">
        <v>3779</v>
      </c>
      <c r="I8" s="77">
        <f>INT((H8*Valores!$C$2*100*1.006901)+0.5)/100</f>
        <v>19888.39</v>
      </c>
      <c r="J8" s="143">
        <v>219</v>
      </c>
      <c r="K8" s="77">
        <f>INT((J8*Valores!$C$2*100*1.006901)+0.5)/100</f>
        <v>1152.57</v>
      </c>
      <c r="L8" s="123">
        <v>0</v>
      </c>
      <c r="M8" s="77">
        <f>INT((L8*Valores!$C$2*100*1.006901)+0.5)/100</f>
        <v>0</v>
      </c>
      <c r="N8" s="77">
        <f t="shared" si="0"/>
        <v>3412.5957149535002</v>
      </c>
      <c r="O8" s="77">
        <f t="shared" si="1"/>
        <v>0</v>
      </c>
      <c r="P8" s="78">
        <f>Valores!$C$16</f>
        <v>3262.4095850500003</v>
      </c>
      <c r="Q8" s="78">
        <f>Valores!$D$4</f>
        <v>2354.08</v>
      </c>
      <c r="R8" s="77">
        <v>0</v>
      </c>
      <c r="S8" s="79">
        <f>Valores!$C$43</f>
        <v>1146.5480996900001</v>
      </c>
      <c r="T8" s="77">
        <v>0</v>
      </c>
      <c r="U8" s="77">
        <f t="shared" si="2"/>
        <v>0</v>
      </c>
      <c r="V8" s="78">
        <f>SUM(G8,I8,K8)</f>
        <v>21604.09</v>
      </c>
      <c r="W8" s="78">
        <f>INT((SUM(G8,I8,K8)*0.4*100)+0.49)/100</f>
        <v>8641.64</v>
      </c>
      <c r="X8" s="116">
        <v>0</v>
      </c>
      <c r="Y8" s="77">
        <f>X8*Valores!$C$2*1.006901</f>
        <v>0</v>
      </c>
      <c r="Z8" s="77">
        <v>0</v>
      </c>
      <c r="AA8" s="89">
        <f>Valores!$C$29</f>
        <v>132.58872368000002</v>
      </c>
      <c r="AB8" s="77">
        <f t="shared" si="3"/>
        <v>0</v>
      </c>
      <c r="AC8" s="77">
        <f>Valores!$C$30</f>
        <v>132.59</v>
      </c>
      <c r="AD8" s="116">
        <v>0</v>
      </c>
      <c r="AE8" s="77">
        <f>AD8*Valores!$C$2*1.006901</f>
        <v>0</v>
      </c>
      <c r="AF8" s="77">
        <f>Valores!$C$51</f>
        <v>269.71857087000001</v>
      </c>
      <c r="AG8" s="77">
        <f>Valores!$C$52</f>
        <v>77.068202540000016</v>
      </c>
      <c r="AH8" s="77">
        <f>SUM(G8,I8,K8,M8,N8,O8,P8,Q8,R8,S8,U8,V8,W8,Y8,Z8,AA8,AB8,AC8,AE8,AF8,AG8)*Valores!$C$54</f>
        <v>0</v>
      </c>
      <c r="AI8" s="15">
        <f t="shared" ref="AI8:AI71" si="7">SUM(G8,I8,K8,M8,N8,O8,P8,Q8,R8,U8,V8,W8,Y8,Z8,AA8,AB8,AC8,AE8,S8,AF8,AG8,AH8)</f>
        <v>62637.4188967835</v>
      </c>
      <c r="AJ8" s="78">
        <f>Valores!$C$35</f>
        <v>216.04</v>
      </c>
      <c r="AK8" s="79">
        <f>Valores!$C$9</f>
        <v>308.25267214000002</v>
      </c>
      <c r="AL8" s="89">
        <v>0</v>
      </c>
      <c r="AM8" s="190">
        <f>IF($G$4="SI",SUM(AK8+AL8),AK8)*Valores!$C$54</f>
        <v>0</v>
      </c>
      <c r="AN8" s="12">
        <f t="shared" si="4"/>
        <v>524.29267214000004</v>
      </c>
      <c r="AO8" s="151">
        <f>AI8*-Valores!$C$56</f>
        <v>-8142.8644565818549</v>
      </c>
      <c r="AP8" s="151">
        <f>AI8*-Valores!$C$57</f>
        <v>-313.18709448391752</v>
      </c>
      <c r="AQ8" s="78">
        <f>AI8*-Valores!$C$58</f>
        <v>-2818.6838503552572</v>
      </c>
      <c r="AR8" s="78">
        <f>AI8*-Valores!$C$59</f>
        <v>-1691.2103102131548</v>
      </c>
      <c r="AS8" s="78">
        <f>AI8*-Valores!$C$60</f>
        <v>-187.91225669035052</v>
      </c>
      <c r="AT8" s="15">
        <f t="shared" si="5"/>
        <v>51886.976167502471</v>
      </c>
      <c r="AU8" s="15">
        <f t="shared" si="6"/>
        <v>52826.537450954223</v>
      </c>
      <c r="AV8" s="78">
        <f>AI8*Valores!$C$61</f>
        <v>10021.987023485361</v>
      </c>
      <c r="AW8" s="78">
        <f>AI8*Valores!$C$62</f>
        <v>2818.6838503552572</v>
      </c>
      <c r="AX8" s="78">
        <f>AI8*Valores!$C$64</f>
        <v>626.37418896783504</v>
      </c>
      <c r="AY8" s="78">
        <f>AI8*Valores!$C$65</f>
        <v>2192.3096613874227</v>
      </c>
      <c r="AZ8" s="78">
        <f>AI8*Valores!$C$66</f>
        <v>375.82451338070103</v>
      </c>
      <c r="BA8" s="78">
        <f>AI8*Valores!$C$67</f>
        <v>3382.4206204263096</v>
      </c>
      <c r="BB8" s="20">
        <v>33</v>
      </c>
      <c r="BC8" s="20">
        <v>45</v>
      </c>
      <c r="BD8" s="9" t="s">
        <v>466</v>
      </c>
    </row>
    <row r="9" spans="1:56" s="9" customFormat="1" ht="11.25" customHeight="1" x14ac:dyDescent="0.15">
      <c r="A9" s="20">
        <v>8</v>
      </c>
      <c r="B9" s="20"/>
      <c r="C9" s="9" t="s">
        <v>11</v>
      </c>
      <c r="E9" s="10" t="s">
        <v>12</v>
      </c>
      <c r="F9" s="123">
        <v>107</v>
      </c>
      <c r="G9" s="7">
        <f>INT((F9*Valores!$C$2*100*1.006901)+0.5)/100</f>
        <v>563.13</v>
      </c>
      <c r="H9" s="113">
        <v>3720</v>
      </c>
      <c r="I9" s="77">
        <f>INT((H9*Valores!$C$2*100*1.006901)+0.5)/100</f>
        <v>19577.88</v>
      </c>
      <c r="J9" s="143">
        <v>1226</v>
      </c>
      <c r="K9" s="77">
        <f>INT((J9*Valores!$C$2*100*1.006901)+0.5)/100</f>
        <v>6452.28</v>
      </c>
      <c r="L9" s="123">
        <v>0</v>
      </c>
      <c r="M9" s="77">
        <f>INT((L9*Valores!$C$2*100*1.006901)+0.5)/100</f>
        <v>0</v>
      </c>
      <c r="N9" s="77">
        <f t="shared" si="0"/>
        <v>4501.0404172875005</v>
      </c>
      <c r="O9" s="77">
        <f t="shared" si="1"/>
        <v>0</v>
      </c>
      <c r="P9" s="78">
        <f>Valores!$C$19</f>
        <v>3416.5359211200002</v>
      </c>
      <c r="Q9" s="78">
        <f>Valores!$D$4</f>
        <v>2354.08</v>
      </c>
      <c r="R9" s="77">
        <v>0</v>
      </c>
      <c r="S9" s="79">
        <f>Valores!$C$43</f>
        <v>1146.5480996900001</v>
      </c>
      <c r="T9" s="77">
        <f>Valores!$C$23</f>
        <v>2267.09801556</v>
      </c>
      <c r="U9" s="77">
        <f t="shared" si="2"/>
        <v>2267.09801556</v>
      </c>
      <c r="V9" s="77">
        <v>0</v>
      </c>
      <c r="W9" s="77">
        <v>0</v>
      </c>
      <c r="X9" s="116">
        <v>0</v>
      </c>
      <c r="Y9" s="77">
        <f>X9*Valores!$C$2*1.006901</f>
        <v>0</v>
      </c>
      <c r="Z9" s="77">
        <v>0</v>
      </c>
      <c r="AA9" s="89">
        <f>Valores!$C$29</f>
        <v>132.58872368000002</v>
      </c>
      <c r="AB9" s="77">
        <f t="shared" si="3"/>
        <v>0</v>
      </c>
      <c r="AC9" s="77">
        <f>Valores!$C$30</f>
        <v>132.59</v>
      </c>
      <c r="AD9" s="116">
        <v>0</v>
      </c>
      <c r="AE9" s="77">
        <f>AD9*Valores!$C$2*1.006901</f>
        <v>0</v>
      </c>
      <c r="AF9" s="77">
        <f>Valores!$C$51</f>
        <v>269.71857087000001</v>
      </c>
      <c r="AG9" s="77">
        <f>Valores!$C$52</f>
        <v>77.068202540000016</v>
      </c>
      <c r="AH9" s="77">
        <f>SUM(G9,I9,K9,M9,N9,O9,P9,Q9,R9,S9,U9,V9,W9,Y9,Z9,AA9,AB9,AC9,AE9,AF9,AG9)*Valores!$C$54</f>
        <v>0</v>
      </c>
      <c r="AI9" s="15">
        <f t="shared" si="7"/>
        <v>40890.55795074749</v>
      </c>
      <c r="AJ9" s="78">
        <f>Valores!$C$35</f>
        <v>216.04</v>
      </c>
      <c r="AK9" s="79">
        <f>Valores!$C$9</f>
        <v>308.25267214000002</v>
      </c>
      <c r="AL9" s="89">
        <v>0</v>
      </c>
      <c r="AM9" s="79">
        <f>IF($G$4="SI",SUM(AK9+AL9),AK9)*Valores!$C$54</f>
        <v>0</v>
      </c>
      <c r="AN9" s="12">
        <f t="shared" si="4"/>
        <v>524.29267214000004</v>
      </c>
      <c r="AO9" s="151">
        <f>AI9*-Valores!$C$56</f>
        <v>-5315.7725335971736</v>
      </c>
      <c r="AP9" s="151">
        <f>AI9*-Valores!$C$57</f>
        <v>-204.45278975373745</v>
      </c>
      <c r="AQ9" s="78">
        <f>AI9*-Valores!$C$58</f>
        <v>-1840.0751077836369</v>
      </c>
      <c r="AR9" s="78">
        <f>AI9*-Valores!$C$59</f>
        <v>-1104.0450646701825</v>
      </c>
      <c r="AS9" s="78">
        <f>AI9*-Valores!$C$60</f>
        <v>-122.67167385224248</v>
      </c>
      <c r="AT9" s="15">
        <f t="shared" si="5"/>
        <v>34054.550191752933</v>
      </c>
      <c r="AU9" s="15">
        <f t="shared" si="6"/>
        <v>34667.908561014156</v>
      </c>
      <c r="AV9" s="78">
        <f>AI9*Valores!$C$61</f>
        <v>6542.4892721195984</v>
      </c>
      <c r="AW9" s="78">
        <f>AI9*Valores!$C$62</f>
        <v>1840.0751077836369</v>
      </c>
      <c r="AX9" s="78">
        <f>AI9*Valores!$C$64</f>
        <v>408.9055795074749</v>
      </c>
      <c r="AY9" s="78">
        <f>AI9*Valores!$C$65</f>
        <v>1431.1695282761623</v>
      </c>
      <c r="AZ9" s="78">
        <f>AI9*Valores!$C$66</f>
        <v>245.34334770448496</v>
      </c>
      <c r="BA9" s="78">
        <f t="shared" ref="BA9:BA72" si="8">AI9*5.4/100</f>
        <v>2208.0901293403645</v>
      </c>
      <c r="BB9" s="20">
        <v>35</v>
      </c>
      <c r="BC9" s="20">
        <v>45</v>
      </c>
      <c r="BD9" s="9" t="s">
        <v>467</v>
      </c>
    </row>
    <row r="10" spans="1:56" s="9" customFormat="1" ht="11.25" customHeight="1" x14ac:dyDescent="0.15">
      <c r="A10" s="20">
        <v>9</v>
      </c>
      <c r="B10" s="20"/>
      <c r="C10" s="9" t="s">
        <v>13</v>
      </c>
      <c r="E10" s="10" t="s">
        <v>14</v>
      </c>
      <c r="F10" s="123">
        <v>107</v>
      </c>
      <c r="G10" s="7">
        <f>INT((F10*Valores!$C$2*100*1.006901)+0.5)/100</f>
        <v>563.13</v>
      </c>
      <c r="H10" s="113">
        <v>3779</v>
      </c>
      <c r="I10" s="77">
        <f>INT((H10*Valores!$C$2*100*1.006901)+0.5)/100</f>
        <v>19888.39</v>
      </c>
      <c r="J10" s="143">
        <v>219</v>
      </c>
      <c r="K10" s="77">
        <f>INT((J10*Valores!$C$2*100*1.006901)+0.5)/100</f>
        <v>1152.57</v>
      </c>
      <c r="L10" s="123">
        <v>0</v>
      </c>
      <c r="M10" s="77">
        <f>INT((L10*Valores!$C$2*100*1.006901)+0.5)/100</f>
        <v>0</v>
      </c>
      <c r="N10" s="77">
        <f t="shared" si="0"/>
        <v>3412.5957149535002</v>
      </c>
      <c r="O10" s="77">
        <f t="shared" si="1"/>
        <v>0</v>
      </c>
      <c r="P10" s="78">
        <f>Valores!$C$16</f>
        <v>3262.4095850500003</v>
      </c>
      <c r="Q10" s="78">
        <f>Valores!$D$4</f>
        <v>2354.08</v>
      </c>
      <c r="R10" s="77">
        <v>0</v>
      </c>
      <c r="S10" s="79">
        <f>Valores!$C$43</f>
        <v>1146.5480996900001</v>
      </c>
      <c r="T10" s="77">
        <v>0</v>
      </c>
      <c r="U10" s="77">
        <f t="shared" si="2"/>
        <v>0</v>
      </c>
      <c r="V10" s="78">
        <f t="shared" ref="V10:V19" si="9">SUM(G10,I10,K10)</f>
        <v>21604.09</v>
      </c>
      <c r="W10" s="78">
        <f t="shared" ref="W10:W19" si="10">INT((SUM(G10,I10,K10)*0.4*100)+0.49)/100</f>
        <v>8641.64</v>
      </c>
      <c r="X10" s="116">
        <v>0</v>
      </c>
      <c r="Y10" s="77">
        <f>X10*Valores!$C$2*1.006901</f>
        <v>0</v>
      </c>
      <c r="Z10" s="77">
        <v>0</v>
      </c>
      <c r="AA10" s="89">
        <f>Valores!$C$29</f>
        <v>132.58872368000002</v>
      </c>
      <c r="AB10" s="77">
        <f t="shared" si="3"/>
        <v>0</v>
      </c>
      <c r="AC10" s="77">
        <f>Valores!$C$30</f>
        <v>132.59</v>
      </c>
      <c r="AD10" s="116">
        <v>0</v>
      </c>
      <c r="AE10" s="77">
        <f>AD10*Valores!$C$2*1.006901</f>
        <v>0</v>
      </c>
      <c r="AF10" s="77">
        <f>Valores!$C$51</f>
        <v>269.71857087000001</v>
      </c>
      <c r="AG10" s="77">
        <f>Valores!$C$52</f>
        <v>77.068202540000016</v>
      </c>
      <c r="AH10" s="77">
        <f>SUM(G10,I10,K10,M10,N10,O10,P10,Q10,R10,S10,U10,V10,W10,Y10,Z10,AA10,AB10,AC10,AE10,AF10,AG10)*Valores!$C$54</f>
        <v>0</v>
      </c>
      <c r="AI10" s="15">
        <f t="shared" si="7"/>
        <v>62637.4188967835</v>
      </c>
      <c r="AJ10" s="78">
        <f>Valores!$C$35</f>
        <v>216.04</v>
      </c>
      <c r="AK10" s="79">
        <f>Valores!$C$9</f>
        <v>308.25267214000002</v>
      </c>
      <c r="AL10" s="89">
        <v>0</v>
      </c>
      <c r="AM10" s="79">
        <f>IF($G$4="SI",SUM(AK10+AL10),AK10)*Valores!$C$54</f>
        <v>0</v>
      </c>
      <c r="AN10" s="12">
        <f t="shared" si="4"/>
        <v>524.29267214000004</v>
      </c>
      <c r="AO10" s="151">
        <f>AI10*-Valores!$C$56</f>
        <v>-8142.8644565818549</v>
      </c>
      <c r="AP10" s="151">
        <f>AI10*-Valores!$C$57</f>
        <v>-313.18709448391752</v>
      </c>
      <c r="AQ10" s="78">
        <f>AI10*-Valores!$C$58</f>
        <v>-2818.6838503552572</v>
      </c>
      <c r="AR10" s="78">
        <f>AI10*-Valores!$C$59</f>
        <v>-1691.2103102131548</v>
      </c>
      <c r="AS10" s="78">
        <f>AI10*-Valores!$C$60</f>
        <v>-187.91225669035052</v>
      </c>
      <c r="AT10" s="15">
        <f t="shared" si="5"/>
        <v>51886.976167502471</v>
      </c>
      <c r="AU10" s="15">
        <f t="shared" si="6"/>
        <v>52826.537450954223</v>
      </c>
      <c r="AV10" s="78">
        <f>AI10*Valores!$C$61</f>
        <v>10021.987023485361</v>
      </c>
      <c r="AW10" s="78">
        <f>AI10*Valores!$C$62</f>
        <v>2818.6838503552572</v>
      </c>
      <c r="AX10" s="78">
        <f>AI10*Valores!$C$64</f>
        <v>626.37418896783504</v>
      </c>
      <c r="AY10" s="78">
        <f>AI10*Valores!$C$65</f>
        <v>2192.3096613874227</v>
      </c>
      <c r="AZ10" s="78">
        <f>AI10*Valores!$C$66</f>
        <v>375.82451338070103</v>
      </c>
      <c r="BA10" s="78">
        <f t="shared" si="8"/>
        <v>3382.4206204263091</v>
      </c>
      <c r="BB10" s="20">
        <v>33</v>
      </c>
      <c r="BC10" s="20">
        <v>45</v>
      </c>
      <c r="BD10" s="9" t="s">
        <v>466</v>
      </c>
    </row>
    <row r="11" spans="1:56" s="9" customFormat="1" ht="11.25" customHeight="1" x14ac:dyDescent="0.15">
      <c r="A11" s="55">
        <v>10</v>
      </c>
      <c r="B11" s="55" t="s">
        <v>462</v>
      </c>
      <c r="C11" s="52" t="s">
        <v>15</v>
      </c>
      <c r="D11" s="52"/>
      <c r="E11" s="53" t="s">
        <v>16</v>
      </c>
      <c r="F11" s="124">
        <v>107</v>
      </c>
      <c r="G11" s="7">
        <f>INT((F11*Valores!$C$2*100*1.006901)+0.5)/100</f>
        <v>563.13</v>
      </c>
      <c r="H11" s="114">
        <v>3779</v>
      </c>
      <c r="I11" s="77">
        <f>INT((H11*Valores!$C$2*100*1.006901)+0.5)/100</f>
        <v>19888.39</v>
      </c>
      <c r="J11" s="144">
        <v>219</v>
      </c>
      <c r="K11" s="77">
        <f>INT((J11*Valores!$C$2*100*1.006901)+0.5)/100</f>
        <v>1152.57</v>
      </c>
      <c r="L11" s="124">
        <v>0</v>
      </c>
      <c r="M11" s="77">
        <f>INT((L11*Valores!$C$2*100*1.006901)+0.5)/100</f>
        <v>0</v>
      </c>
      <c r="N11" s="80">
        <f t="shared" si="0"/>
        <v>3412.5957149535002</v>
      </c>
      <c r="O11" s="80">
        <f t="shared" si="1"/>
        <v>0</v>
      </c>
      <c r="P11" s="81">
        <f>Valores!$C$16</f>
        <v>3262.4095850500003</v>
      </c>
      <c r="Q11" s="81">
        <f>Valores!$D$4</f>
        <v>2354.08</v>
      </c>
      <c r="R11" s="80">
        <v>0</v>
      </c>
      <c r="S11" s="82">
        <f>Valores!$C$43</f>
        <v>1146.5480996900001</v>
      </c>
      <c r="T11" s="80">
        <v>0</v>
      </c>
      <c r="U11" s="80">
        <f t="shared" si="2"/>
        <v>0</v>
      </c>
      <c r="V11" s="81">
        <f t="shared" si="9"/>
        <v>21604.09</v>
      </c>
      <c r="W11" s="81">
        <f t="shared" si="10"/>
        <v>8641.64</v>
      </c>
      <c r="X11" s="115">
        <v>0</v>
      </c>
      <c r="Y11" s="77">
        <f>X11*Valores!$C$2*1.006901</f>
        <v>0</v>
      </c>
      <c r="Z11" s="80">
        <v>0</v>
      </c>
      <c r="AA11" s="90">
        <f>Valores!$C$29</f>
        <v>132.58872368000002</v>
      </c>
      <c r="AB11" s="80">
        <f t="shared" si="3"/>
        <v>0</v>
      </c>
      <c r="AC11" s="80">
        <f>Valores!$C$30</f>
        <v>132.59</v>
      </c>
      <c r="AD11" s="115">
        <v>0</v>
      </c>
      <c r="AE11" s="77">
        <f>AD11*Valores!$C$2*1.006901</f>
        <v>0</v>
      </c>
      <c r="AF11" s="80">
        <f>Valores!$C$51</f>
        <v>269.71857087000001</v>
      </c>
      <c r="AG11" s="80">
        <f>Valores!$C$52</f>
        <v>77.068202540000016</v>
      </c>
      <c r="AH11" s="80">
        <f>SUM(G11,I11,K11,M11,N11,O11,P11,Q11,R11,S11,U11,V11,W11,Y11,Z11,AA11,AB11,AC11,AE11,AF11,AG11)*Valores!$C$54</f>
        <v>0</v>
      </c>
      <c r="AI11" s="54">
        <f t="shared" si="7"/>
        <v>62637.4188967835</v>
      </c>
      <c r="AJ11" s="81">
        <f>Valores!$C$35</f>
        <v>216.04</v>
      </c>
      <c r="AK11" s="82">
        <f>Valores!$C$9</f>
        <v>308.25267214000002</v>
      </c>
      <c r="AL11" s="90">
        <v>0</v>
      </c>
      <c r="AM11" s="82">
        <f>IF($G$4="SI",SUM(AK11+AL11),AK11)*Valores!$C$54</f>
        <v>0</v>
      </c>
      <c r="AN11" s="184">
        <f t="shared" si="4"/>
        <v>524.29267214000004</v>
      </c>
      <c r="AO11" s="152">
        <f>AI11*-Valores!$C$56</f>
        <v>-8142.8644565818549</v>
      </c>
      <c r="AP11" s="152">
        <f>AI11*-Valores!$C$57</f>
        <v>-313.18709448391752</v>
      </c>
      <c r="AQ11" s="81">
        <f>AI11*-Valores!$C$58</f>
        <v>-2818.6838503552572</v>
      </c>
      <c r="AR11" s="81">
        <f>AI11*-Valores!$C$59</f>
        <v>-1691.2103102131548</v>
      </c>
      <c r="AS11" s="81">
        <f>AI11*-Valores!$C$60</f>
        <v>-187.91225669035052</v>
      </c>
      <c r="AT11" s="54">
        <f t="shared" si="5"/>
        <v>51886.976167502471</v>
      </c>
      <c r="AU11" s="54">
        <f t="shared" si="6"/>
        <v>52826.537450954223</v>
      </c>
      <c r="AV11" s="81">
        <f>AI11*Valores!$C$61</f>
        <v>10021.987023485361</v>
      </c>
      <c r="AW11" s="81">
        <f>AI11*Valores!$C$62</f>
        <v>2818.6838503552572</v>
      </c>
      <c r="AX11" s="81">
        <f>AI11*Valores!$C$64</f>
        <v>626.37418896783504</v>
      </c>
      <c r="AY11" s="81">
        <f>AI11*Valores!$C$65</f>
        <v>2192.3096613874227</v>
      </c>
      <c r="AZ11" s="81">
        <f>AI11*Valores!$C$66</f>
        <v>375.82451338070103</v>
      </c>
      <c r="BA11" s="81">
        <f t="shared" si="8"/>
        <v>3382.4206204263091</v>
      </c>
      <c r="BB11" s="55">
        <v>33</v>
      </c>
      <c r="BC11" s="55">
        <v>45</v>
      </c>
      <c r="BD11" s="52" t="s">
        <v>466</v>
      </c>
    </row>
    <row r="12" spans="1:56" s="9" customFormat="1" ht="11.25" customHeight="1" x14ac:dyDescent="0.15">
      <c r="A12" s="20">
        <v>11</v>
      </c>
      <c r="B12" s="20"/>
      <c r="C12" s="9" t="s">
        <v>17</v>
      </c>
      <c r="E12" s="10" t="s">
        <v>18</v>
      </c>
      <c r="F12" s="123">
        <v>107</v>
      </c>
      <c r="G12" s="7">
        <f>INT((F12*Valores!$C$2*100*1.006901)+0.5)/100</f>
        <v>563.13</v>
      </c>
      <c r="H12" s="113">
        <v>3779</v>
      </c>
      <c r="I12" s="77">
        <f>INT((H12*Valores!$C$2*100*1.006901)+0.5)/100</f>
        <v>19888.39</v>
      </c>
      <c r="J12" s="143">
        <v>219</v>
      </c>
      <c r="K12" s="77">
        <f>INT((J12*Valores!$C$2*100*1.006901)+0.5)/100</f>
        <v>1152.57</v>
      </c>
      <c r="L12" s="123">
        <v>0</v>
      </c>
      <c r="M12" s="77">
        <f>INT((L12*Valores!$C$2*100*1.006901)+0.5)/100</f>
        <v>0</v>
      </c>
      <c r="N12" s="77">
        <f t="shared" si="0"/>
        <v>3412.5957149535002</v>
      </c>
      <c r="O12" s="77">
        <f t="shared" si="1"/>
        <v>0</v>
      </c>
      <c r="P12" s="78">
        <f>Valores!$C$16</f>
        <v>3262.4095850500003</v>
      </c>
      <c r="Q12" s="78">
        <f>Valores!$D$4</f>
        <v>2354.08</v>
      </c>
      <c r="R12" s="77">
        <v>0</v>
      </c>
      <c r="S12" s="79">
        <f>Valores!$C$43</f>
        <v>1146.5480996900001</v>
      </c>
      <c r="T12" s="77">
        <v>0</v>
      </c>
      <c r="U12" s="77">
        <f t="shared" si="2"/>
        <v>0</v>
      </c>
      <c r="V12" s="78">
        <f t="shared" si="9"/>
        <v>21604.09</v>
      </c>
      <c r="W12" s="78">
        <f t="shared" si="10"/>
        <v>8641.64</v>
      </c>
      <c r="X12" s="116">
        <v>0</v>
      </c>
      <c r="Y12" s="77">
        <f>X12*Valores!$C$2*1.006901</f>
        <v>0</v>
      </c>
      <c r="Z12" s="77">
        <v>0</v>
      </c>
      <c r="AA12" s="89">
        <f>Valores!$C$29</f>
        <v>132.58872368000002</v>
      </c>
      <c r="AB12" s="77">
        <f t="shared" si="3"/>
        <v>0</v>
      </c>
      <c r="AC12" s="77">
        <f>Valores!$C$30</f>
        <v>132.59</v>
      </c>
      <c r="AD12" s="116">
        <v>0</v>
      </c>
      <c r="AE12" s="77">
        <f>AD12*Valores!$C$2*1.006901</f>
        <v>0</v>
      </c>
      <c r="AF12" s="77">
        <f>Valores!$C$51</f>
        <v>269.71857087000001</v>
      </c>
      <c r="AG12" s="77">
        <f>Valores!$C$52</f>
        <v>77.068202540000016</v>
      </c>
      <c r="AH12" s="77">
        <f>SUM(G12,I12,K12,M12,N12,O12,P12,Q12,R12,S12,U12,V12,W12,Y12,Z12,AA12,AB12,AC12,AE12,AF12,AG12)*Valores!$C$54</f>
        <v>0</v>
      </c>
      <c r="AI12" s="15">
        <f t="shared" si="7"/>
        <v>62637.4188967835</v>
      </c>
      <c r="AJ12" s="78">
        <f>Valores!$C$35</f>
        <v>216.04</v>
      </c>
      <c r="AK12" s="79">
        <f>Valores!$C$9</f>
        <v>308.25267214000002</v>
      </c>
      <c r="AL12" s="89">
        <v>0</v>
      </c>
      <c r="AM12" s="79">
        <f>IF($G$4="SI",SUM(AK12+AL12),AK12)*Valores!$C$54</f>
        <v>0</v>
      </c>
      <c r="AN12" s="12">
        <f t="shared" si="4"/>
        <v>524.29267214000004</v>
      </c>
      <c r="AO12" s="151">
        <f>AI12*-Valores!$C$56</f>
        <v>-8142.8644565818549</v>
      </c>
      <c r="AP12" s="151">
        <f>AI12*-Valores!$C$57</f>
        <v>-313.18709448391752</v>
      </c>
      <c r="AQ12" s="78">
        <f>AI12*-Valores!$C$58</f>
        <v>-2818.6838503552572</v>
      </c>
      <c r="AR12" s="78">
        <f>AI12*-Valores!$C$59</f>
        <v>-1691.2103102131548</v>
      </c>
      <c r="AS12" s="78">
        <f>AI12*-Valores!$C$60</f>
        <v>-187.91225669035052</v>
      </c>
      <c r="AT12" s="15">
        <f t="shared" si="5"/>
        <v>51886.976167502471</v>
      </c>
      <c r="AU12" s="15">
        <f t="shared" si="6"/>
        <v>52826.537450954223</v>
      </c>
      <c r="AV12" s="78">
        <f>AI12*Valores!$C$61</f>
        <v>10021.987023485361</v>
      </c>
      <c r="AW12" s="78">
        <f>AI12*Valores!$C$62</f>
        <v>2818.6838503552572</v>
      </c>
      <c r="AX12" s="78">
        <f>AI12*Valores!$C$64</f>
        <v>626.37418896783504</v>
      </c>
      <c r="AY12" s="78">
        <f>AI12*Valores!$C$65</f>
        <v>2192.3096613874227</v>
      </c>
      <c r="AZ12" s="78">
        <f>AI12*Valores!$C$66</f>
        <v>375.82451338070103</v>
      </c>
      <c r="BA12" s="78">
        <f t="shared" si="8"/>
        <v>3382.4206204263091</v>
      </c>
      <c r="BB12" s="20">
        <v>33</v>
      </c>
      <c r="BC12" s="20">
        <v>45</v>
      </c>
      <c r="BD12" s="9" t="s">
        <v>466</v>
      </c>
    </row>
    <row r="13" spans="1:56" s="9" customFormat="1" ht="11.25" customHeight="1" x14ac:dyDescent="0.15">
      <c r="A13" s="20">
        <v>12</v>
      </c>
      <c r="B13" s="20"/>
      <c r="C13" s="9" t="s">
        <v>19</v>
      </c>
      <c r="E13" s="10" t="s">
        <v>20</v>
      </c>
      <c r="F13" s="123">
        <v>107</v>
      </c>
      <c r="G13" s="7">
        <f>INT((F13*Valores!$C$2*100*1.006901)+0.5)/100</f>
        <v>563.13</v>
      </c>
      <c r="H13" s="113">
        <v>3779</v>
      </c>
      <c r="I13" s="77">
        <f>INT((H13*Valores!$C$2*100*1.006901)+0.5)/100</f>
        <v>19888.39</v>
      </c>
      <c r="J13" s="143">
        <v>219</v>
      </c>
      <c r="K13" s="77">
        <f>INT((J13*Valores!$C$2*100*1.006901)+0.5)/100</f>
        <v>1152.57</v>
      </c>
      <c r="L13" s="123">
        <v>0</v>
      </c>
      <c r="M13" s="77">
        <f>INT((L13*Valores!$C$2*100*1.006901)+0.5)/100</f>
        <v>0</v>
      </c>
      <c r="N13" s="77">
        <f t="shared" si="0"/>
        <v>3412.5957149535002</v>
      </c>
      <c r="O13" s="77">
        <f t="shared" si="1"/>
        <v>0</v>
      </c>
      <c r="P13" s="78">
        <f>Valores!$C$16</f>
        <v>3262.4095850500003</v>
      </c>
      <c r="Q13" s="78">
        <f>Valores!$D$4</f>
        <v>2354.08</v>
      </c>
      <c r="R13" s="77">
        <v>0</v>
      </c>
      <c r="S13" s="79">
        <f>Valores!$C$43</f>
        <v>1146.5480996900001</v>
      </c>
      <c r="T13" s="77">
        <v>0</v>
      </c>
      <c r="U13" s="77">
        <f t="shared" si="2"/>
        <v>0</v>
      </c>
      <c r="V13" s="78">
        <f t="shared" si="9"/>
        <v>21604.09</v>
      </c>
      <c r="W13" s="78">
        <f t="shared" si="10"/>
        <v>8641.64</v>
      </c>
      <c r="X13" s="116">
        <v>0</v>
      </c>
      <c r="Y13" s="77">
        <f>X13*Valores!$C$2*1.006901</f>
        <v>0</v>
      </c>
      <c r="Z13" s="77">
        <v>0</v>
      </c>
      <c r="AA13" s="89">
        <f>Valores!$C$29</f>
        <v>132.58872368000002</v>
      </c>
      <c r="AB13" s="77">
        <f t="shared" si="3"/>
        <v>0</v>
      </c>
      <c r="AC13" s="77">
        <f>Valores!$C$30</f>
        <v>132.59</v>
      </c>
      <c r="AD13" s="116">
        <v>0</v>
      </c>
      <c r="AE13" s="77">
        <f>AD13*Valores!$C$2*1.006901</f>
        <v>0</v>
      </c>
      <c r="AF13" s="77">
        <f>Valores!$C$51</f>
        <v>269.71857087000001</v>
      </c>
      <c r="AG13" s="77">
        <f>Valores!$C$52</f>
        <v>77.068202540000016</v>
      </c>
      <c r="AH13" s="77">
        <f>SUM(G13,I13,K13,M13,N13,O13,P13,Q13,R13,S13,U13,V13,W13,Y13,Z13,AA13,AB13,AC13,AE13,AF13,AG13)*Valores!$C$54</f>
        <v>0</v>
      </c>
      <c r="AI13" s="15">
        <f t="shared" si="7"/>
        <v>62637.4188967835</v>
      </c>
      <c r="AJ13" s="78">
        <f>Valores!$C$35</f>
        <v>216.04</v>
      </c>
      <c r="AK13" s="79">
        <f>Valores!$C$9</f>
        <v>308.25267214000002</v>
      </c>
      <c r="AL13" s="89">
        <v>0</v>
      </c>
      <c r="AM13" s="79">
        <f>IF($G$4="SI",SUM(AK13+AL13),AK13)*Valores!$C$54</f>
        <v>0</v>
      </c>
      <c r="AN13" s="12">
        <f t="shared" si="4"/>
        <v>524.29267214000004</v>
      </c>
      <c r="AO13" s="151">
        <f>AI13*-Valores!$C$56</f>
        <v>-8142.8644565818549</v>
      </c>
      <c r="AP13" s="151">
        <f>AI13*-Valores!$C$57</f>
        <v>-313.18709448391752</v>
      </c>
      <c r="AQ13" s="78">
        <f>AI13*-Valores!$C$58</f>
        <v>-2818.6838503552572</v>
      </c>
      <c r="AR13" s="78">
        <f>AI13*-Valores!$C$59</f>
        <v>-1691.2103102131548</v>
      </c>
      <c r="AS13" s="78">
        <f>AI13*-Valores!$C$60</f>
        <v>-187.91225669035052</v>
      </c>
      <c r="AT13" s="15">
        <f t="shared" si="5"/>
        <v>51886.976167502471</v>
      </c>
      <c r="AU13" s="15">
        <f t="shared" si="6"/>
        <v>52826.537450954223</v>
      </c>
      <c r="AV13" s="78">
        <f>AI13*Valores!$C$61</f>
        <v>10021.987023485361</v>
      </c>
      <c r="AW13" s="78">
        <f>AI13*Valores!$C$62</f>
        <v>2818.6838503552572</v>
      </c>
      <c r="AX13" s="78">
        <f>AI13*Valores!$C$64</f>
        <v>626.37418896783504</v>
      </c>
      <c r="AY13" s="78">
        <f>AI13*Valores!$C$65</f>
        <v>2192.3096613874227</v>
      </c>
      <c r="AZ13" s="78">
        <f>AI13*Valores!$C$66</f>
        <v>375.82451338070103</v>
      </c>
      <c r="BA13" s="78">
        <f t="shared" si="8"/>
        <v>3382.4206204263091</v>
      </c>
      <c r="BB13" s="20">
        <v>33</v>
      </c>
      <c r="BC13" s="20">
        <v>45</v>
      </c>
      <c r="BD13" s="9" t="s">
        <v>466</v>
      </c>
    </row>
    <row r="14" spans="1:56" s="9" customFormat="1" ht="11.25" customHeight="1" x14ac:dyDescent="0.15">
      <c r="A14" s="20">
        <v>13</v>
      </c>
      <c r="B14" s="20"/>
      <c r="C14" s="9" t="s">
        <v>21</v>
      </c>
      <c r="E14" s="10" t="s">
        <v>22</v>
      </c>
      <c r="F14" s="123">
        <v>107</v>
      </c>
      <c r="G14" s="7">
        <f>INT((F14*Valores!$C$2*100*1.006901)+0.5)/100</f>
        <v>563.13</v>
      </c>
      <c r="H14" s="113">
        <v>3779</v>
      </c>
      <c r="I14" s="77">
        <f>INT((H14*Valores!$C$2*100*1.006901)+0.5)/100</f>
        <v>19888.39</v>
      </c>
      <c r="J14" s="143">
        <v>219</v>
      </c>
      <c r="K14" s="77">
        <f>INT((J14*Valores!$C$2*100*1.006901)+0.5)/100</f>
        <v>1152.57</v>
      </c>
      <c r="L14" s="123">
        <v>0</v>
      </c>
      <c r="M14" s="77">
        <f>INT((L14*Valores!$C$2*100*1.006901)+0.5)/100</f>
        <v>0</v>
      </c>
      <c r="N14" s="77">
        <f t="shared" si="0"/>
        <v>3412.5957149535002</v>
      </c>
      <c r="O14" s="77">
        <f t="shared" si="1"/>
        <v>0</v>
      </c>
      <c r="P14" s="78">
        <f>Valores!$C$16</f>
        <v>3262.4095850500003</v>
      </c>
      <c r="Q14" s="78">
        <f>Valores!$D$4</f>
        <v>2354.08</v>
      </c>
      <c r="R14" s="77">
        <v>0</v>
      </c>
      <c r="S14" s="79">
        <f>Valores!$C$43</f>
        <v>1146.5480996900001</v>
      </c>
      <c r="T14" s="77">
        <v>0</v>
      </c>
      <c r="U14" s="77">
        <f t="shared" si="2"/>
        <v>0</v>
      </c>
      <c r="V14" s="78">
        <f t="shared" si="9"/>
        <v>21604.09</v>
      </c>
      <c r="W14" s="78">
        <f t="shared" si="10"/>
        <v>8641.64</v>
      </c>
      <c r="X14" s="116">
        <v>0</v>
      </c>
      <c r="Y14" s="77">
        <f>X14*Valores!$C$2*1.006901</f>
        <v>0</v>
      </c>
      <c r="Z14" s="77">
        <v>0</v>
      </c>
      <c r="AA14" s="89">
        <f>Valores!$C$29</f>
        <v>132.58872368000002</v>
      </c>
      <c r="AB14" s="77">
        <f t="shared" si="3"/>
        <v>0</v>
      </c>
      <c r="AC14" s="77">
        <f>Valores!$C$30</f>
        <v>132.59</v>
      </c>
      <c r="AD14" s="116">
        <v>0</v>
      </c>
      <c r="AE14" s="77">
        <f>AD14*Valores!$C$2*1.006901</f>
        <v>0</v>
      </c>
      <c r="AF14" s="77">
        <f>Valores!$C$51</f>
        <v>269.71857087000001</v>
      </c>
      <c r="AG14" s="77">
        <f>Valores!$C$52</f>
        <v>77.068202540000016</v>
      </c>
      <c r="AH14" s="77">
        <f>SUM(G14,I14,K14,M14,N14,O14,P14,Q14,R14,S14,U14,V14,W14,Y14,Z14,AA14,AB14,AC14,AE14,AF14,AG14)*Valores!$C$54</f>
        <v>0</v>
      </c>
      <c r="AI14" s="15">
        <f t="shared" si="7"/>
        <v>62637.4188967835</v>
      </c>
      <c r="AJ14" s="78">
        <f>Valores!$C$35</f>
        <v>216.04</v>
      </c>
      <c r="AK14" s="79">
        <f>Valores!$C$9</f>
        <v>308.25267214000002</v>
      </c>
      <c r="AL14" s="89">
        <v>0</v>
      </c>
      <c r="AM14" s="79">
        <f>IF($G$4="SI",SUM(AK14+AL14),AK14)*Valores!$C$54</f>
        <v>0</v>
      </c>
      <c r="AN14" s="12">
        <f t="shared" si="4"/>
        <v>524.29267214000004</v>
      </c>
      <c r="AO14" s="151">
        <f>AI14*-Valores!$C$56</f>
        <v>-8142.8644565818549</v>
      </c>
      <c r="AP14" s="151">
        <f>AI14*-Valores!$C$57</f>
        <v>-313.18709448391752</v>
      </c>
      <c r="AQ14" s="78">
        <f>AI14*-Valores!$C$58</f>
        <v>-2818.6838503552572</v>
      </c>
      <c r="AR14" s="78">
        <f>AI14*-Valores!$C$59</f>
        <v>-1691.2103102131548</v>
      </c>
      <c r="AS14" s="78">
        <f>AI14*-Valores!$C$60</f>
        <v>-187.91225669035052</v>
      </c>
      <c r="AT14" s="15">
        <f t="shared" si="5"/>
        <v>51886.976167502471</v>
      </c>
      <c r="AU14" s="15">
        <f t="shared" si="6"/>
        <v>52826.537450954223</v>
      </c>
      <c r="AV14" s="78">
        <f>AI14*Valores!$C$61</f>
        <v>10021.987023485361</v>
      </c>
      <c r="AW14" s="78">
        <f>AI14*Valores!$C$62</f>
        <v>2818.6838503552572</v>
      </c>
      <c r="AX14" s="78">
        <f>AI14*Valores!$C$64</f>
        <v>626.37418896783504</v>
      </c>
      <c r="AY14" s="78">
        <f>AI14*Valores!$C$65</f>
        <v>2192.3096613874227</v>
      </c>
      <c r="AZ14" s="78">
        <f>AI14*Valores!$C$66</f>
        <v>375.82451338070103</v>
      </c>
      <c r="BA14" s="78">
        <f t="shared" si="8"/>
        <v>3382.4206204263091</v>
      </c>
      <c r="BB14" s="20">
        <v>33</v>
      </c>
      <c r="BC14" s="20">
        <v>45</v>
      </c>
      <c r="BD14" s="9" t="s">
        <v>466</v>
      </c>
    </row>
    <row r="15" spans="1:56" s="9" customFormat="1" ht="11.25" customHeight="1" x14ac:dyDescent="0.15">
      <c r="A15" s="20">
        <v>14</v>
      </c>
      <c r="B15" s="20"/>
      <c r="C15" s="9" t="s">
        <v>23</v>
      </c>
      <c r="E15" s="10" t="s">
        <v>24</v>
      </c>
      <c r="F15" s="123">
        <v>100</v>
      </c>
      <c r="G15" s="7">
        <f>INT((F15*Valores!$C$2*100*1.006901)+0.5)/100</f>
        <v>526.29</v>
      </c>
      <c r="H15" s="113">
        <v>3727</v>
      </c>
      <c r="I15" s="77">
        <f>INT((H15*Valores!$C$2*100*1.006901)+0.5)/100</f>
        <v>19614.72</v>
      </c>
      <c r="J15" s="143">
        <v>219</v>
      </c>
      <c r="K15" s="77">
        <f>INT((J15*Valores!$C$2*100*1.006901)+0.5)/100</f>
        <v>1152.57</v>
      </c>
      <c r="L15" s="123">
        <v>0</v>
      </c>
      <c r="M15" s="77">
        <f>INT((L15*Valores!$C$2*100*1.006901)+0.5)/100</f>
        <v>0</v>
      </c>
      <c r="N15" s="77">
        <f t="shared" si="0"/>
        <v>3366.0192149535001</v>
      </c>
      <c r="O15" s="77">
        <f t="shared" si="1"/>
        <v>0</v>
      </c>
      <c r="P15" s="78">
        <f>Valores!$C$16</f>
        <v>3262.4095850500003</v>
      </c>
      <c r="Q15" s="78">
        <f>Valores!$D$4</f>
        <v>2354.08</v>
      </c>
      <c r="R15" s="77">
        <v>0</v>
      </c>
      <c r="S15" s="79">
        <f>Valores!$C$43</f>
        <v>1146.5480996900001</v>
      </c>
      <c r="T15" s="77">
        <v>0</v>
      </c>
      <c r="U15" s="77">
        <f t="shared" si="2"/>
        <v>0</v>
      </c>
      <c r="V15" s="78">
        <f t="shared" si="9"/>
        <v>21293.58</v>
      </c>
      <c r="W15" s="78">
        <f t="shared" si="10"/>
        <v>8517.43</v>
      </c>
      <c r="X15" s="116">
        <v>0</v>
      </c>
      <c r="Y15" s="77">
        <f>X15*Valores!$C$2*1.006901</f>
        <v>0</v>
      </c>
      <c r="Z15" s="77">
        <v>0</v>
      </c>
      <c r="AA15" s="89">
        <f>Valores!$C$29</f>
        <v>132.58872368000002</v>
      </c>
      <c r="AB15" s="77">
        <f t="shared" si="3"/>
        <v>0</v>
      </c>
      <c r="AC15" s="77">
        <f>Valores!$C$30</f>
        <v>132.59</v>
      </c>
      <c r="AD15" s="116">
        <v>0</v>
      </c>
      <c r="AE15" s="77">
        <f>AD15*Valores!$C$2*1.006901</f>
        <v>0</v>
      </c>
      <c r="AF15" s="77">
        <f>Valores!$C$51</f>
        <v>269.71857087000001</v>
      </c>
      <c r="AG15" s="77">
        <f>Valores!$C$52</f>
        <v>77.068202540000016</v>
      </c>
      <c r="AH15" s="77">
        <f>SUM(G15,I15,K15,M15,N15,O15,P15,Q15,R15,S15,U15,V15,W15,Y15,Z15,AA15,AB15,AC15,AE15,AF15,AG15)*Valores!$C$54</f>
        <v>0</v>
      </c>
      <c r="AI15" s="15">
        <f t="shared" si="7"/>
        <v>61845.612396783501</v>
      </c>
      <c r="AJ15" s="78">
        <f>Valores!$C$35</f>
        <v>216.04</v>
      </c>
      <c r="AK15" s="79">
        <f>Valores!$C$9</f>
        <v>308.25267214000002</v>
      </c>
      <c r="AL15" s="89">
        <v>0</v>
      </c>
      <c r="AM15" s="79">
        <f>IF($G$4="SI",SUM(AK15+AL15),AK15)*Valores!$C$54</f>
        <v>0</v>
      </c>
      <c r="AN15" s="12">
        <f t="shared" si="4"/>
        <v>524.29267214000004</v>
      </c>
      <c r="AO15" s="151">
        <f>AI15*-Valores!$C$56</f>
        <v>-8039.9296115818552</v>
      </c>
      <c r="AP15" s="151">
        <f>AI15*-Valores!$C$57</f>
        <v>-309.22806198391748</v>
      </c>
      <c r="AQ15" s="78">
        <f>AI15*-Valores!$C$58</f>
        <v>-2783.0525578552574</v>
      </c>
      <c r="AR15" s="78">
        <f>AI15*-Valores!$C$59</f>
        <v>-1669.8315347131547</v>
      </c>
      <c r="AS15" s="78">
        <f>AI15*-Valores!$C$60</f>
        <v>-185.5368371903505</v>
      </c>
      <c r="AT15" s="15">
        <f t="shared" si="5"/>
        <v>51237.694837502473</v>
      </c>
      <c r="AU15" s="15">
        <f t="shared" si="6"/>
        <v>52165.379023454218</v>
      </c>
      <c r="AV15" s="78">
        <f>AI15*Valores!$C$61</f>
        <v>9895.2979834853595</v>
      </c>
      <c r="AW15" s="78">
        <f>AI15*Valores!$C$62</f>
        <v>2783.0525578552574</v>
      </c>
      <c r="AX15" s="78">
        <f>AI15*Valores!$C$64</f>
        <v>618.45612396783497</v>
      </c>
      <c r="AY15" s="78">
        <f>AI15*Valores!$C$65</f>
        <v>2164.5964338874228</v>
      </c>
      <c r="AZ15" s="78">
        <f>AI15*Valores!$C$66</f>
        <v>371.07367438070099</v>
      </c>
      <c r="BA15" s="78">
        <f t="shared" si="8"/>
        <v>3339.663069426309</v>
      </c>
      <c r="BB15" s="20">
        <v>33</v>
      </c>
      <c r="BC15" s="20">
        <v>45</v>
      </c>
      <c r="BD15" s="9" t="s">
        <v>466</v>
      </c>
    </row>
    <row r="16" spans="1:56" s="9" customFormat="1" ht="11.25" customHeight="1" x14ac:dyDescent="0.15">
      <c r="A16" s="55">
        <v>15</v>
      </c>
      <c r="B16" s="55" t="s">
        <v>462</v>
      </c>
      <c r="C16" s="52" t="s">
        <v>25</v>
      </c>
      <c r="D16" s="52"/>
      <c r="E16" s="53" t="s">
        <v>26</v>
      </c>
      <c r="F16" s="124">
        <v>100</v>
      </c>
      <c r="G16" s="7">
        <f>INT((F16*Valores!$C$2*100*1.006901)+0.5)/100</f>
        <v>526.29</v>
      </c>
      <c r="H16" s="114">
        <v>3727</v>
      </c>
      <c r="I16" s="77">
        <f>INT((H16*Valores!$C$2*100*1.006901)+0.5)/100</f>
        <v>19614.72</v>
      </c>
      <c r="J16" s="144">
        <v>219</v>
      </c>
      <c r="K16" s="77">
        <f>INT((J16*Valores!$C$2*100*1.006901)+0.5)/100</f>
        <v>1152.57</v>
      </c>
      <c r="L16" s="124">
        <v>0</v>
      </c>
      <c r="M16" s="77">
        <f>INT((L16*Valores!$C$2*100*1.006901)+0.5)/100</f>
        <v>0</v>
      </c>
      <c r="N16" s="80">
        <f t="shared" si="0"/>
        <v>3366.0192149535001</v>
      </c>
      <c r="O16" s="80">
        <f t="shared" si="1"/>
        <v>0</v>
      </c>
      <c r="P16" s="81">
        <f>Valores!$C$16</f>
        <v>3262.4095850500003</v>
      </c>
      <c r="Q16" s="81">
        <f>Valores!$D$4</f>
        <v>2354.08</v>
      </c>
      <c r="R16" s="80">
        <v>0</v>
      </c>
      <c r="S16" s="82">
        <f>Valores!$C$43</f>
        <v>1146.5480996900001</v>
      </c>
      <c r="T16" s="80">
        <v>0</v>
      </c>
      <c r="U16" s="80">
        <f t="shared" si="2"/>
        <v>0</v>
      </c>
      <c r="V16" s="81">
        <f t="shared" si="9"/>
        <v>21293.58</v>
      </c>
      <c r="W16" s="81">
        <f t="shared" si="10"/>
        <v>8517.43</v>
      </c>
      <c r="X16" s="115">
        <v>0</v>
      </c>
      <c r="Y16" s="77">
        <f>X16*Valores!$C$2*1.006901</f>
        <v>0</v>
      </c>
      <c r="Z16" s="80">
        <v>0</v>
      </c>
      <c r="AA16" s="90">
        <f>Valores!$C$29</f>
        <v>132.58872368000002</v>
      </c>
      <c r="AB16" s="80">
        <f t="shared" si="3"/>
        <v>0</v>
      </c>
      <c r="AC16" s="80">
        <f>Valores!$C$30</f>
        <v>132.59</v>
      </c>
      <c r="AD16" s="115">
        <v>0</v>
      </c>
      <c r="AE16" s="77">
        <f>AD16*Valores!$C$2*1.006901</f>
        <v>0</v>
      </c>
      <c r="AF16" s="80">
        <f>Valores!$C$51</f>
        <v>269.71857087000001</v>
      </c>
      <c r="AG16" s="80">
        <f>Valores!$C$52</f>
        <v>77.068202540000016</v>
      </c>
      <c r="AH16" s="80">
        <f>SUM(G16,I16,K16,M16,N16,O16,P16,Q16,R16,S16,U16,V16,W16,Y16,Z16,AA16,AB16,AC16,AE16,AF16,AG16)*Valores!$C$54</f>
        <v>0</v>
      </c>
      <c r="AI16" s="54">
        <f t="shared" si="7"/>
        <v>61845.612396783501</v>
      </c>
      <c r="AJ16" s="81">
        <f>Valores!$C$35</f>
        <v>216.04</v>
      </c>
      <c r="AK16" s="82">
        <f>Valores!$C$9</f>
        <v>308.25267214000002</v>
      </c>
      <c r="AL16" s="90">
        <v>0</v>
      </c>
      <c r="AM16" s="82">
        <f>IF($G$4="SI",SUM(AK16+AL16),AK16)*Valores!$C$54</f>
        <v>0</v>
      </c>
      <c r="AN16" s="184">
        <f t="shared" si="4"/>
        <v>524.29267214000004</v>
      </c>
      <c r="AO16" s="152">
        <f>AI16*-Valores!$C$56</f>
        <v>-8039.9296115818552</v>
      </c>
      <c r="AP16" s="152">
        <f>AI16*-Valores!$C$57</f>
        <v>-309.22806198391748</v>
      </c>
      <c r="AQ16" s="81">
        <f>AI16*-Valores!$C$58</f>
        <v>-2783.0525578552574</v>
      </c>
      <c r="AR16" s="81">
        <f>AI16*-Valores!$C$59</f>
        <v>-1669.8315347131547</v>
      </c>
      <c r="AS16" s="81">
        <f>AI16*-Valores!$C$60</f>
        <v>-185.5368371903505</v>
      </c>
      <c r="AT16" s="54">
        <f t="shared" si="5"/>
        <v>51237.694837502473</v>
      </c>
      <c r="AU16" s="54">
        <f t="shared" si="6"/>
        <v>52165.379023454218</v>
      </c>
      <c r="AV16" s="81">
        <f>AI16*Valores!$C$61</f>
        <v>9895.2979834853595</v>
      </c>
      <c r="AW16" s="81">
        <f>AI16*Valores!$C$62</f>
        <v>2783.0525578552574</v>
      </c>
      <c r="AX16" s="81">
        <f>AI16*Valores!$C$64</f>
        <v>618.45612396783497</v>
      </c>
      <c r="AY16" s="81">
        <f>AI16*Valores!$C$65</f>
        <v>2164.5964338874228</v>
      </c>
      <c r="AZ16" s="81">
        <f>AI16*Valores!$C$66</f>
        <v>371.07367438070099</v>
      </c>
      <c r="BA16" s="81">
        <f t="shared" si="8"/>
        <v>3339.663069426309</v>
      </c>
      <c r="BB16" s="55">
        <v>33</v>
      </c>
      <c r="BC16" s="55">
        <v>45</v>
      </c>
      <c r="BD16" s="52" t="s">
        <v>466</v>
      </c>
    </row>
    <row r="17" spans="1:56" s="9" customFormat="1" ht="11.25" customHeight="1" x14ac:dyDescent="0.15">
      <c r="A17" s="20">
        <v>16</v>
      </c>
      <c r="B17" s="20"/>
      <c r="C17" s="9" t="s">
        <v>27</v>
      </c>
      <c r="E17" s="10" t="s">
        <v>28</v>
      </c>
      <c r="F17" s="123">
        <v>100</v>
      </c>
      <c r="G17" s="7">
        <f>INT((F17*Valores!$C$2*100*1.006901)+0.5)/100</f>
        <v>526.29</v>
      </c>
      <c r="H17" s="113">
        <v>3727</v>
      </c>
      <c r="I17" s="77">
        <f>INT((H17*Valores!$C$2*100*1.006901)+0.5)/100</f>
        <v>19614.72</v>
      </c>
      <c r="J17" s="143">
        <v>219</v>
      </c>
      <c r="K17" s="77">
        <f>INT((J17*Valores!$C$2*100*1.006901)+0.5)/100</f>
        <v>1152.57</v>
      </c>
      <c r="L17" s="123">
        <v>0</v>
      </c>
      <c r="M17" s="77">
        <f>INT((L17*Valores!$C$2*100*1.006901)+0.5)/100</f>
        <v>0</v>
      </c>
      <c r="N17" s="77">
        <f t="shared" si="0"/>
        <v>3366.0192149535001</v>
      </c>
      <c r="O17" s="77">
        <f t="shared" si="1"/>
        <v>0</v>
      </c>
      <c r="P17" s="78">
        <f>Valores!$C$16</f>
        <v>3262.4095850500003</v>
      </c>
      <c r="Q17" s="78">
        <f>Valores!$D$4</f>
        <v>2354.08</v>
      </c>
      <c r="R17" s="77">
        <v>0</v>
      </c>
      <c r="S17" s="79">
        <f>Valores!$C$43</f>
        <v>1146.5480996900001</v>
      </c>
      <c r="T17" s="77">
        <v>0</v>
      </c>
      <c r="U17" s="77">
        <f t="shared" si="2"/>
        <v>0</v>
      </c>
      <c r="V17" s="78">
        <f t="shared" si="9"/>
        <v>21293.58</v>
      </c>
      <c r="W17" s="78">
        <f t="shared" si="10"/>
        <v>8517.43</v>
      </c>
      <c r="X17" s="116">
        <v>0</v>
      </c>
      <c r="Y17" s="77">
        <f>X17*Valores!$C$2*1.006901</f>
        <v>0</v>
      </c>
      <c r="Z17" s="77">
        <v>0</v>
      </c>
      <c r="AA17" s="89">
        <f>Valores!$C$29</f>
        <v>132.58872368000002</v>
      </c>
      <c r="AB17" s="77">
        <f t="shared" si="3"/>
        <v>0</v>
      </c>
      <c r="AC17" s="77">
        <f>Valores!$C$30</f>
        <v>132.59</v>
      </c>
      <c r="AD17" s="116">
        <v>0</v>
      </c>
      <c r="AE17" s="77">
        <f>AD17*Valores!$C$2*1.006901</f>
        <v>0</v>
      </c>
      <c r="AF17" s="77">
        <f>Valores!$C$51</f>
        <v>269.71857087000001</v>
      </c>
      <c r="AG17" s="77">
        <f>Valores!$C$52</f>
        <v>77.068202540000016</v>
      </c>
      <c r="AH17" s="77">
        <f>SUM(G17,I17,K17,M17,N17,O17,P17,Q17,R17,S17,U17,V17,W17,Y17,Z17,AA17,AB17,AC17,AE17,AF17,AG17)*Valores!$C$54</f>
        <v>0</v>
      </c>
      <c r="AI17" s="15">
        <f t="shared" si="7"/>
        <v>61845.612396783501</v>
      </c>
      <c r="AJ17" s="78">
        <f>Valores!$C$35</f>
        <v>216.04</v>
      </c>
      <c r="AK17" s="79">
        <f>Valores!$C$9</f>
        <v>308.25267214000002</v>
      </c>
      <c r="AL17" s="89">
        <v>0</v>
      </c>
      <c r="AM17" s="79">
        <f>IF($G$4="SI",SUM(AK17+AL17),AK17)*Valores!$C$54</f>
        <v>0</v>
      </c>
      <c r="AN17" s="12">
        <f t="shared" si="4"/>
        <v>524.29267214000004</v>
      </c>
      <c r="AO17" s="151">
        <f>AI17*-Valores!$C$56</f>
        <v>-8039.9296115818552</v>
      </c>
      <c r="AP17" s="151">
        <f>AI17*-Valores!$C$57</f>
        <v>-309.22806198391748</v>
      </c>
      <c r="AQ17" s="78">
        <f>AI17*-Valores!$C$58</f>
        <v>-2783.0525578552574</v>
      </c>
      <c r="AR17" s="78">
        <f>AI17*-Valores!$C$59</f>
        <v>-1669.8315347131547</v>
      </c>
      <c r="AS17" s="78">
        <f>AI17*-Valores!$C$60</f>
        <v>-185.5368371903505</v>
      </c>
      <c r="AT17" s="15">
        <f t="shared" si="5"/>
        <v>51237.694837502473</v>
      </c>
      <c r="AU17" s="15">
        <f t="shared" si="6"/>
        <v>52165.379023454218</v>
      </c>
      <c r="AV17" s="78">
        <f>AI17*Valores!$C$61</f>
        <v>9895.2979834853595</v>
      </c>
      <c r="AW17" s="78">
        <f>AI17*Valores!$C$62</f>
        <v>2783.0525578552574</v>
      </c>
      <c r="AX17" s="78">
        <f>AI17*Valores!$C$64</f>
        <v>618.45612396783497</v>
      </c>
      <c r="AY17" s="78">
        <f>AI17*Valores!$C$65</f>
        <v>2164.5964338874228</v>
      </c>
      <c r="AZ17" s="78">
        <f>AI17*Valores!$C$66</f>
        <v>371.07367438070099</v>
      </c>
      <c r="BA17" s="78">
        <f t="shared" si="8"/>
        <v>3339.663069426309</v>
      </c>
      <c r="BB17" s="20"/>
      <c r="BC17" s="20">
        <v>45</v>
      </c>
      <c r="BD17" s="9" t="s">
        <v>466</v>
      </c>
    </row>
    <row r="18" spans="1:56" s="9" customFormat="1" ht="11.25" customHeight="1" x14ac:dyDescent="0.15">
      <c r="A18" s="20">
        <v>17</v>
      </c>
      <c r="B18" s="20"/>
      <c r="C18" s="9" t="s">
        <v>29</v>
      </c>
      <c r="E18" s="10" t="s">
        <v>30</v>
      </c>
      <c r="F18" s="123">
        <v>100</v>
      </c>
      <c r="G18" s="7">
        <f>INT((F18*Valores!$C$2*100*1.006901)+0.5)/100</f>
        <v>526.29</v>
      </c>
      <c r="H18" s="113">
        <v>3727</v>
      </c>
      <c r="I18" s="77">
        <f>INT((H18*Valores!$C$2*100*1.006901)+0.5)/100</f>
        <v>19614.72</v>
      </c>
      <c r="J18" s="143">
        <v>219</v>
      </c>
      <c r="K18" s="77">
        <f>INT((J18*Valores!$C$2*100*1.006901)+0.5)/100</f>
        <v>1152.57</v>
      </c>
      <c r="L18" s="123">
        <v>0</v>
      </c>
      <c r="M18" s="77">
        <f>INT((L18*Valores!$C$2*100*1.006901)+0.5)/100</f>
        <v>0</v>
      </c>
      <c r="N18" s="77">
        <f t="shared" si="0"/>
        <v>3366.0192149535001</v>
      </c>
      <c r="O18" s="77">
        <f t="shared" si="1"/>
        <v>0</v>
      </c>
      <c r="P18" s="78">
        <f>Valores!$C$16</f>
        <v>3262.4095850500003</v>
      </c>
      <c r="Q18" s="78">
        <f>Valores!$D$4</f>
        <v>2354.08</v>
      </c>
      <c r="R18" s="77">
        <v>0</v>
      </c>
      <c r="S18" s="79">
        <f>Valores!$C$43</f>
        <v>1146.5480996900001</v>
      </c>
      <c r="T18" s="77">
        <v>0</v>
      </c>
      <c r="U18" s="77">
        <f t="shared" si="2"/>
        <v>0</v>
      </c>
      <c r="V18" s="78">
        <f t="shared" si="9"/>
        <v>21293.58</v>
      </c>
      <c r="W18" s="78">
        <f t="shared" si="10"/>
        <v>8517.43</v>
      </c>
      <c r="X18" s="116">
        <v>0</v>
      </c>
      <c r="Y18" s="77">
        <f>X18*Valores!$C$2*1.006901</f>
        <v>0</v>
      </c>
      <c r="Z18" s="77">
        <v>0</v>
      </c>
      <c r="AA18" s="89">
        <f>Valores!$C$29</f>
        <v>132.58872368000002</v>
      </c>
      <c r="AB18" s="77">
        <f t="shared" si="3"/>
        <v>0</v>
      </c>
      <c r="AC18" s="77">
        <f>Valores!$C$30</f>
        <v>132.59</v>
      </c>
      <c r="AD18" s="116">
        <v>0</v>
      </c>
      <c r="AE18" s="77">
        <f>AD18*Valores!$C$2*1.006901</f>
        <v>0</v>
      </c>
      <c r="AF18" s="77">
        <f>Valores!$C$51</f>
        <v>269.71857087000001</v>
      </c>
      <c r="AG18" s="77">
        <f>Valores!$C$52</f>
        <v>77.068202540000016</v>
      </c>
      <c r="AH18" s="77">
        <f>SUM(G18,I18,K18,M18,N18,O18,P18,Q18,R18,S18,U18,V18,W18,Y18,Z18,AA18,AB18,AC18,AE18,AF18,AG18)*Valores!$C$54</f>
        <v>0</v>
      </c>
      <c r="AI18" s="15">
        <f t="shared" si="7"/>
        <v>61845.612396783501</v>
      </c>
      <c r="AJ18" s="78">
        <f>Valores!$C$35</f>
        <v>216.04</v>
      </c>
      <c r="AK18" s="79">
        <f>Valores!$C$9</f>
        <v>308.25267214000002</v>
      </c>
      <c r="AL18" s="89">
        <v>0</v>
      </c>
      <c r="AM18" s="79">
        <f>IF($G$4="SI",SUM(AK18+AL18),AK18)*Valores!$C$54</f>
        <v>0</v>
      </c>
      <c r="AN18" s="12">
        <f t="shared" si="4"/>
        <v>524.29267214000004</v>
      </c>
      <c r="AO18" s="151">
        <f>AI18*-Valores!$C$56</f>
        <v>-8039.9296115818552</v>
      </c>
      <c r="AP18" s="151">
        <f>AI18*-Valores!$C$57</f>
        <v>-309.22806198391748</v>
      </c>
      <c r="AQ18" s="78">
        <f>AI18*-Valores!$C$58</f>
        <v>-2783.0525578552574</v>
      </c>
      <c r="AR18" s="78">
        <f>AI18*-Valores!$C$59</f>
        <v>-1669.8315347131547</v>
      </c>
      <c r="AS18" s="78">
        <f>AI18*-Valores!$C$60</f>
        <v>-185.5368371903505</v>
      </c>
      <c r="AT18" s="15">
        <f t="shared" si="5"/>
        <v>51237.694837502473</v>
      </c>
      <c r="AU18" s="15">
        <f t="shared" si="6"/>
        <v>52165.379023454218</v>
      </c>
      <c r="AV18" s="78">
        <f>AI18*Valores!$C$61</f>
        <v>9895.2979834853595</v>
      </c>
      <c r="AW18" s="78">
        <f>AI18*Valores!$C$62</f>
        <v>2783.0525578552574</v>
      </c>
      <c r="AX18" s="78">
        <f>AI18*Valores!$C$64</f>
        <v>618.45612396783497</v>
      </c>
      <c r="AY18" s="78">
        <f>AI18*Valores!$C$65</f>
        <v>2164.5964338874228</v>
      </c>
      <c r="AZ18" s="78">
        <f>AI18*Valores!$C$66</f>
        <v>371.07367438070099</v>
      </c>
      <c r="BA18" s="78">
        <f t="shared" si="8"/>
        <v>3339.663069426309</v>
      </c>
      <c r="BB18" s="20"/>
      <c r="BC18" s="20">
        <v>45</v>
      </c>
      <c r="BD18" s="9" t="s">
        <v>466</v>
      </c>
    </row>
    <row r="19" spans="1:56" s="9" customFormat="1" ht="11.25" customHeight="1" x14ac:dyDescent="0.15">
      <c r="A19" s="20">
        <v>18</v>
      </c>
      <c r="B19" s="20"/>
      <c r="C19" s="9" t="s">
        <v>31</v>
      </c>
      <c r="E19" s="10" t="s">
        <v>32</v>
      </c>
      <c r="F19" s="123">
        <v>100</v>
      </c>
      <c r="G19" s="7">
        <f>INT((F19*Valores!$C$2*100*1.006901)+0.5)/100</f>
        <v>526.29</v>
      </c>
      <c r="H19" s="113">
        <v>3727</v>
      </c>
      <c r="I19" s="77">
        <f>INT((H19*Valores!$C$2*100*1.006901)+0.5)/100</f>
        <v>19614.72</v>
      </c>
      <c r="J19" s="143">
        <v>219</v>
      </c>
      <c r="K19" s="77">
        <f>INT((J19*Valores!$C$2*100*1.006901)+0.5)/100</f>
        <v>1152.57</v>
      </c>
      <c r="L19" s="123">
        <v>0</v>
      </c>
      <c r="M19" s="77">
        <f>INT((L19*Valores!$C$2*100*1.006901)+0.5)/100</f>
        <v>0</v>
      </c>
      <c r="N19" s="77">
        <f t="shared" si="0"/>
        <v>3366.0192149535001</v>
      </c>
      <c r="O19" s="77">
        <f t="shared" si="1"/>
        <v>0</v>
      </c>
      <c r="P19" s="78">
        <f>Valores!$C$16</f>
        <v>3262.4095850500003</v>
      </c>
      <c r="Q19" s="78">
        <f>Valores!$D$4</f>
        <v>2354.08</v>
      </c>
      <c r="R19" s="77">
        <v>0</v>
      </c>
      <c r="S19" s="79">
        <f>Valores!$C$43</f>
        <v>1146.5480996900001</v>
      </c>
      <c r="T19" s="77">
        <v>0</v>
      </c>
      <c r="U19" s="77">
        <f t="shared" si="2"/>
        <v>0</v>
      </c>
      <c r="V19" s="78">
        <f t="shared" si="9"/>
        <v>21293.58</v>
      </c>
      <c r="W19" s="78">
        <f t="shared" si="10"/>
        <v>8517.43</v>
      </c>
      <c r="X19" s="116">
        <v>0</v>
      </c>
      <c r="Y19" s="77">
        <f>X19*Valores!$C$2*1.006901</f>
        <v>0</v>
      </c>
      <c r="Z19" s="77">
        <v>0</v>
      </c>
      <c r="AA19" s="89">
        <f>Valores!$C$29</f>
        <v>132.58872368000002</v>
      </c>
      <c r="AB19" s="77">
        <f t="shared" si="3"/>
        <v>0</v>
      </c>
      <c r="AC19" s="77">
        <f>Valores!$C$30</f>
        <v>132.59</v>
      </c>
      <c r="AD19" s="116">
        <v>0</v>
      </c>
      <c r="AE19" s="77">
        <f>AD19*Valores!$C$2*1.006901</f>
        <v>0</v>
      </c>
      <c r="AF19" s="77">
        <f>Valores!$C$51</f>
        <v>269.71857087000001</v>
      </c>
      <c r="AG19" s="77">
        <f>Valores!$C$52</f>
        <v>77.068202540000016</v>
      </c>
      <c r="AH19" s="77">
        <f>SUM(G19,I19,K19,M19,N19,O19,P19,Q19,R19,S19,U19,V19,W19,Y19,Z19,AA19,AB19,AC19,AE19,AF19,AG19)*Valores!$C$54</f>
        <v>0</v>
      </c>
      <c r="AI19" s="15">
        <f t="shared" si="7"/>
        <v>61845.612396783501</v>
      </c>
      <c r="AJ19" s="78">
        <f>Valores!$C$35</f>
        <v>216.04</v>
      </c>
      <c r="AK19" s="79">
        <f>Valores!$C$9</f>
        <v>308.25267214000002</v>
      </c>
      <c r="AL19" s="89">
        <v>0</v>
      </c>
      <c r="AM19" s="79">
        <f>IF($G$4="SI",SUM(AK19+AL19),AK19)*Valores!$C$54</f>
        <v>0</v>
      </c>
      <c r="AN19" s="12">
        <f t="shared" si="4"/>
        <v>524.29267214000004</v>
      </c>
      <c r="AO19" s="151">
        <f>AI19*-Valores!$C$56</f>
        <v>-8039.9296115818552</v>
      </c>
      <c r="AP19" s="151">
        <f>AI19*-Valores!$C$57</f>
        <v>-309.22806198391748</v>
      </c>
      <c r="AQ19" s="78">
        <f>AI19*-Valores!$C$58</f>
        <v>-2783.0525578552574</v>
      </c>
      <c r="AR19" s="78">
        <f>AI19*-Valores!$C$59</f>
        <v>-1669.8315347131547</v>
      </c>
      <c r="AS19" s="78">
        <f>AI19*-Valores!$C$60</f>
        <v>-185.5368371903505</v>
      </c>
      <c r="AT19" s="15">
        <f t="shared" si="5"/>
        <v>51237.694837502473</v>
      </c>
      <c r="AU19" s="15">
        <f t="shared" si="6"/>
        <v>52165.379023454218</v>
      </c>
      <c r="AV19" s="78">
        <f>AI19*Valores!$C$61</f>
        <v>9895.2979834853595</v>
      </c>
      <c r="AW19" s="78">
        <f>AI19*Valores!$C$62</f>
        <v>2783.0525578552574</v>
      </c>
      <c r="AX19" s="78">
        <f>AI19*Valores!$C$64</f>
        <v>618.45612396783497</v>
      </c>
      <c r="AY19" s="78">
        <f>AI19*Valores!$C$65</f>
        <v>2164.5964338874228</v>
      </c>
      <c r="AZ19" s="78">
        <f>AI19*Valores!$C$66</f>
        <v>371.07367438070099</v>
      </c>
      <c r="BA19" s="78">
        <f t="shared" si="8"/>
        <v>3339.663069426309</v>
      </c>
      <c r="BB19" s="20"/>
      <c r="BC19" s="20">
        <v>45</v>
      </c>
      <c r="BD19" s="9" t="s">
        <v>466</v>
      </c>
    </row>
    <row r="20" spans="1:56" s="9" customFormat="1" ht="11.25" customHeight="1" x14ac:dyDescent="0.15">
      <c r="A20" s="20">
        <v>19</v>
      </c>
      <c r="B20" s="20"/>
      <c r="C20" s="9" t="s">
        <v>33</v>
      </c>
      <c r="E20" s="10" t="s">
        <v>34</v>
      </c>
      <c r="F20" s="123">
        <v>107</v>
      </c>
      <c r="G20" s="7">
        <f>INT((F20*Valores!$C$2*100*1.006901)+0.5)/100</f>
        <v>563.13</v>
      </c>
      <c r="H20" s="113">
        <v>3720</v>
      </c>
      <c r="I20" s="77">
        <f>INT((H20*Valores!$C$2*100*1.006901)+0.5)/100</f>
        <v>19577.88</v>
      </c>
      <c r="J20" s="143">
        <v>1226</v>
      </c>
      <c r="K20" s="77">
        <f>INT((J20*Valores!$C$2*100*1.006901)+0.5)/100</f>
        <v>6452.28</v>
      </c>
      <c r="L20" s="123">
        <v>0</v>
      </c>
      <c r="M20" s="77">
        <f>INT((L20*Valores!$C$2*100*1.006901)+0.5)/100</f>
        <v>0</v>
      </c>
      <c r="N20" s="77">
        <f t="shared" si="0"/>
        <v>4501.0404172875005</v>
      </c>
      <c r="O20" s="77">
        <f t="shared" si="1"/>
        <v>0</v>
      </c>
      <c r="P20" s="78">
        <f>Valores!$C$19</f>
        <v>3416.5359211200002</v>
      </c>
      <c r="Q20" s="78">
        <f>Valores!$D$4</f>
        <v>2354.08</v>
      </c>
      <c r="R20" s="77">
        <v>0</v>
      </c>
      <c r="S20" s="79">
        <f>Valores!$C$43</f>
        <v>1146.5480996900001</v>
      </c>
      <c r="T20" s="77">
        <f>Valores!$C$23</f>
        <v>2267.09801556</v>
      </c>
      <c r="U20" s="77">
        <f t="shared" si="2"/>
        <v>2267.09801556</v>
      </c>
      <c r="V20" s="77">
        <v>0</v>
      </c>
      <c r="W20" s="77">
        <v>0</v>
      </c>
      <c r="X20" s="116">
        <v>0</v>
      </c>
      <c r="Y20" s="77">
        <f>X20*Valores!$C$2*1.006901</f>
        <v>0</v>
      </c>
      <c r="Z20" s="77">
        <v>0</v>
      </c>
      <c r="AA20" s="89">
        <f>Valores!$C$29</f>
        <v>132.58872368000002</v>
      </c>
      <c r="AB20" s="77">
        <f t="shared" si="3"/>
        <v>0</v>
      </c>
      <c r="AC20" s="77">
        <f>Valores!$C$30</f>
        <v>132.59</v>
      </c>
      <c r="AD20" s="116">
        <v>0</v>
      </c>
      <c r="AE20" s="77">
        <f>AD20*Valores!$C$2*1.006901</f>
        <v>0</v>
      </c>
      <c r="AF20" s="77">
        <f>Valores!$C$51</f>
        <v>269.71857087000001</v>
      </c>
      <c r="AG20" s="77">
        <f>Valores!$C$52</f>
        <v>77.068202540000016</v>
      </c>
      <c r="AH20" s="77">
        <f>SUM(G20,I20,K20,M20,N20,O20,P20,Q20,R20,S20,U20,V20,W20,Y20,Z20,AA20,AB20,AC20,AE20,AF20,AG20)*Valores!$C$54</f>
        <v>0</v>
      </c>
      <c r="AI20" s="15">
        <f t="shared" si="7"/>
        <v>40890.55795074749</v>
      </c>
      <c r="AJ20" s="78">
        <f>Valores!$C$35</f>
        <v>216.04</v>
      </c>
      <c r="AK20" s="79">
        <f>Valores!$C$9</f>
        <v>308.25267214000002</v>
      </c>
      <c r="AL20" s="89">
        <v>226.04927450000002</v>
      </c>
      <c r="AM20" s="79">
        <f>IF($G$4="SI",SUM(AK20+AL20),AK20)*Valores!$C$54</f>
        <v>0</v>
      </c>
      <c r="AN20" s="12">
        <f t="shared" si="4"/>
        <v>750.34194664000006</v>
      </c>
      <c r="AO20" s="151">
        <f>AI20*-Valores!$C$56</f>
        <v>-5315.7725335971736</v>
      </c>
      <c r="AP20" s="151">
        <f>AI20*-Valores!$C$57</f>
        <v>-204.45278975373745</v>
      </c>
      <c r="AQ20" s="78">
        <f>AI20*-Valores!$C$58</f>
        <v>-1840.0751077836369</v>
      </c>
      <c r="AR20" s="78">
        <f>AI20*-Valores!$C$59</f>
        <v>-1104.0450646701825</v>
      </c>
      <c r="AS20" s="78">
        <f>AI20*-Valores!$C$60</f>
        <v>-122.67167385224248</v>
      </c>
      <c r="AT20" s="15">
        <f t="shared" si="5"/>
        <v>34280.599466252941</v>
      </c>
      <c r="AU20" s="15">
        <f t="shared" si="6"/>
        <v>34893.957835514149</v>
      </c>
      <c r="AV20" s="78">
        <f>AI20*Valores!$C$61</f>
        <v>6542.4892721195984</v>
      </c>
      <c r="AW20" s="78">
        <f>AI20*Valores!$C$62</f>
        <v>1840.0751077836369</v>
      </c>
      <c r="AX20" s="78">
        <f>AI20*Valores!$C$64</f>
        <v>408.9055795074749</v>
      </c>
      <c r="AY20" s="78">
        <f>AI20*Valores!$C$65</f>
        <v>1431.1695282761623</v>
      </c>
      <c r="AZ20" s="78">
        <f>AI20*Valores!$C$66</f>
        <v>245.34334770448496</v>
      </c>
      <c r="BA20" s="78">
        <f t="shared" si="8"/>
        <v>2208.0901293403645</v>
      </c>
      <c r="BB20" s="20"/>
      <c r="BC20" s="20">
        <v>45</v>
      </c>
      <c r="BD20" s="9" t="s">
        <v>467</v>
      </c>
    </row>
    <row r="21" spans="1:56" s="9" customFormat="1" ht="11.25" customHeight="1" x14ac:dyDescent="0.15">
      <c r="A21" s="55">
        <v>20</v>
      </c>
      <c r="B21" s="55" t="s">
        <v>462</v>
      </c>
      <c r="C21" s="52" t="s">
        <v>35</v>
      </c>
      <c r="D21" s="52"/>
      <c r="E21" s="53" t="s">
        <v>36</v>
      </c>
      <c r="F21" s="124">
        <v>100</v>
      </c>
      <c r="G21" s="7">
        <f>INT((F21*Valores!$C$2*100*1.006901)+0.5)/100</f>
        <v>526.29</v>
      </c>
      <c r="H21" s="114">
        <v>3727</v>
      </c>
      <c r="I21" s="77">
        <f>INT((H21*Valores!$C$2*100*1.006901)+0.5)/100</f>
        <v>19614.72</v>
      </c>
      <c r="J21" s="144">
        <v>219</v>
      </c>
      <c r="K21" s="77">
        <f>INT((J21*Valores!$C$2*100*1.006901)+0.5)/100</f>
        <v>1152.57</v>
      </c>
      <c r="L21" s="124">
        <v>0</v>
      </c>
      <c r="M21" s="77">
        <f>INT((L21*Valores!$C$2*100*1.006901)+0.5)/100</f>
        <v>0</v>
      </c>
      <c r="N21" s="80">
        <f t="shared" si="0"/>
        <v>3366.0192149535001</v>
      </c>
      <c r="O21" s="80">
        <f t="shared" si="1"/>
        <v>0</v>
      </c>
      <c r="P21" s="81">
        <f>Valores!$C$16</f>
        <v>3262.4095850500003</v>
      </c>
      <c r="Q21" s="81">
        <f>Valores!$D$4</f>
        <v>2354.08</v>
      </c>
      <c r="R21" s="80">
        <v>0</v>
      </c>
      <c r="S21" s="82">
        <f>Valores!$C$43</f>
        <v>1146.5480996900001</v>
      </c>
      <c r="T21" s="80">
        <v>0</v>
      </c>
      <c r="U21" s="80">
        <f t="shared" si="2"/>
        <v>0</v>
      </c>
      <c r="V21" s="81">
        <f>SUM(G21,I21,K21)</f>
        <v>21293.58</v>
      </c>
      <c r="W21" s="81">
        <f>INT((SUM(G21,I21,K21)*0.4*100)+0.49)/100</f>
        <v>8517.43</v>
      </c>
      <c r="X21" s="115">
        <v>0</v>
      </c>
      <c r="Y21" s="77">
        <f>X21*Valores!$C$2*1.006901</f>
        <v>0</v>
      </c>
      <c r="Z21" s="80">
        <v>0</v>
      </c>
      <c r="AA21" s="90">
        <f>Valores!$C$29</f>
        <v>132.58872368000002</v>
      </c>
      <c r="AB21" s="80">
        <f t="shared" si="3"/>
        <v>0</v>
      </c>
      <c r="AC21" s="80">
        <f>Valores!$C$30</f>
        <v>132.59</v>
      </c>
      <c r="AD21" s="115">
        <v>0</v>
      </c>
      <c r="AE21" s="77">
        <f>AD21*Valores!$C$2*1.006901</f>
        <v>0</v>
      </c>
      <c r="AF21" s="80">
        <f>Valores!$C$51</f>
        <v>269.71857087000001</v>
      </c>
      <c r="AG21" s="80">
        <f>Valores!$C$52</f>
        <v>77.068202540000016</v>
      </c>
      <c r="AH21" s="80">
        <f>SUM(G21,I21,K21,M21,N21,O21,P21,Q21,R21,S21,U21,V21,W21,Y21,Z21,AA21,AB21,AC21,AE21,AF21,AG21)*Valores!$C$54</f>
        <v>0</v>
      </c>
      <c r="AI21" s="54">
        <f t="shared" si="7"/>
        <v>61845.612396783501</v>
      </c>
      <c r="AJ21" s="81">
        <f>Valores!$C$35</f>
        <v>216.04</v>
      </c>
      <c r="AK21" s="82">
        <f>Valores!$C$9</f>
        <v>308.25267214000002</v>
      </c>
      <c r="AL21" s="90">
        <v>0</v>
      </c>
      <c r="AM21" s="82">
        <f>IF($G$4="SI",SUM(AK21+AL21),AK21)*Valores!$C$54</f>
        <v>0</v>
      </c>
      <c r="AN21" s="184">
        <f t="shared" si="4"/>
        <v>524.29267214000004</v>
      </c>
      <c r="AO21" s="152">
        <f>AI21*-Valores!$C$56</f>
        <v>-8039.9296115818552</v>
      </c>
      <c r="AP21" s="152">
        <f>AI21*-Valores!$C$57</f>
        <v>-309.22806198391748</v>
      </c>
      <c r="AQ21" s="81">
        <f>AI21*-Valores!$C$58</f>
        <v>-2783.0525578552574</v>
      </c>
      <c r="AR21" s="81">
        <f>AI21*-Valores!$C$59</f>
        <v>-1669.8315347131547</v>
      </c>
      <c r="AS21" s="81">
        <f>AI21*-Valores!$C$60</f>
        <v>-185.5368371903505</v>
      </c>
      <c r="AT21" s="54">
        <f t="shared" si="5"/>
        <v>51237.694837502473</v>
      </c>
      <c r="AU21" s="54">
        <f t="shared" si="6"/>
        <v>52165.379023454218</v>
      </c>
      <c r="AV21" s="81">
        <f>AI21*Valores!$C$61</f>
        <v>9895.2979834853595</v>
      </c>
      <c r="AW21" s="81">
        <f>AI21*Valores!$C$62</f>
        <v>2783.0525578552574</v>
      </c>
      <c r="AX21" s="81">
        <f>AI21*Valores!$C$64</f>
        <v>618.45612396783497</v>
      </c>
      <c r="AY21" s="81">
        <f>AI21*Valores!$C$65</f>
        <v>2164.5964338874228</v>
      </c>
      <c r="AZ21" s="81">
        <f>AI21*Valores!$C$66</f>
        <v>371.07367438070099</v>
      </c>
      <c r="BA21" s="81">
        <f t="shared" si="8"/>
        <v>3339.663069426309</v>
      </c>
      <c r="BB21" s="55"/>
      <c r="BC21" s="55">
        <v>45</v>
      </c>
      <c r="BD21" s="52" t="s">
        <v>466</v>
      </c>
    </row>
    <row r="22" spans="1:56" s="9" customFormat="1" ht="11.25" customHeight="1" x14ac:dyDescent="0.15">
      <c r="A22" s="20">
        <v>21</v>
      </c>
      <c r="B22" s="20"/>
      <c r="C22" s="9" t="s">
        <v>37</v>
      </c>
      <c r="E22" s="10" t="s">
        <v>38</v>
      </c>
      <c r="F22" s="123">
        <v>100</v>
      </c>
      <c r="G22" s="7">
        <f>INT((F22*Valores!$C$2*100*1.006901)+0.5)/100</f>
        <v>526.29</v>
      </c>
      <c r="H22" s="113">
        <v>3727</v>
      </c>
      <c r="I22" s="77">
        <f>INT((H22*Valores!$C$2*100*1.006901)+0.5)/100</f>
        <v>19614.72</v>
      </c>
      <c r="J22" s="143">
        <v>219</v>
      </c>
      <c r="K22" s="77">
        <f>INT((J22*Valores!$C$2*100*1.006901)+0.5)/100</f>
        <v>1152.57</v>
      </c>
      <c r="L22" s="123">
        <v>0</v>
      </c>
      <c r="M22" s="77">
        <f>INT((L22*Valores!$C$2*100*1.006901)+0.5)/100</f>
        <v>0</v>
      </c>
      <c r="N22" s="77">
        <f t="shared" si="0"/>
        <v>3366.0192149535001</v>
      </c>
      <c r="O22" s="77">
        <f t="shared" si="1"/>
        <v>0</v>
      </c>
      <c r="P22" s="78">
        <f>Valores!$C$16</f>
        <v>3262.4095850500003</v>
      </c>
      <c r="Q22" s="78">
        <f>Valores!$D$4</f>
        <v>2354.08</v>
      </c>
      <c r="R22" s="77">
        <v>0</v>
      </c>
      <c r="S22" s="79">
        <f>Valores!$C$43</f>
        <v>1146.5480996900001</v>
      </c>
      <c r="T22" s="77">
        <v>0</v>
      </c>
      <c r="U22" s="77">
        <f t="shared" si="2"/>
        <v>0</v>
      </c>
      <c r="V22" s="78">
        <f>SUM(G22,I22,K22)</f>
        <v>21293.58</v>
      </c>
      <c r="W22" s="78">
        <f>INT((SUM(G22,I22,K22)*0.4*100)+0.49)/100</f>
        <v>8517.43</v>
      </c>
      <c r="X22" s="116">
        <v>0</v>
      </c>
      <c r="Y22" s="77">
        <f>X22*Valores!$C$2*1.006901</f>
        <v>0</v>
      </c>
      <c r="Z22" s="77">
        <v>0</v>
      </c>
      <c r="AA22" s="89">
        <f>Valores!$C$29</f>
        <v>132.58872368000002</v>
      </c>
      <c r="AB22" s="77">
        <f t="shared" si="3"/>
        <v>0</v>
      </c>
      <c r="AC22" s="77">
        <f>Valores!$C$30</f>
        <v>132.59</v>
      </c>
      <c r="AD22" s="116">
        <v>0</v>
      </c>
      <c r="AE22" s="77">
        <f>AD22*Valores!$C$2*1.006901</f>
        <v>0</v>
      </c>
      <c r="AF22" s="77">
        <f>Valores!$C$51</f>
        <v>269.71857087000001</v>
      </c>
      <c r="AG22" s="77">
        <f>Valores!$C$52</f>
        <v>77.068202540000016</v>
      </c>
      <c r="AH22" s="77">
        <f>SUM(G22,I22,K22,M22,N22,O22,P22,Q22,R22,S22,U22,V22,W22,Y22,Z22,AA22,AB22,AC22,AE22,AF22,AG22)*Valores!$C$54</f>
        <v>0</v>
      </c>
      <c r="AI22" s="15">
        <f t="shared" si="7"/>
        <v>61845.612396783501</v>
      </c>
      <c r="AJ22" s="78">
        <f>Valores!$C$35</f>
        <v>216.04</v>
      </c>
      <c r="AK22" s="79">
        <f>Valores!$C$9</f>
        <v>308.25267214000002</v>
      </c>
      <c r="AL22" s="89">
        <v>0</v>
      </c>
      <c r="AM22" s="79">
        <f>IF($G$4="SI",SUM(AK22+AL22),AK22)*Valores!$C$54</f>
        <v>0</v>
      </c>
      <c r="AN22" s="12">
        <f t="shared" si="4"/>
        <v>524.29267214000004</v>
      </c>
      <c r="AO22" s="151">
        <f>AI22*-Valores!$C$56</f>
        <v>-8039.9296115818552</v>
      </c>
      <c r="AP22" s="151">
        <f>AI22*-Valores!$C$57</f>
        <v>-309.22806198391748</v>
      </c>
      <c r="AQ22" s="78">
        <f>AI22*-Valores!$C$58</f>
        <v>-2783.0525578552574</v>
      </c>
      <c r="AR22" s="78">
        <f>AI22*-Valores!$C$59</f>
        <v>-1669.8315347131547</v>
      </c>
      <c r="AS22" s="78">
        <f>AI22*-Valores!$C$60</f>
        <v>-185.5368371903505</v>
      </c>
      <c r="AT22" s="15">
        <f t="shared" si="5"/>
        <v>51237.694837502473</v>
      </c>
      <c r="AU22" s="15">
        <f t="shared" si="6"/>
        <v>52165.379023454218</v>
      </c>
      <c r="AV22" s="78">
        <f>AI22*Valores!$C$61</f>
        <v>9895.2979834853595</v>
      </c>
      <c r="AW22" s="78">
        <f>AI22*Valores!$C$62</f>
        <v>2783.0525578552574</v>
      </c>
      <c r="AX22" s="78">
        <f>AI22*Valores!$C$64</f>
        <v>618.45612396783497</v>
      </c>
      <c r="AY22" s="78">
        <f>AI22*Valores!$C$65</f>
        <v>2164.5964338874228</v>
      </c>
      <c r="AZ22" s="78">
        <f>AI22*Valores!$C$66</f>
        <v>371.07367438070099</v>
      </c>
      <c r="BA22" s="78">
        <f t="shared" si="8"/>
        <v>3339.663069426309</v>
      </c>
      <c r="BB22" s="20"/>
      <c r="BC22" s="20">
        <v>45</v>
      </c>
      <c r="BD22" s="9" t="s">
        <v>466</v>
      </c>
    </row>
    <row r="23" spans="1:56" s="9" customFormat="1" ht="11.25" customHeight="1" x14ac:dyDescent="0.15">
      <c r="A23" s="20">
        <v>22</v>
      </c>
      <c r="B23" s="20"/>
      <c r="C23" s="9" t="s">
        <v>39</v>
      </c>
      <c r="E23" s="10" t="s">
        <v>40</v>
      </c>
      <c r="F23" s="123">
        <v>100</v>
      </c>
      <c r="G23" s="7">
        <f>INT((F23*Valores!$C$2*100*1.006901)+0.5)/100</f>
        <v>526.29</v>
      </c>
      <c r="H23" s="113">
        <v>3727</v>
      </c>
      <c r="I23" s="77">
        <f>INT((H23*Valores!$C$2*100*1.006901)+0.5)/100</f>
        <v>19614.72</v>
      </c>
      <c r="J23" s="143">
        <v>219</v>
      </c>
      <c r="K23" s="77">
        <f>INT((J23*Valores!$C$2*100*1.006901)+0.5)/100</f>
        <v>1152.57</v>
      </c>
      <c r="L23" s="123">
        <v>0</v>
      </c>
      <c r="M23" s="77">
        <f>INT((L23*Valores!$C$2*100*1.006901)+0.5)/100</f>
        <v>0</v>
      </c>
      <c r="N23" s="77">
        <f t="shared" si="0"/>
        <v>3366.0192149535001</v>
      </c>
      <c r="O23" s="77">
        <f t="shared" si="1"/>
        <v>0</v>
      </c>
      <c r="P23" s="78">
        <f>Valores!$C$16</f>
        <v>3262.4095850500003</v>
      </c>
      <c r="Q23" s="78">
        <f>Valores!$D$4</f>
        <v>2354.08</v>
      </c>
      <c r="R23" s="77">
        <v>0</v>
      </c>
      <c r="S23" s="79">
        <f>Valores!$C$43</f>
        <v>1146.5480996900001</v>
      </c>
      <c r="T23" s="77">
        <v>0</v>
      </c>
      <c r="U23" s="77">
        <f t="shared" si="2"/>
        <v>0</v>
      </c>
      <c r="V23" s="78">
        <f>SUM(G23,I23,K23)</f>
        <v>21293.58</v>
      </c>
      <c r="W23" s="78">
        <f>INT((SUM(G23,I23,K23)*0.4*100)+0.49)/100</f>
        <v>8517.43</v>
      </c>
      <c r="X23" s="116">
        <v>0</v>
      </c>
      <c r="Y23" s="77">
        <f>X23*Valores!$C$2*1.006901</f>
        <v>0</v>
      </c>
      <c r="Z23" s="77">
        <v>0</v>
      </c>
      <c r="AA23" s="89">
        <f>Valores!$C$29</f>
        <v>132.58872368000002</v>
      </c>
      <c r="AB23" s="77">
        <f t="shared" si="3"/>
        <v>0</v>
      </c>
      <c r="AC23" s="77">
        <f>Valores!$C$30</f>
        <v>132.59</v>
      </c>
      <c r="AD23" s="116">
        <v>0</v>
      </c>
      <c r="AE23" s="77">
        <f>AD23*Valores!$C$2*1.006901</f>
        <v>0</v>
      </c>
      <c r="AF23" s="77">
        <f>Valores!$C$51</f>
        <v>269.71857087000001</v>
      </c>
      <c r="AG23" s="77">
        <f>Valores!$C$52</f>
        <v>77.068202540000016</v>
      </c>
      <c r="AH23" s="77">
        <f>SUM(G23,I23,K23,M23,N23,O23,P23,Q23,R23,S23,U23,V23,W23,Y23,Z23,AA23,AB23,AC23,AE23,AF23,AG23)*Valores!$C$54</f>
        <v>0</v>
      </c>
      <c r="AI23" s="15">
        <f t="shared" si="7"/>
        <v>61845.612396783501</v>
      </c>
      <c r="AJ23" s="78">
        <f>Valores!$C$35</f>
        <v>216.04</v>
      </c>
      <c r="AK23" s="79">
        <f>Valores!$C$9</f>
        <v>308.25267214000002</v>
      </c>
      <c r="AL23" s="89">
        <v>0</v>
      </c>
      <c r="AM23" s="79">
        <f>IF($G$4="SI",SUM(AK23+AL23),AK23)*Valores!$C$54</f>
        <v>0</v>
      </c>
      <c r="AN23" s="12">
        <f t="shared" si="4"/>
        <v>524.29267214000004</v>
      </c>
      <c r="AO23" s="151">
        <f>AI23*-Valores!$C$56</f>
        <v>-8039.9296115818552</v>
      </c>
      <c r="AP23" s="151">
        <f>AI23*-Valores!$C$57</f>
        <v>-309.22806198391748</v>
      </c>
      <c r="AQ23" s="78">
        <f>AI23*-Valores!$C$58</f>
        <v>-2783.0525578552574</v>
      </c>
      <c r="AR23" s="78">
        <f>AI23*-Valores!$C$59</f>
        <v>-1669.8315347131547</v>
      </c>
      <c r="AS23" s="78">
        <f>AI23*-Valores!$C$60</f>
        <v>-185.5368371903505</v>
      </c>
      <c r="AT23" s="15">
        <f t="shared" si="5"/>
        <v>51237.694837502473</v>
      </c>
      <c r="AU23" s="15">
        <f t="shared" si="6"/>
        <v>52165.379023454218</v>
      </c>
      <c r="AV23" s="78">
        <f>AI23*Valores!$C$61</f>
        <v>9895.2979834853595</v>
      </c>
      <c r="AW23" s="78">
        <f>AI23*Valores!$C$62</f>
        <v>2783.0525578552574</v>
      </c>
      <c r="AX23" s="78">
        <f>AI23*Valores!$C$64</f>
        <v>618.45612396783497</v>
      </c>
      <c r="AY23" s="78">
        <f>AI23*Valores!$C$65</f>
        <v>2164.5964338874228</v>
      </c>
      <c r="AZ23" s="78">
        <f>AI23*Valores!$C$66</f>
        <v>371.07367438070099</v>
      </c>
      <c r="BA23" s="78">
        <f t="shared" si="8"/>
        <v>3339.663069426309</v>
      </c>
      <c r="BB23" s="20"/>
      <c r="BC23" s="20">
        <v>45</v>
      </c>
      <c r="BD23" s="9" t="s">
        <v>466</v>
      </c>
    </row>
    <row r="24" spans="1:56" s="9" customFormat="1" ht="11.25" customHeight="1" x14ac:dyDescent="0.15">
      <c r="A24" s="20">
        <v>23</v>
      </c>
      <c r="B24" s="20"/>
      <c r="C24" s="9" t="s">
        <v>41</v>
      </c>
      <c r="E24" s="10" t="s">
        <v>42</v>
      </c>
      <c r="F24" s="123">
        <v>96</v>
      </c>
      <c r="G24" s="7">
        <f>INT((F24*Valores!$C$2*100*1.006901)+0.5)/100</f>
        <v>505.24</v>
      </c>
      <c r="H24" s="113">
        <v>3737</v>
      </c>
      <c r="I24" s="77">
        <f>INT((H24*Valores!$C$2*100*1.006901)+0.5)/100</f>
        <v>19667.349999999999</v>
      </c>
      <c r="J24" s="143">
        <v>1220</v>
      </c>
      <c r="K24" s="77">
        <f>INT((J24*Valores!$C$2*100*1.006901)+0.5)/100</f>
        <v>6420.7</v>
      </c>
      <c r="L24" s="123">
        <v>0</v>
      </c>
      <c r="M24" s="77">
        <f>INT((L24*Valores!$C$2*100*1.006901)+0.5)/100</f>
        <v>0</v>
      </c>
      <c r="N24" s="77">
        <f t="shared" si="0"/>
        <v>4501.0404172875005</v>
      </c>
      <c r="O24" s="77">
        <f t="shared" si="1"/>
        <v>0</v>
      </c>
      <c r="P24" s="78">
        <f>Valores!$C$19</f>
        <v>3416.5359211200002</v>
      </c>
      <c r="Q24" s="78">
        <f>Valores!$D$4</f>
        <v>2354.08</v>
      </c>
      <c r="R24" s="77">
        <v>0</v>
      </c>
      <c r="S24" s="79">
        <f>Valores!$C$43</f>
        <v>1146.5480996900001</v>
      </c>
      <c r="T24" s="77">
        <f>Valores!$C$23</f>
        <v>2267.09801556</v>
      </c>
      <c r="U24" s="77">
        <f t="shared" si="2"/>
        <v>2267.09801556</v>
      </c>
      <c r="V24" s="77">
        <v>0</v>
      </c>
      <c r="W24" s="77">
        <v>0</v>
      </c>
      <c r="X24" s="116">
        <v>0</v>
      </c>
      <c r="Y24" s="77">
        <f>X24*Valores!$C$2*1.006901</f>
        <v>0</v>
      </c>
      <c r="Z24" s="77">
        <v>0</v>
      </c>
      <c r="AA24" s="89">
        <f>Valores!$C$29</f>
        <v>132.58872368000002</v>
      </c>
      <c r="AB24" s="77">
        <f t="shared" si="3"/>
        <v>0</v>
      </c>
      <c r="AC24" s="77">
        <f>Valores!$C$30</f>
        <v>132.59</v>
      </c>
      <c r="AD24" s="116">
        <v>0</v>
      </c>
      <c r="AE24" s="77">
        <f>AD24*Valores!$C$2*1.006901</f>
        <v>0</v>
      </c>
      <c r="AF24" s="77">
        <f>Valores!$C$51</f>
        <v>269.71857087000001</v>
      </c>
      <c r="AG24" s="77">
        <f>Valores!$C$52</f>
        <v>77.068202540000016</v>
      </c>
      <c r="AH24" s="77">
        <f>SUM(G24,I24,K24,M24,N24,O24,P24,Q24,R24,S24,U24,V24,W24,Y24,Z24,AA24,AB24,AC24,AE24,AF24,AG24)*Valores!$C$54</f>
        <v>0</v>
      </c>
      <c r="AI24" s="15">
        <f t="shared" si="7"/>
        <v>40890.55795074749</v>
      </c>
      <c r="AJ24" s="78">
        <f>Valores!$C$35</f>
        <v>216.04</v>
      </c>
      <c r="AK24" s="79">
        <f>Valores!$C$9</f>
        <v>308.25267214000002</v>
      </c>
      <c r="AL24" s="89">
        <v>218.51765502000001</v>
      </c>
      <c r="AM24" s="79">
        <f>IF($G$4="SI",SUM(AK24+AL24),AK24)*Valores!$C$54</f>
        <v>0</v>
      </c>
      <c r="AN24" s="12">
        <f t="shared" si="4"/>
        <v>742.81032716000004</v>
      </c>
      <c r="AO24" s="151">
        <f>AI24*-Valores!$C$56</f>
        <v>-5315.7725335971736</v>
      </c>
      <c r="AP24" s="151">
        <f>AI24*-Valores!$C$57</f>
        <v>-204.45278975373745</v>
      </c>
      <c r="AQ24" s="78">
        <f>AI24*-Valores!$C$58</f>
        <v>-1840.0751077836369</v>
      </c>
      <c r="AR24" s="78">
        <f>AI24*-Valores!$C$59</f>
        <v>-1104.0450646701825</v>
      </c>
      <c r="AS24" s="78">
        <f>AI24*-Valores!$C$60</f>
        <v>-122.67167385224248</v>
      </c>
      <c r="AT24" s="15">
        <f t="shared" si="5"/>
        <v>34273.06784677293</v>
      </c>
      <c r="AU24" s="15">
        <f t="shared" si="6"/>
        <v>34886.426216034153</v>
      </c>
      <c r="AV24" s="78">
        <f>AI24*Valores!$C$61</f>
        <v>6542.4892721195984</v>
      </c>
      <c r="AW24" s="78">
        <f>AI24*Valores!$C$62</f>
        <v>1840.0751077836369</v>
      </c>
      <c r="AX24" s="78">
        <f>AI24*Valores!$C$64</f>
        <v>408.9055795074749</v>
      </c>
      <c r="AY24" s="78">
        <f>AI24*Valores!$C$65</f>
        <v>1431.1695282761623</v>
      </c>
      <c r="AZ24" s="78">
        <f>AI24*Valores!$C$66</f>
        <v>245.34334770448496</v>
      </c>
      <c r="BA24" s="78">
        <f t="shared" si="8"/>
        <v>2208.0901293403645</v>
      </c>
      <c r="BB24" s="20"/>
      <c r="BC24" s="20">
        <v>45</v>
      </c>
      <c r="BD24" s="9" t="s">
        <v>467</v>
      </c>
    </row>
    <row r="25" spans="1:56" s="9" customFormat="1" ht="11.25" customHeight="1" x14ac:dyDescent="0.15">
      <c r="A25" s="20">
        <v>24</v>
      </c>
      <c r="B25" s="20"/>
      <c r="C25" s="9" t="s">
        <v>392</v>
      </c>
      <c r="E25" s="10" t="s">
        <v>393</v>
      </c>
      <c r="F25" s="123">
        <v>96</v>
      </c>
      <c r="G25" s="7">
        <f>INT((F25*Valores!$C$2*100*1.006901)+0.5)/100</f>
        <v>505.24</v>
      </c>
      <c r="H25" s="113">
        <v>3737</v>
      </c>
      <c r="I25" s="77">
        <f>INT((H25*Valores!$C$2*100*1.006901)+0.5)/100</f>
        <v>19667.349999999999</v>
      </c>
      <c r="J25" s="143">
        <v>1220</v>
      </c>
      <c r="K25" s="77">
        <f>INT((J25*Valores!$C$2*100*1.006901)+0.5)/100</f>
        <v>6420.7</v>
      </c>
      <c r="L25" s="123">
        <v>0</v>
      </c>
      <c r="M25" s="77">
        <f>INT((L25*Valores!$C$2*100*1.006901)+0.5)/100</f>
        <v>0</v>
      </c>
      <c r="N25" s="77">
        <f t="shared" si="0"/>
        <v>4501.0404172875005</v>
      </c>
      <c r="O25" s="77">
        <f t="shared" si="1"/>
        <v>0</v>
      </c>
      <c r="P25" s="78">
        <f>Valores!$C$19</f>
        <v>3416.5359211200002</v>
      </c>
      <c r="Q25" s="78">
        <f>Valores!$D$4</f>
        <v>2354.08</v>
      </c>
      <c r="R25" s="77">
        <v>0</v>
      </c>
      <c r="S25" s="79">
        <f>Valores!$C$43</f>
        <v>1146.5480996900001</v>
      </c>
      <c r="T25" s="77">
        <f>Valores!$C$23</f>
        <v>2267.09801556</v>
      </c>
      <c r="U25" s="77">
        <f t="shared" si="2"/>
        <v>2267.09801556</v>
      </c>
      <c r="V25" s="77">
        <v>0</v>
      </c>
      <c r="W25" s="77">
        <v>0</v>
      </c>
      <c r="X25" s="116">
        <v>0</v>
      </c>
      <c r="Y25" s="77">
        <f>X25*Valores!$C$2*1.006901</f>
        <v>0</v>
      </c>
      <c r="Z25" s="77">
        <v>0</v>
      </c>
      <c r="AA25" s="89">
        <f>Valores!$C$29</f>
        <v>132.58872368000002</v>
      </c>
      <c r="AB25" s="77">
        <f t="shared" si="3"/>
        <v>0</v>
      </c>
      <c r="AC25" s="77">
        <f>Valores!$C$30</f>
        <v>132.59</v>
      </c>
      <c r="AD25" s="116">
        <v>0</v>
      </c>
      <c r="AE25" s="77">
        <f>AD25*Valores!$C$2*1.006901</f>
        <v>0</v>
      </c>
      <c r="AF25" s="77">
        <f>Valores!$C$51</f>
        <v>269.71857087000001</v>
      </c>
      <c r="AG25" s="77">
        <f>Valores!$C$52</f>
        <v>77.068202540000016</v>
      </c>
      <c r="AH25" s="77">
        <f>SUM(G25,I25,K25,M25,N25,O25,P25,Q25,R25,S25,U25,V25,W25,Y25,Z25,AA25,AB25,AC25,AE25,AF25,AG25)*Valores!$C$54</f>
        <v>0</v>
      </c>
      <c r="AI25" s="15">
        <f t="shared" si="7"/>
        <v>40890.55795074749</v>
      </c>
      <c r="AJ25" s="78">
        <f>Valores!$C$35</f>
        <v>216.04</v>
      </c>
      <c r="AK25" s="79">
        <f>Valores!$C$9</f>
        <v>308.25267214000002</v>
      </c>
      <c r="AL25" s="89">
        <v>0</v>
      </c>
      <c r="AM25" s="79">
        <f>IF($G$4="SI",SUM(AK25+AL25),AK25)*Valores!$C$54</f>
        <v>0</v>
      </c>
      <c r="AN25" s="12">
        <f t="shared" si="4"/>
        <v>524.29267214000004</v>
      </c>
      <c r="AO25" s="151">
        <f>AI25*-Valores!$C$56</f>
        <v>-5315.7725335971736</v>
      </c>
      <c r="AP25" s="151">
        <f>AI25*-Valores!$C$57</f>
        <v>-204.45278975373745</v>
      </c>
      <c r="AQ25" s="78">
        <f>AI25*-Valores!$C$58</f>
        <v>-1840.0751077836369</v>
      </c>
      <c r="AR25" s="78">
        <f>AI25*-Valores!$C$59</f>
        <v>-1104.0450646701825</v>
      </c>
      <c r="AS25" s="78">
        <f>AI25*-Valores!$C$60</f>
        <v>-122.67167385224248</v>
      </c>
      <c r="AT25" s="15">
        <f t="shared" si="5"/>
        <v>34054.550191752933</v>
      </c>
      <c r="AU25" s="15">
        <f t="shared" si="6"/>
        <v>34667.908561014156</v>
      </c>
      <c r="AV25" s="78">
        <f>AI25*Valores!$C$61</f>
        <v>6542.4892721195984</v>
      </c>
      <c r="AW25" s="78">
        <f>AI25*Valores!$C$62</f>
        <v>1840.0751077836369</v>
      </c>
      <c r="AX25" s="78">
        <f>AI25*Valores!$C$64</f>
        <v>408.9055795074749</v>
      </c>
      <c r="AY25" s="78">
        <f>AI25*Valores!$C$65</f>
        <v>1431.1695282761623</v>
      </c>
      <c r="AZ25" s="78">
        <f>AI25*Valores!$C$66</f>
        <v>245.34334770448496</v>
      </c>
      <c r="BA25" s="78">
        <f t="shared" si="8"/>
        <v>2208.0901293403645</v>
      </c>
      <c r="BB25" s="20"/>
      <c r="BC25" s="20">
        <v>45</v>
      </c>
      <c r="BD25" s="9" t="s">
        <v>467</v>
      </c>
    </row>
    <row r="26" spans="1:56" s="9" customFormat="1" ht="11.25" customHeight="1" x14ac:dyDescent="0.15">
      <c r="A26" s="55">
        <v>25</v>
      </c>
      <c r="B26" s="55" t="s">
        <v>462</v>
      </c>
      <c r="C26" s="52" t="s">
        <v>43</v>
      </c>
      <c r="D26" s="52"/>
      <c r="E26" s="53" t="s">
        <v>44</v>
      </c>
      <c r="F26" s="124">
        <v>96</v>
      </c>
      <c r="G26" s="7">
        <f>INT((F26*Valores!$C$2*100*1.006901)+0.5)/100</f>
        <v>505.24</v>
      </c>
      <c r="H26" s="114">
        <v>3737</v>
      </c>
      <c r="I26" s="77">
        <f>INT((H26*Valores!$C$2*100*1.006901)+0.5)/100</f>
        <v>19667.349999999999</v>
      </c>
      <c r="J26" s="144">
        <v>1220</v>
      </c>
      <c r="K26" s="77">
        <f>INT((J26*Valores!$C$2*100*1.006901)+0.5)/100</f>
        <v>6420.7</v>
      </c>
      <c r="L26" s="124">
        <v>0</v>
      </c>
      <c r="M26" s="77">
        <f>INT((L26*Valores!$C$2*100*1.006901)+0.5)/100</f>
        <v>0</v>
      </c>
      <c r="N26" s="80">
        <f t="shared" si="0"/>
        <v>4501.0404172875005</v>
      </c>
      <c r="O26" s="80">
        <f t="shared" si="1"/>
        <v>0</v>
      </c>
      <c r="P26" s="81">
        <f>Valores!$C$19</f>
        <v>3416.5359211200002</v>
      </c>
      <c r="Q26" s="81">
        <f>Valores!$D$4</f>
        <v>2354.08</v>
      </c>
      <c r="R26" s="80">
        <v>0</v>
      </c>
      <c r="S26" s="82">
        <f>Valores!$C$43</f>
        <v>1146.5480996900001</v>
      </c>
      <c r="T26" s="80">
        <f>Valores!$C$23</f>
        <v>2267.09801556</v>
      </c>
      <c r="U26" s="80">
        <f t="shared" si="2"/>
        <v>2267.09801556</v>
      </c>
      <c r="V26" s="80">
        <v>0</v>
      </c>
      <c r="W26" s="80">
        <v>0</v>
      </c>
      <c r="X26" s="115">
        <v>0</v>
      </c>
      <c r="Y26" s="77">
        <f>X26*Valores!$C$2*1.006901</f>
        <v>0</v>
      </c>
      <c r="Z26" s="80">
        <v>0</v>
      </c>
      <c r="AA26" s="90">
        <f>Valores!$C$29</f>
        <v>132.58872368000002</v>
      </c>
      <c r="AB26" s="80">
        <f t="shared" si="3"/>
        <v>0</v>
      </c>
      <c r="AC26" s="80">
        <f>Valores!$C$30</f>
        <v>132.59</v>
      </c>
      <c r="AD26" s="115">
        <v>0</v>
      </c>
      <c r="AE26" s="77">
        <f>AD26*Valores!$C$2*1.006901</f>
        <v>0</v>
      </c>
      <c r="AF26" s="80">
        <f>Valores!$C$51</f>
        <v>269.71857087000001</v>
      </c>
      <c r="AG26" s="80">
        <f>Valores!$C$52</f>
        <v>77.068202540000016</v>
      </c>
      <c r="AH26" s="80">
        <f>SUM(G26,I26,K26,M26,N26,O26,P26,Q26,R26,S26,U26,V26,W26,Y26,Z26,AA26,AB26,AC26,AE26,AF26,AG26)*Valores!$C$54</f>
        <v>0</v>
      </c>
      <c r="AI26" s="54">
        <f t="shared" si="7"/>
        <v>40890.55795074749</v>
      </c>
      <c r="AJ26" s="81">
        <f>Valores!$C$35</f>
        <v>216.04</v>
      </c>
      <c r="AK26" s="82">
        <f>Valores!$C$9</f>
        <v>308.25267214000002</v>
      </c>
      <c r="AL26" s="90">
        <v>0</v>
      </c>
      <c r="AM26" s="82">
        <f>IF($G$4="SI",SUM(AK26+AL26),AK26)*Valores!$C$54</f>
        <v>0</v>
      </c>
      <c r="AN26" s="184">
        <f t="shared" si="4"/>
        <v>524.29267214000004</v>
      </c>
      <c r="AO26" s="152">
        <f>AI26*-Valores!$C$56</f>
        <v>-5315.7725335971736</v>
      </c>
      <c r="AP26" s="152">
        <f>AI26*-Valores!$C$57</f>
        <v>-204.45278975373745</v>
      </c>
      <c r="AQ26" s="81">
        <f>AI26*-Valores!$C$58</f>
        <v>-1840.0751077836369</v>
      </c>
      <c r="AR26" s="81">
        <f>AI26*-Valores!$C$59</f>
        <v>-1104.0450646701825</v>
      </c>
      <c r="AS26" s="81">
        <f>AI26*-Valores!$C$60</f>
        <v>-122.67167385224248</v>
      </c>
      <c r="AT26" s="54">
        <f t="shared" si="5"/>
        <v>34054.550191752933</v>
      </c>
      <c r="AU26" s="54">
        <f t="shared" si="6"/>
        <v>34667.908561014156</v>
      </c>
      <c r="AV26" s="81">
        <f>AI26*Valores!$C$61</f>
        <v>6542.4892721195984</v>
      </c>
      <c r="AW26" s="81">
        <f>AI26*Valores!$C$62</f>
        <v>1840.0751077836369</v>
      </c>
      <c r="AX26" s="81">
        <f>AI26*Valores!$C$64</f>
        <v>408.9055795074749</v>
      </c>
      <c r="AY26" s="81">
        <f>AI26*Valores!$C$65</f>
        <v>1431.1695282761623</v>
      </c>
      <c r="AZ26" s="81">
        <f>AI26*Valores!$C$66</f>
        <v>245.34334770448496</v>
      </c>
      <c r="BA26" s="81">
        <f t="shared" si="8"/>
        <v>2208.0901293403645</v>
      </c>
      <c r="BB26" s="55"/>
      <c r="BC26" s="55">
        <v>45</v>
      </c>
      <c r="BD26" s="52" t="s">
        <v>467</v>
      </c>
    </row>
    <row r="27" spans="1:56" s="9" customFormat="1" ht="11.25" customHeight="1" x14ac:dyDescent="0.15">
      <c r="A27" s="20">
        <v>26</v>
      </c>
      <c r="B27" s="20"/>
      <c r="C27" s="9" t="s">
        <v>45</v>
      </c>
      <c r="E27" s="10" t="s">
        <v>46</v>
      </c>
      <c r="F27" s="123">
        <v>107</v>
      </c>
      <c r="G27" s="7">
        <f>INT((F27*Valores!$C$2*100*1.006901)+0.5)/100</f>
        <v>563.13</v>
      </c>
      <c r="H27" s="113">
        <v>3728</v>
      </c>
      <c r="I27" s="77">
        <f>INT((H27*Valores!$C$2*100*1.006901)+0.5)/100</f>
        <v>19619.98</v>
      </c>
      <c r="J27" s="143">
        <v>1218</v>
      </c>
      <c r="K27" s="77">
        <f>INT((J27*Valores!$C$2*100*1.006901)+0.5)/100</f>
        <v>6410.18</v>
      </c>
      <c r="L27" s="123">
        <v>0</v>
      </c>
      <c r="M27" s="77">
        <f>INT((L27*Valores!$C$2*100*1.006901)+0.5)/100</f>
        <v>0</v>
      </c>
      <c r="N27" s="77">
        <f t="shared" si="0"/>
        <v>4501.0404172875005</v>
      </c>
      <c r="O27" s="77">
        <f t="shared" si="1"/>
        <v>0</v>
      </c>
      <c r="P27" s="78">
        <f>Valores!$C$19</f>
        <v>3416.5359211200002</v>
      </c>
      <c r="Q27" s="78">
        <f>Valores!$D$4</f>
        <v>2354.08</v>
      </c>
      <c r="R27" s="77">
        <v>0</v>
      </c>
      <c r="S27" s="79">
        <f>Valores!$C$43</f>
        <v>1146.5480996900001</v>
      </c>
      <c r="T27" s="77">
        <f>Valores!$C$23</f>
        <v>2267.09801556</v>
      </c>
      <c r="U27" s="77">
        <f t="shared" si="2"/>
        <v>2267.09801556</v>
      </c>
      <c r="V27" s="77">
        <v>0</v>
      </c>
      <c r="W27" s="77">
        <v>0</v>
      </c>
      <c r="X27" s="116">
        <v>0</v>
      </c>
      <c r="Y27" s="77">
        <f>X27*Valores!$C$2*1.006901</f>
        <v>0</v>
      </c>
      <c r="Z27" s="77">
        <v>0</v>
      </c>
      <c r="AA27" s="89">
        <f>Valores!$C$29</f>
        <v>132.58872368000002</v>
      </c>
      <c r="AB27" s="77">
        <f t="shared" si="3"/>
        <v>0</v>
      </c>
      <c r="AC27" s="77">
        <f>Valores!$C$30</f>
        <v>132.59</v>
      </c>
      <c r="AD27" s="116">
        <v>0</v>
      </c>
      <c r="AE27" s="77">
        <f>AD27*Valores!$C$2*1.006901</f>
        <v>0</v>
      </c>
      <c r="AF27" s="77">
        <f>Valores!$C$51</f>
        <v>269.71857087000001</v>
      </c>
      <c r="AG27" s="77">
        <f>Valores!$C$52</f>
        <v>77.068202540000016</v>
      </c>
      <c r="AH27" s="77">
        <f>SUM(G27,I27,K27,M27,N27,O27,P27,Q27,R27,S27,U27,V27,W27,Y27,Z27,AA27,AB27,AC27,AE27,AF27,AG27)*Valores!$C$54</f>
        <v>0</v>
      </c>
      <c r="AI27" s="15">
        <f t="shared" si="7"/>
        <v>40890.55795074749</v>
      </c>
      <c r="AJ27" s="78">
        <f>Valores!$C$35</f>
        <v>216.04</v>
      </c>
      <c r="AK27" s="79">
        <f>Valores!$C$9</f>
        <v>308.25267214000002</v>
      </c>
      <c r="AL27" s="89">
        <v>0</v>
      </c>
      <c r="AM27" s="79">
        <f>IF($G$4="SI",SUM(AK27+AL27),AK27)*Valores!$C$54</f>
        <v>0</v>
      </c>
      <c r="AN27" s="12">
        <f t="shared" si="4"/>
        <v>524.29267214000004</v>
      </c>
      <c r="AO27" s="151">
        <f>AI27*-Valores!$C$56</f>
        <v>-5315.7725335971736</v>
      </c>
      <c r="AP27" s="151">
        <f>AI27*-Valores!$C$57</f>
        <v>-204.45278975373745</v>
      </c>
      <c r="AQ27" s="78">
        <f>AI27*-Valores!$C$58</f>
        <v>-1840.0751077836369</v>
      </c>
      <c r="AR27" s="78">
        <f>AI27*-Valores!$C$59</f>
        <v>-1104.0450646701825</v>
      </c>
      <c r="AS27" s="78">
        <f>AI27*-Valores!$C$60</f>
        <v>-122.67167385224248</v>
      </c>
      <c r="AT27" s="15">
        <f t="shared" si="5"/>
        <v>34054.550191752933</v>
      </c>
      <c r="AU27" s="15">
        <f t="shared" si="6"/>
        <v>34667.908561014156</v>
      </c>
      <c r="AV27" s="78">
        <f>AI27*Valores!$C$61</f>
        <v>6542.4892721195984</v>
      </c>
      <c r="AW27" s="78">
        <f>AI27*Valores!$C$62</f>
        <v>1840.0751077836369</v>
      </c>
      <c r="AX27" s="78">
        <f>AI27*Valores!$C$64</f>
        <v>408.9055795074749</v>
      </c>
      <c r="AY27" s="78">
        <f>AI27*Valores!$C$65</f>
        <v>1431.1695282761623</v>
      </c>
      <c r="AZ27" s="78">
        <f>AI27*Valores!$C$66</f>
        <v>245.34334770448496</v>
      </c>
      <c r="BA27" s="78">
        <f t="shared" si="8"/>
        <v>2208.0901293403645</v>
      </c>
      <c r="BB27" s="20"/>
      <c r="BC27" s="20">
        <v>45</v>
      </c>
      <c r="BD27" s="9" t="s">
        <v>466</v>
      </c>
    </row>
    <row r="28" spans="1:56" s="9" customFormat="1" ht="11.25" customHeight="1" x14ac:dyDescent="0.15">
      <c r="A28" s="20">
        <v>27</v>
      </c>
      <c r="B28" s="20"/>
      <c r="C28" s="9" t="s">
        <v>47</v>
      </c>
      <c r="E28" s="10" t="s">
        <v>48</v>
      </c>
      <c r="F28" s="123">
        <v>94</v>
      </c>
      <c r="G28" s="7">
        <f>INT((F28*Valores!$C$2*100*1.006901)+0.5)/100</f>
        <v>494.71</v>
      </c>
      <c r="H28" s="113">
        <v>3624</v>
      </c>
      <c r="I28" s="77">
        <f>INT((H28*Valores!$C$2*100*1.006901)+0.5)/100</f>
        <v>19072.64</v>
      </c>
      <c r="J28" s="143">
        <v>1219</v>
      </c>
      <c r="K28" s="77">
        <f>INT((J28*Valores!$C$2*100*1.006901)+0.5)/100</f>
        <v>6415.44</v>
      </c>
      <c r="L28" s="123">
        <v>0</v>
      </c>
      <c r="M28" s="77">
        <f>INT((L28*Valores!$C$2*100*1.006901)+0.5)/100</f>
        <v>0</v>
      </c>
      <c r="N28" s="77">
        <f t="shared" si="0"/>
        <v>4409.4654172874998</v>
      </c>
      <c r="O28" s="77">
        <f t="shared" si="1"/>
        <v>0</v>
      </c>
      <c r="P28" s="78">
        <f>Valores!$C$17</f>
        <v>4472.7549321000006</v>
      </c>
      <c r="Q28" s="78">
        <f>Valores!$D$4</f>
        <v>2354.08</v>
      </c>
      <c r="R28" s="77">
        <v>0</v>
      </c>
      <c r="S28" s="79">
        <f>Valores!$C$43</f>
        <v>1146.5480996900001</v>
      </c>
      <c r="T28" s="77">
        <f>Valores!$C$23</f>
        <v>2267.09801556</v>
      </c>
      <c r="U28" s="77">
        <f t="shared" si="2"/>
        <v>2267.09801556</v>
      </c>
      <c r="V28" s="77">
        <v>0</v>
      </c>
      <c r="W28" s="77">
        <v>0</v>
      </c>
      <c r="X28" s="116">
        <v>0</v>
      </c>
      <c r="Y28" s="77">
        <f>X28*Valores!$C$2*1.006901</f>
        <v>0</v>
      </c>
      <c r="Z28" s="77">
        <v>0</v>
      </c>
      <c r="AA28" s="89">
        <f>Valores!$C$29</f>
        <v>132.58872368000002</v>
      </c>
      <c r="AB28" s="77">
        <f t="shared" si="3"/>
        <v>0</v>
      </c>
      <c r="AC28" s="77">
        <f>Valores!$C$30</f>
        <v>132.59</v>
      </c>
      <c r="AD28" s="116">
        <v>0</v>
      </c>
      <c r="AE28" s="77">
        <f>AD28*Valores!$C$2*1.006901</f>
        <v>0</v>
      </c>
      <c r="AF28" s="77">
        <f>Valores!$C$51</f>
        <v>269.71857087000001</v>
      </c>
      <c r="AG28" s="77">
        <f>Valores!$C$52</f>
        <v>77.068202540000016</v>
      </c>
      <c r="AH28" s="77">
        <f>SUM(G28,I28,K28,M28,N28,O28,P28,Q28,R28,S28,U28,V28,W28,Y28,Z28,AA28,AB28,AC28,AE28,AF28,AG28)*Valores!$C$54</f>
        <v>0</v>
      </c>
      <c r="AI28" s="15">
        <f t="shared" si="7"/>
        <v>41244.701961727485</v>
      </c>
      <c r="AJ28" s="78">
        <f>Valores!$C$35</f>
        <v>216.04</v>
      </c>
      <c r="AK28" s="79">
        <f>Valores!$C$9</f>
        <v>308.25267214000002</v>
      </c>
      <c r="AL28" s="89">
        <v>0</v>
      </c>
      <c r="AM28" s="79">
        <f>IF($G$4="SI",SUM(AK28+AL28),AK28)*Valores!$C$54</f>
        <v>0</v>
      </c>
      <c r="AN28" s="12">
        <f t="shared" si="4"/>
        <v>524.29267214000004</v>
      </c>
      <c r="AO28" s="151">
        <f>AI28*-Valores!$C$56</f>
        <v>-5361.8112550245733</v>
      </c>
      <c r="AP28" s="151">
        <f>AI28*-Valores!$C$57</f>
        <v>-206.22350980863743</v>
      </c>
      <c r="AQ28" s="78">
        <f>AI28*-Valores!$C$58</f>
        <v>-1856.0115882777368</v>
      </c>
      <c r="AR28" s="78">
        <f>AI28*-Valores!$C$59</f>
        <v>-1113.6069529666422</v>
      </c>
      <c r="AS28" s="78">
        <f>AI28*-Valores!$C$60</f>
        <v>-123.73410588518246</v>
      </c>
      <c r="AT28" s="15">
        <f t="shared" si="5"/>
        <v>34344.948280756536</v>
      </c>
      <c r="AU28" s="15">
        <f t="shared" si="6"/>
        <v>34963.618810182452</v>
      </c>
      <c r="AV28" s="78">
        <f>AI28*Valores!$C$61</f>
        <v>6599.1523138763978</v>
      </c>
      <c r="AW28" s="78">
        <f>AI28*Valores!$C$62</f>
        <v>1856.0115882777368</v>
      </c>
      <c r="AX28" s="78">
        <f>AI28*Valores!$C$64</f>
        <v>412.44701961727486</v>
      </c>
      <c r="AY28" s="78">
        <f>AI28*Valores!$C$65</f>
        <v>1443.5645686604621</v>
      </c>
      <c r="AZ28" s="78">
        <f>AI28*Valores!$C$66</f>
        <v>247.46821177036492</v>
      </c>
      <c r="BA28" s="78">
        <f t="shared" si="8"/>
        <v>2227.2139059332844</v>
      </c>
      <c r="BB28" s="20"/>
      <c r="BC28" s="20">
        <v>45</v>
      </c>
      <c r="BD28" s="9" t="s">
        <v>467</v>
      </c>
    </row>
    <row r="29" spans="1:56" s="9" customFormat="1" ht="11.25" customHeight="1" x14ac:dyDescent="0.15">
      <c r="A29" s="20">
        <v>28</v>
      </c>
      <c r="B29" s="20"/>
      <c r="C29" s="9" t="s">
        <v>49</v>
      </c>
      <c r="E29" s="10" t="s">
        <v>50</v>
      </c>
      <c r="F29" s="123">
        <v>93</v>
      </c>
      <c r="G29" s="7">
        <f>INT((F29*Valores!$C$2*100*1.006901)+0.5)/100</f>
        <v>489.45</v>
      </c>
      <c r="H29" s="113">
        <v>3627</v>
      </c>
      <c r="I29" s="77">
        <f>INT((H29*Valores!$C$2*100*1.006901)+0.5)/100</f>
        <v>19088.43</v>
      </c>
      <c r="J29" s="143">
        <v>210</v>
      </c>
      <c r="K29" s="77">
        <f>INT((J29*Valores!$C$2*100*1.006901)+0.5)/100</f>
        <v>1105.2</v>
      </c>
      <c r="L29" s="123">
        <v>0</v>
      </c>
      <c r="M29" s="77">
        <f>INT((L29*Valores!$C$2*100*1.006901)+0.5)/100</f>
        <v>0</v>
      </c>
      <c r="N29" s="77">
        <f t="shared" si="0"/>
        <v>3614.5089172875005</v>
      </c>
      <c r="O29" s="77">
        <f t="shared" si="1"/>
        <v>0</v>
      </c>
      <c r="P29" s="78">
        <f>Valores!$C$17</f>
        <v>4472.7549321000006</v>
      </c>
      <c r="Q29" s="78">
        <f>Valores!$D$4</f>
        <v>2354.08</v>
      </c>
      <c r="R29" s="77">
        <v>0</v>
      </c>
      <c r="S29" s="79">
        <f>Valores!$C$43</f>
        <v>1146.5480996900001</v>
      </c>
      <c r="T29" s="77">
        <f>Valores!$C$23</f>
        <v>2267.09801556</v>
      </c>
      <c r="U29" s="77">
        <f t="shared" si="2"/>
        <v>2267.09801556</v>
      </c>
      <c r="V29" s="77">
        <v>0</v>
      </c>
      <c r="W29" s="77">
        <v>0</v>
      </c>
      <c r="X29" s="116">
        <v>0</v>
      </c>
      <c r="Y29" s="77">
        <f>X29*Valores!$C$2*1.006901</f>
        <v>0</v>
      </c>
      <c r="Z29" s="77">
        <v>0</v>
      </c>
      <c r="AA29" s="89">
        <f>Valores!$C$29</f>
        <v>132.58872368000002</v>
      </c>
      <c r="AB29" s="77">
        <f t="shared" si="3"/>
        <v>0</v>
      </c>
      <c r="AC29" s="77">
        <f>Valores!$C$30</f>
        <v>132.59</v>
      </c>
      <c r="AD29" s="116">
        <v>0</v>
      </c>
      <c r="AE29" s="77">
        <f>AD29*Valores!$C$2*1.006901</f>
        <v>0</v>
      </c>
      <c r="AF29" s="77">
        <f>Valores!$C$51</f>
        <v>269.71857087000001</v>
      </c>
      <c r="AG29" s="77">
        <f>Valores!$C$52</f>
        <v>77.068202540000016</v>
      </c>
      <c r="AH29" s="77">
        <f>SUM(G29,I29,K29,M29,N29,O29,P29,Q29,R29,S29,U29,V29,W29,Y29,Z29,AA29,AB29,AC29,AE29,AF29,AG29)*Valores!$C$54</f>
        <v>0</v>
      </c>
      <c r="AI29" s="15">
        <f t="shared" si="7"/>
        <v>35150.035461727493</v>
      </c>
      <c r="AJ29" s="78">
        <f>Valores!$C$35</f>
        <v>216.04</v>
      </c>
      <c r="AK29" s="79">
        <f>Valores!$C$9</f>
        <v>308.25267214000002</v>
      </c>
      <c r="AL29" s="89">
        <v>0</v>
      </c>
      <c r="AM29" s="79">
        <f>IF($G$4="SI",SUM(AK29+AL29),AK29)*Valores!$C$54</f>
        <v>0</v>
      </c>
      <c r="AN29" s="12">
        <f t="shared" si="4"/>
        <v>524.29267214000004</v>
      </c>
      <c r="AO29" s="151">
        <f>AI29*-Valores!$C$56</f>
        <v>-4569.5046100245745</v>
      </c>
      <c r="AP29" s="151">
        <f>AI29*-Valores!$C$57</f>
        <v>-175.75017730863746</v>
      </c>
      <c r="AQ29" s="78">
        <f>AI29*-Valores!$C$58</f>
        <v>-1581.7515957777371</v>
      </c>
      <c r="AR29" s="78">
        <f>AI29*-Valores!$C$59</f>
        <v>-949.05095746664244</v>
      </c>
      <c r="AS29" s="78">
        <f>AI29*-Valores!$C$60</f>
        <v>-105.45010638518248</v>
      </c>
      <c r="AT29" s="15">
        <f t="shared" si="5"/>
        <v>29347.321750756542</v>
      </c>
      <c r="AU29" s="15">
        <f t="shared" si="6"/>
        <v>29874.572282682453</v>
      </c>
      <c r="AV29" s="78">
        <f>AI29*Valores!$C$61</f>
        <v>5624.0056738763988</v>
      </c>
      <c r="AW29" s="78">
        <f>AI29*Valores!$C$62</f>
        <v>1581.7515957777371</v>
      </c>
      <c r="AX29" s="78">
        <f>AI29*Valores!$C$64</f>
        <v>351.50035461727492</v>
      </c>
      <c r="AY29" s="78">
        <f>AI29*Valores!$C$65</f>
        <v>1230.2512411604623</v>
      </c>
      <c r="AZ29" s="78">
        <f>AI29*Valores!$C$66</f>
        <v>210.90021277036496</v>
      </c>
      <c r="BA29" s="78">
        <f t="shared" si="8"/>
        <v>1898.1019149332849</v>
      </c>
      <c r="BB29" s="20"/>
      <c r="BC29" s="20">
        <v>45</v>
      </c>
      <c r="BD29" s="9" t="s">
        <v>466</v>
      </c>
    </row>
    <row r="30" spans="1:56" s="9" customFormat="1" ht="11.25" customHeight="1" x14ac:dyDescent="0.15">
      <c r="A30" s="20">
        <v>29</v>
      </c>
      <c r="B30" s="20"/>
      <c r="C30" s="9" t="s">
        <v>51</v>
      </c>
      <c r="E30" s="10" t="s">
        <v>52</v>
      </c>
      <c r="F30" s="123">
        <v>93</v>
      </c>
      <c r="G30" s="7">
        <f>INT((F30*Valores!$C$2*100*1.006901)+0.5)/100</f>
        <v>489.45</v>
      </c>
      <c r="H30" s="113">
        <v>3630</v>
      </c>
      <c r="I30" s="77">
        <f>INT((H30*Valores!$C$2*100*1.006901)+0.5)/100</f>
        <v>19104.22</v>
      </c>
      <c r="J30" s="143">
        <v>1214</v>
      </c>
      <c r="K30" s="77">
        <f>INT((J30*Valores!$C$2*100*1.006901)+0.5)/100</f>
        <v>6389.12</v>
      </c>
      <c r="L30" s="123">
        <v>0</v>
      </c>
      <c r="M30" s="77">
        <f>INT((L30*Valores!$C$2*100*1.006901)+0.5)/100</f>
        <v>0</v>
      </c>
      <c r="N30" s="77">
        <f t="shared" si="0"/>
        <v>4409.4654172874998</v>
      </c>
      <c r="O30" s="77">
        <f t="shared" si="1"/>
        <v>0</v>
      </c>
      <c r="P30" s="78">
        <f>Valores!$C$17</f>
        <v>4472.7549321000006</v>
      </c>
      <c r="Q30" s="78">
        <f>Valores!$D$4</f>
        <v>2354.08</v>
      </c>
      <c r="R30" s="77">
        <v>0</v>
      </c>
      <c r="S30" s="79">
        <f>Valores!$C$43</f>
        <v>1146.5480996900001</v>
      </c>
      <c r="T30" s="77">
        <f>Valores!$C$23</f>
        <v>2267.09801556</v>
      </c>
      <c r="U30" s="77">
        <f t="shared" si="2"/>
        <v>2267.09801556</v>
      </c>
      <c r="V30" s="77">
        <v>0</v>
      </c>
      <c r="W30" s="77">
        <v>0</v>
      </c>
      <c r="X30" s="116">
        <v>0</v>
      </c>
      <c r="Y30" s="77">
        <f>X30*Valores!$C$2*1.006901</f>
        <v>0</v>
      </c>
      <c r="Z30" s="77">
        <v>0</v>
      </c>
      <c r="AA30" s="89">
        <f>Valores!$C$29</f>
        <v>132.58872368000002</v>
      </c>
      <c r="AB30" s="77">
        <f t="shared" si="3"/>
        <v>0</v>
      </c>
      <c r="AC30" s="77">
        <f>Valores!$C$30</f>
        <v>132.59</v>
      </c>
      <c r="AD30" s="116">
        <v>0</v>
      </c>
      <c r="AE30" s="77">
        <f>AD30*Valores!$C$2*1.006901</f>
        <v>0</v>
      </c>
      <c r="AF30" s="77">
        <f>Valores!$C$51</f>
        <v>269.71857087000001</v>
      </c>
      <c r="AG30" s="77">
        <f>Valores!$C$52</f>
        <v>77.068202540000016</v>
      </c>
      <c r="AH30" s="77">
        <f>SUM(G30,I30,K30,M30,N30,O30,P30,Q30,R30,S30,U30,V30,W30,Y30,Z30,AA30,AB30,AC30,AE30,AF30,AG30)*Valores!$C$54</f>
        <v>0</v>
      </c>
      <c r="AI30" s="15">
        <f t="shared" si="7"/>
        <v>41244.7019617275</v>
      </c>
      <c r="AJ30" s="78">
        <f>Valores!$C$35</f>
        <v>216.04</v>
      </c>
      <c r="AK30" s="79">
        <f>Valores!$C$9</f>
        <v>308.25267214000002</v>
      </c>
      <c r="AL30" s="89">
        <v>221.51822000000001</v>
      </c>
      <c r="AM30" s="79">
        <f>IF($G$4="SI",SUM(AK30+AL30),AK30)*Valores!$C$54</f>
        <v>0</v>
      </c>
      <c r="AN30" s="12">
        <f t="shared" si="4"/>
        <v>745.81089214000008</v>
      </c>
      <c r="AO30" s="151">
        <f>AI30*-Valores!$C$56</f>
        <v>-5361.8112550245751</v>
      </c>
      <c r="AP30" s="151">
        <f>AI30*-Valores!$C$57</f>
        <v>-206.22350980863752</v>
      </c>
      <c r="AQ30" s="78">
        <f>AI30*-Valores!$C$58</f>
        <v>-1856.0115882777375</v>
      </c>
      <c r="AR30" s="78">
        <f>AI30*-Valores!$C$59</f>
        <v>-1113.6069529666427</v>
      </c>
      <c r="AS30" s="78">
        <f>AI30*-Valores!$C$60</f>
        <v>-123.7341058851825</v>
      </c>
      <c r="AT30" s="15">
        <f t="shared" si="5"/>
        <v>34566.466500756549</v>
      </c>
      <c r="AU30" s="15">
        <f t="shared" si="6"/>
        <v>35185.137030182457</v>
      </c>
      <c r="AV30" s="78">
        <f>AI30*Valores!$C$61</f>
        <v>6599.1523138764005</v>
      </c>
      <c r="AW30" s="78">
        <f>AI30*Valores!$C$62</f>
        <v>1856.0115882777375</v>
      </c>
      <c r="AX30" s="78">
        <f>AI30*Valores!$C$64</f>
        <v>412.44701961727503</v>
      </c>
      <c r="AY30" s="78">
        <f>AI30*Valores!$C$65</f>
        <v>1443.5645686604626</v>
      </c>
      <c r="AZ30" s="78">
        <f>AI30*Valores!$C$66</f>
        <v>247.468211770365</v>
      </c>
      <c r="BA30" s="78">
        <f t="shared" si="8"/>
        <v>2227.2139059332853</v>
      </c>
      <c r="BB30" s="20"/>
      <c r="BC30" s="20">
        <v>45</v>
      </c>
      <c r="BD30" s="9" t="s">
        <v>467</v>
      </c>
    </row>
    <row r="31" spans="1:56" s="9" customFormat="1" ht="11.25" customHeight="1" x14ac:dyDescent="0.15">
      <c r="A31" s="55">
        <v>30</v>
      </c>
      <c r="B31" s="55" t="s">
        <v>462</v>
      </c>
      <c r="C31" s="52" t="s">
        <v>53</v>
      </c>
      <c r="D31" s="52"/>
      <c r="E31" s="53" t="s">
        <v>54</v>
      </c>
      <c r="F31" s="124">
        <v>96</v>
      </c>
      <c r="G31" s="7">
        <f>INT((F31*Valores!$C$2*100*1.006901)+0.5)/100</f>
        <v>505.24</v>
      </c>
      <c r="H31" s="114">
        <v>3737</v>
      </c>
      <c r="I31" s="77">
        <f>INT((H31*Valores!$C$2*100*1.006901)+0.5)/100</f>
        <v>19667.349999999999</v>
      </c>
      <c r="J31" s="144">
        <v>1220</v>
      </c>
      <c r="K31" s="77">
        <f>INT((J31*Valores!$C$2*100*1.006901)+0.5)/100</f>
        <v>6420.7</v>
      </c>
      <c r="L31" s="124">
        <v>0</v>
      </c>
      <c r="M31" s="77">
        <f>INT((L31*Valores!$C$2*100*1.006901)+0.5)/100</f>
        <v>0</v>
      </c>
      <c r="N31" s="80">
        <f t="shared" si="0"/>
        <v>4501.0404172875005</v>
      </c>
      <c r="O31" s="80">
        <f t="shared" si="1"/>
        <v>0</v>
      </c>
      <c r="P31" s="81">
        <f>Valores!$C$19</f>
        <v>3416.5359211200002</v>
      </c>
      <c r="Q31" s="81">
        <f>Valores!$D$4</f>
        <v>2354.08</v>
      </c>
      <c r="R31" s="80">
        <v>0</v>
      </c>
      <c r="S31" s="82">
        <f>Valores!$C$43</f>
        <v>1146.5480996900001</v>
      </c>
      <c r="T31" s="80">
        <f>Valores!$C$23</f>
        <v>2267.09801556</v>
      </c>
      <c r="U31" s="80">
        <f t="shared" si="2"/>
        <v>2267.09801556</v>
      </c>
      <c r="V31" s="80">
        <v>0</v>
      </c>
      <c r="W31" s="80">
        <v>0</v>
      </c>
      <c r="X31" s="115">
        <v>0</v>
      </c>
      <c r="Y31" s="77">
        <f>X31*Valores!$C$2*1.006901</f>
        <v>0</v>
      </c>
      <c r="Z31" s="80">
        <f>SUM(K31,I31,G31,S31)*Valores!$C$3</f>
        <v>4160.9757149534998</v>
      </c>
      <c r="AA31" s="90">
        <f>Valores!$C$29</f>
        <v>132.58872368000002</v>
      </c>
      <c r="AB31" s="80">
        <f t="shared" si="3"/>
        <v>0</v>
      </c>
      <c r="AC31" s="80">
        <f>Valores!$C$30</f>
        <v>132.59</v>
      </c>
      <c r="AD31" s="115">
        <v>0</v>
      </c>
      <c r="AE31" s="77">
        <f>AD31*Valores!$C$2*1.006901</f>
        <v>0</v>
      </c>
      <c r="AF31" s="80">
        <f>Valores!$C$51</f>
        <v>269.71857087000001</v>
      </c>
      <c r="AG31" s="80">
        <f>Valores!$C$52</f>
        <v>77.068202540000016</v>
      </c>
      <c r="AH31" s="80">
        <f>SUM(G31,I31,K31,M31,N31,O31,P31,Q31,R31,S31,U31,V31,W31,Y31,Z31,AA31,AB31,AC31,AE31,AF31,AG31)*Valores!$C$54</f>
        <v>0</v>
      </c>
      <c r="AI31" s="54">
        <f t="shared" si="7"/>
        <v>45051.53366570099</v>
      </c>
      <c r="AJ31" s="81">
        <f>Valores!$C$35</f>
        <v>216.04</v>
      </c>
      <c r="AK31" s="82">
        <f>Valores!$C$9</f>
        <v>308.25267214000002</v>
      </c>
      <c r="AL31" s="90">
        <v>0</v>
      </c>
      <c r="AM31" s="82">
        <f>IF($G$4="SI",SUM(AK31+AL31),AK31)*Valores!$C$54</f>
        <v>0</v>
      </c>
      <c r="AN31" s="184">
        <f t="shared" si="4"/>
        <v>524.29267214000004</v>
      </c>
      <c r="AO31" s="152">
        <f>AI31*-Valores!$C$56</f>
        <v>-5856.6993765411289</v>
      </c>
      <c r="AP31" s="152">
        <f>AI31*-Valores!$C$57</f>
        <v>-225.25766832850496</v>
      </c>
      <c r="AQ31" s="81">
        <f>AI31*-Valores!$C$58</f>
        <v>-2027.3190149565444</v>
      </c>
      <c r="AR31" s="81">
        <f>AI31*-Valores!$C$59</f>
        <v>-1216.3914089739269</v>
      </c>
      <c r="AS31" s="81">
        <f>AI31*-Valores!$C$60</f>
        <v>-135.15460099710296</v>
      </c>
      <c r="AT31" s="54">
        <f t="shared" si="5"/>
        <v>37466.550278014809</v>
      </c>
      <c r="AU31" s="54">
        <f t="shared" si="6"/>
        <v>38142.323283000318</v>
      </c>
      <c r="AV31" s="81">
        <f>AI31*Valores!$C$61</f>
        <v>7208.2453865121588</v>
      </c>
      <c r="AW31" s="81">
        <f>AI31*Valores!$C$62</f>
        <v>2027.3190149565444</v>
      </c>
      <c r="AX31" s="81">
        <f>AI31*Valores!$C$64</f>
        <v>450.51533665700993</v>
      </c>
      <c r="AY31" s="81">
        <f>AI31*Valores!$C$65</f>
        <v>1576.8036782995348</v>
      </c>
      <c r="AZ31" s="81">
        <f>AI31*Valores!$C$66</f>
        <v>270.30920199420592</v>
      </c>
      <c r="BA31" s="81">
        <f t="shared" si="8"/>
        <v>2432.7828179478538</v>
      </c>
      <c r="BB31" s="55"/>
      <c r="BC31" s="55">
        <v>45</v>
      </c>
      <c r="BD31" s="52" t="s">
        <v>466</v>
      </c>
    </row>
    <row r="32" spans="1:56" s="9" customFormat="1" ht="11.25" customHeight="1" x14ac:dyDescent="0.15">
      <c r="A32" s="20">
        <v>31</v>
      </c>
      <c r="B32" s="20"/>
      <c r="C32" s="9" t="s">
        <v>55</v>
      </c>
      <c r="E32" s="10" t="s">
        <v>56</v>
      </c>
      <c r="F32" s="123">
        <v>92</v>
      </c>
      <c r="G32" s="7">
        <f>INT((F32*Valores!$C$2*100*1.006901)+0.5)/100</f>
        <v>484.18</v>
      </c>
      <c r="H32" s="113">
        <v>3483</v>
      </c>
      <c r="I32" s="77">
        <f>INT((H32*Valores!$C$2*100*1.006901)+0.5)/100</f>
        <v>18330.580000000002</v>
      </c>
      <c r="J32" s="143">
        <v>1217</v>
      </c>
      <c r="K32" s="77">
        <f>INT((J32*Valores!$C$2*100*1.006901)+0.5)/100</f>
        <v>6404.91</v>
      </c>
      <c r="L32" s="123">
        <v>0</v>
      </c>
      <c r="M32" s="77">
        <f>INT((L32*Valores!$C$2*100*1.006901)+0.5)/100</f>
        <v>0</v>
      </c>
      <c r="N32" s="77">
        <f t="shared" si="0"/>
        <v>4294.9974172875</v>
      </c>
      <c r="O32" s="77">
        <f t="shared" si="1"/>
        <v>0</v>
      </c>
      <c r="P32" s="78">
        <f>Valores!$C$18</f>
        <v>6219.0535434300009</v>
      </c>
      <c r="Q32" s="78">
        <f>Valores!$D$4</f>
        <v>2354.08</v>
      </c>
      <c r="R32" s="77">
        <v>0</v>
      </c>
      <c r="S32" s="79">
        <f>Valores!$C$43</f>
        <v>1146.5480996900001</v>
      </c>
      <c r="T32" s="77">
        <f>Valores!$C$23</f>
        <v>2267.09801556</v>
      </c>
      <c r="U32" s="77">
        <f t="shared" si="2"/>
        <v>2267.09801556</v>
      </c>
      <c r="V32" s="77">
        <v>0</v>
      </c>
      <c r="W32" s="77">
        <v>0</v>
      </c>
      <c r="X32" s="116">
        <v>0</v>
      </c>
      <c r="Y32" s="77">
        <f>X32*Valores!$C$2*1.006901</f>
        <v>0</v>
      </c>
      <c r="Z32" s="77">
        <v>0</v>
      </c>
      <c r="AA32" s="89">
        <f>Valores!$C$29</f>
        <v>132.58872368000002</v>
      </c>
      <c r="AB32" s="77">
        <f t="shared" si="3"/>
        <v>0</v>
      </c>
      <c r="AC32" s="77">
        <f>Valores!$C$30</f>
        <v>132.59</v>
      </c>
      <c r="AD32" s="116">
        <v>0</v>
      </c>
      <c r="AE32" s="77">
        <f>AD32*Valores!$C$2*1.006901</f>
        <v>0</v>
      </c>
      <c r="AF32" s="77">
        <f>Valores!$C$51</f>
        <v>269.71857087000001</v>
      </c>
      <c r="AG32" s="77">
        <f>Valores!$C$52</f>
        <v>77.068202540000016</v>
      </c>
      <c r="AH32" s="77">
        <f>SUM(G32,I32,K32,M32,N32,O32,P32,Q32,R32,S32,U32,V32,W32,Y32,Z32,AA32,AB32,AC32,AE32,AF32,AG32)*Valores!$C$54</f>
        <v>0</v>
      </c>
      <c r="AI32" s="15">
        <f t="shared" si="7"/>
        <v>42113.412573057496</v>
      </c>
      <c r="AJ32" s="78">
        <f>Valores!$C$35</f>
        <v>216.04</v>
      </c>
      <c r="AK32" s="79">
        <f>Valores!$C$9</f>
        <v>308.25267214000002</v>
      </c>
      <c r="AL32" s="89">
        <v>226.04927450000002</v>
      </c>
      <c r="AM32" s="79">
        <f>IF($G$4="SI",SUM(AK32+AL32),AK32)*Valores!$C$54</f>
        <v>0</v>
      </c>
      <c r="AN32" s="12">
        <f t="shared" si="4"/>
        <v>750.34194664000006</v>
      </c>
      <c r="AO32" s="151">
        <f>AI32*-Valores!$C$56</f>
        <v>-5474.7436344974749</v>
      </c>
      <c r="AP32" s="151">
        <f>AI32*-Valores!$C$57</f>
        <v>-210.56706286528748</v>
      </c>
      <c r="AQ32" s="78">
        <f>AI32*-Valores!$C$58</f>
        <v>-1895.1035657875873</v>
      </c>
      <c r="AR32" s="78">
        <f>AI32*-Valores!$C$59</f>
        <v>-1137.0621394725524</v>
      </c>
      <c r="AS32" s="78">
        <f>AI32*-Valores!$C$60</f>
        <v>-126.34023771917249</v>
      </c>
      <c r="AT32" s="15">
        <f t="shared" si="5"/>
        <v>35283.340256547141</v>
      </c>
      <c r="AU32" s="15">
        <f t="shared" si="6"/>
        <v>35915.041445143004</v>
      </c>
      <c r="AV32" s="78">
        <f>AI32*Valores!$C$61</f>
        <v>6738.1460116891994</v>
      </c>
      <c r="AW32" s="78">
        <f>AI32*Valores!$C$62</f>
        <v>1895.1035657875873</v>
      </c>
      <c r="AX32" s="78">
        <f>AI32*Valores!$C$64</f>
        <v>421.13412573057497</v>
      </c>
      <c r="AY32" s="78">
        <f>AI32*Valores!$C$65</f>
        <v>1473.9694400570124</v>
      </c>
      <c r="AZ32" s="78">
        <f>AI32*Valores!$C$66</f>
        <v>252.68047543834498</v>
      </c>
      <c r="BA32" s="78">
        <f t="shared" si="8"/>
        <v>2274.1242789451048</v>
      </c>
      <c r="BB32" s="20"/>
      <c r="BC32" s="20">
        <v>45</v>
      </c>
      <c r="BD32" s="9" t="s">
        <v>467</v>
      </c>
    </row>
    <row r="33" spans="1:56" s="9" customFormat="1" ht="11.25" customHeight="1" x14ac:dyDescent="0.15">
      <c r="A33" s="20">
        <v>32</v>
      </c>
      <c r="B33" s="20"/>
      <c r="C33" s="9" t="s">
        <v>390</v>
      </c>
      <c r="E33" s="10" t="s">
        <v>391</v>
      </c>
      <c r="F33" s="123">
        <v>85</v>
      </c>
      <c r="G33" s="7">
        <f>INT((F33*Valores!$C$2*100*1.006901)+0.5)/100</f>
        <v>447.34</v>
      </c>
      <c r="H33" s="113">
        <v>3498</v>
      </c>
      <c r="I33" s="77">
        <f>INT((H33*Valores!$C$2*100*1.006901)+0.5)/100</f>
        <v>18409.52</v>
      </c>
      <c r="J33" s="143">
        <v>1209</v>
      </c>
      <c r="K33" s="77">
        <f>INT((J33*Valores!$C$2*100*1.006901)+0.5)/100</f>
        <v>6362.81</v>
      </c>
      <c r="L33" s="123">
        <v>0</v>
      </c>
      <c r="M33" s="77">
        <f>INT((L33*Valores!$C$2*100*1.006901)+0.5)/100</f>
        <v>0</v>
      </c>
      <c r="N33" s="77">
        <f t="shared" si="0"/>
        <v>4294.9974172875</v>
      </c>
      <c r="O33" s="77">
        <f t="shared" si="1"/>
        <v>0</v>
      </c>
      <c r="P33" s="78">
        <f>Valores!$C$18</f>
        <v>6219.0535434300009</v>
      </c>
      <c r="Q33" s="78">
        <f>Valores!$D$4</f>
        <v>2354.08</v>
      </c>
      <c r="R33" s="77">
        <v>0</v>
      </c>
      <c r="S33" s="79">
        <f>Valores!$C$43</f>
        <v>1146.5480996900001</v>
      </c>
      <c r="T33" s="77">
        <f>Valores!$C$23</f>
        <v>2267.09801556</v>
      </c>
      <c r="U33" s="77">
        <f t="shared" si="2"/>
        <v>2267.09801556</v>
      </c>
      <c r="V33" s="77">
        <v>0</v>
      </c>
      <c r="W33" s="77">
        <v>0</v>
      </c>
      <c r="X33" s="116">
        <v>0</v>
      </c>
      <c r="Y33" s="77">
        <f>X33*Valores!$C$2*1.006901</f>
        <v>0</v>
      </c>
      <c r="Z33" s="77">
        <v>0</v>
      </c>
      <c r="AA33" s="89">
        <f>Valores!$C$29</f>
        <v>132.58872368000002</v>
      </c>
      <c r="AB33" s="77">
        <f t="shared" si="3"/>
        <v>0</v>
      </c>
      <c r="AC33" s="77">
        <f>Valores!$C$30</f>
        <v>132.59</v>
      </c>
      <c r="AD33" s="116">
        <v>0</v>
      </c>
      <c r="AE33" s="77">
        <f>AD33*Valores!$C$2*1.006901</f>
        <v>0</v>
      </c>
      <c r="AF33" s="77">
        <f>Valores!$C$51</f>
        <v>269.71857087000001</v>
      </c>
      <c r="AG33" s="77">
        <f>Valores!$C$52</f>
        <v>77.068202540000016</v>
      </c>
      <c r="AH33" s="77">
        <f>SUM(G33,I33,K33,M33,N33,O33,P33,Q33,R33,S33,U33,V33,W33,Y33,Z33,AA33,AB33,AC33,AE33,AF33,AG33)*Valores!$C$54</f>
        <v>0</v>
      </c>
      <c r="AI33" s="15">
        <f t="shared" si="7"/>
        <v>42113.412573057496</v>
      </c>
      <c r="AJ33" s="78">
        <f>Valores!$C$35</f>
        <v>216.04</v>
      </c>
      <c r="AK33" s="79">
        <f>Valores!$C$9</f>
        <v>308.25267214000002</v>
      </c>
      <c r="AL33" s="89">
        <v>226.04927450000002</v>
      </c>
      <c r="AM33" s="79">
        <f>IF($G$4="SI",SUM(AK33+AL33),AK33)*Valores!$C$54</f>
        <v>0</v>
      </c>
      <c r="AN33" s="12">
        <f t="shared" si="4"/>
        <v>750.34194664000006</v>
      </c>
      <c r="AO33" s="151">
        <f>AI33*-Valores!$C$56</f>
        <v>-5474.7436344974749</v>
      </c>
      <c r="AP33" s="151">
        <f>AI33*-Valores!$C$57</f>
        <v>-210.56706286528748</v>
      </c>
      <c r="AQ33" s="78">
        <f>AI33*-Valores!$C$58</f>
        <v>-1895.1035657875873</v>
      </c>
      <c r="AR33" s="78">
        <f>AI33*-Valores!$C$59</f>
        <v>-1137.0621394725524</v>
      </c>
      <c r="AS33" s="78">
        <f>AI33*-Valores!$C$60</f>
        <v>-126.34023771917249</v>
      </c>
      <c r="AT33" s="15">
        <f t="shared" si="5"/>
        <v>35283.340256547141</v>
      </c>
      <c r="AU33" s="15">
        <f t="shared" si="6"/>
        <v>35915.041445143004</v>
      </c>
      <c r="AV33" s="78">
        <f>AI33*Valores!$C$61</f>
        <v>6738.1460116891994</v>
      </c>
      <c r="AW33" s="78">
        <f>AI33*Valores!$C$62</f>
        <v>1895.1035657875873</v>
      </c>
      <c r="AX33" s="78">
        <f>AI33*Valores!$C$64</f>
        <v>421.13412573057497</v>
      </c>
      <c r="AY33" s="78">
        <f>AI33*Valores!$C$65</f>
        <v>1473.9694400570124</v>
      </c>
      <c r="AZ33" s="78">
        <f>AI33*Valores!$C$66</f>
        <v>252.68047543834498</v>
      </c>
      <c r="BA33" s="78">
        <f t="shared" si="8"/>
        <v>2274.1242789451048</v>
      </c>
      <c r="BB33" s="20"/>
      <c r="BC33" s="20">
        <v>45</v>
      </c>
      <c r="BD33" s="9" t="s">
        <v>467</v>
      </c>
    </row>
    <row r="34" spans="1:56" s="9" customFormat="1" ht="11.25" customHeight="1" x14ac:dyDescent="0.15">
      <c r="A34" s="20">
        <v>33</v>
      </c>
      <c r="B34" s="20"/>
      <c r="C34" s="9" t="s">
        <v>57</v>
      </c>
      <c r="E34" s="10" t="s">
        <v>58</v>
      </c>
      <c r="F34" s="123">
        <v>92</v>
      </c>
      <c r="G34" s="7">
        <f>INT((F34*Valores!$C$2*100*1.006901)+0.5)/100</f>
        <v>484.18</v>
      </c>
      <c r="H34" s="113">
        <v>3483</v>
      </c>
      <c r="I34" s="77">
        <f>INT((H34*Valores!$C$2*100*1.006901)+0.5)/100</f>
        <v>18330.580000000002</v>
      </c>
      <c r="J34" s="143">
        <v>1217</v>
      </c>
      <c r="K34" s="77">
        <f>INT((J34*Valores!$C$2*100*1.006901)+0.5)/100</f>
        <v>6404.91</v>
      </c>
      <c r="L34" s="123">
        <v>0</v>
      </c>
      <c r="M34" s="77">
        <f>INT((L34*Valores!$C$2*100*1.006901)+0.5)/100</f>
        <v>0</v>
      </c>
      <c r="N34" s="77">
        <f t="shared" si="0"/>
        <v>4294.9974172875</v>
      </c>
      <c r="O34" s="77">
        <f t="shared" si="1"/>
        <v>0</v>
      </c>
      <c r="P34" s="78">
        <f>Valores!$C$18</f>
        <v>6219.0535434300009</v>
      </c>
      <c r="Q34" s="78">
        <f>Valores!$D$4</f>
        <v>2354.08</v>
      </c>
      <c r="R34" s="77">
        <v>0</v>
      </c>
      <c r="S34" s="79">
        <f>Valores!$C$43</f>
        <v>1146.5480996900001</v>
      </c>
      <c r="T34" s="77">
        <f>Valores!$C$23</f>
        <v>2267.09801556</v>
      </c>
      <c r="U34" s="77">
        <f t="shared" si="2"/>
        <v>2267.09801556</v>
      </c>
      <c r="V34" s="77">
        <v>0</v>
      </c>
      <c r="W34" s="77">
        <v>0</v>
      </c>
      <c r="X34" s="116">
        <v>0</v>
      </c>
      <c r="Y34" s="77">
        <f>X34*Valores!$C$2*1.006901</f>
        <v>0</v>
      </c>
      <c r="Z34" s="77">
        <v>0</v>
      </c>
      <c r="AA34" s="89">
        <f>Valores!$C$29</f>
        <v>132.58872368000002</v>
      </c>
      <c r="AB34" s="77">
        <f>SUM(G34,I34,K34,Y34,S34,M34)*$G$3/100</f>
        <v>0</v>
      </c>
      <c r="AC34" s="77">
        <f>Valores!$C$30</f>
        <v>132.59</v>
      </c>
      <c r="AD34" s="116">
        <v>0</v>
      </c>
      <c r="AE34" s="77">
        <f>AD34*Valores!$C$2*1.006901</f>
        <v>0</v>
      </c>
      <c r="AF34" s="77">
        <f>Valores!$C$51</f>
        <v>269.71857087000001</v>
      </c>
      <c r="AG34" s="77">
        <f>Valores!$C$52</f>
        <v>77.068202540000016</v>
      </c>
      <c r="AH34" s="77">
        <f>SUM(G34,I34,K34,M34,N34,O34,P34,Q34,R34,S34,U34,V34,W34,Y34,Z34,AA34,AB34,AC34,AE34,AF34,AG34)*Valores!$C$54</f>
        <v>0</v>
      </c>
      <c r="AI34" s="15">
        <f t="shared" si="7"/>
        <v>42113.412573057496</v>
      </c>
      <c r="AJ34" s="78">
        <f>Valores!$C$35</f>
        <v>216.04</v>
      </c>
      <c r="AK34" s="79">
        <f>Valores!$C$9</f>
        <v>308.25267214000002</v>
      </c>
      <c r="AL34" s="89">
        <v>0</v>
      </c>
      <c r="AM34" s="79">
        <f>IF($G$4="SI",SUM(AK34+AL34),AK34)*Valores!$C$54</f>
        <v>0</v>
      </c>
      <c r="AN34" s="12">
        <f t="shared" si="4"/>
        <v>524.29267214000004</v>
      </c>
      <c r="AO34" s="151">
        <f>AI34*-Valores!$C$56</f>
        <v>-5474.7436344974749</v>
      </c>
      <c r="AP34" s="151">
        <f>AI34*-Valores!$C$57</f>
        <v>-210.56706286528748</v>
      </c>
      <c r="AQ34" s="78">
        <f>AI34*-Valores!$C$58</f>
        <v>-1895.1035657875873</v>
      </c>
      <c r="AR34" s="78">
        <f>AI34*-Valores!$C$59</f>
        <v>-1137.0621394725524</v>
      </c>
      <c r="AS34" s="78">
        <f>AI34*-Valores!$C$60</f>
        <v>-126.34023771917249</v>
      </c>
      <c r="AT34" s="15">
        <f t="shared" si="5"/>
        <v>35057.290982047147</v>
      </c>
      <c r="AU34" s="15">
        <f t="shared" si="6"/>
        <v>35688.992170643003</v>
      </c>
      <c r="AV34" s="78">
        <f>AI34*Valores!$C$61</f>
        <v>6738.1460116891994</v>
      </c>
      <c r="AW34" s="78">
        <f>AI34*Valores!$C$62</f>
        <v>1895.1035657875873</v>
      </c>
      <c r="AX34" s="78">
        <f>AI34*Valores!$C$64</f>
        <v>421.13412573057497</v>
      </c>
      <c r="AY34" s="78">
        <f>AI34*Valores!$C$65</f>
        <v>1473.9694400570124</v>
      </c>
      <c r="AZ34" s="78">
        <f>AI34*Valores!$C$66</f>
        <v>252.68047543834498</v>
      </c>
      <c r="BA34" s="78">
        <f t="shared" si="8"/>
        <v>2274.1242789451048</v>
      </c>
      <c r="BB34" s="20"/>
      <c r="BC34" s="20">
        <v>45</v>
      </c>
      <c r="BD34" s="9" t="s">
        <v>467</v>
      </c>
    </row>
    <row r="35" spans="1:56" s="9" customFormat="1" ht="11.25" customHeight="1" x14ac:dyDescent="0.15">
      <c r="A35" s="20">
        <v>34</v>
      </c>
      <c r="B35" s="20"/>
      <c r="C35" s="9" t="s">
        <v>59</v>
      </c>
      <c r="E35" s="10" t="s">
        <v>60</v>
      </c>
      <c r="F35" s="123">
        <v>85</v>
      </c>
      <c r="G35" s="7">
        <f>INT((F35*Valores!$C$2*100*1.006901)+0.5)/100</f>
        <v>447.34</v>
      </c>
      <c r="H35" s="113">
        <v>3498</v>
      </c>
      <c r="I35" s="77">
        <f>INT((H35*Valores!$C$2*100*1.006901)+0.5)/100</f>
        <v>18409.52</v>
      </c>
      <c r="J35" s="143">
        <v>1209</v>
      </c>
      <c r="K35" s="77">
        <f>INT((J35*Valores!$C$2*100*1.006901)+0.5)/100</f>
        <v>6362.81</v>
      </c>
      <c r="L35" s="123">
        <v>0</v>
      </c>
      <c r="M35" s="77">
        <f>INT((L35*Valores!$C$2*100*1.006901)+0.5)/100</f>
        <v>0</v>
      </c>
      <c r="N35" s="77">
        <f t="shared" si="0"/>
        <v>4294.9974172875</v>
      </c>
      <c r="O35" s="77">
        <f t="shared" si="1"/>
        <v>0</v>
      </c>
      <c r="P35" s="78">
        <f>Valores!$C$18</f>
        <v>6219.0535434300009</v>
      </c>
      <c r="Q35" s="78">
        <f>Valores!$D$4</f>
        <v>2354.08</v>
      </c>
      <c r="R35" s="77">
        <v>0</v>
      </c>
      <c r="S35" s="79">
        <f>Valores!$C$43</f>
        <v>1146.5480996900001</v>
      </c>
      <c r="T35" s="77">
        <f>Valores!$C$23</f>
        <v>2267.09801556</v>
      </c>
      <c r="U35" s="77">
        <f t="shared" si="2"/>
        <v>2267.09801556</v>
      </c>
      <c r="V35" s="77">
        <v>0</v>
      </c>
      <c r="W35" s="77">
        <v>0</v>
      </c>
      <c r="X35" s="116">
        <v>0</v>
      </c>
      <c r="Y35" s="77">
        <f>X35*Valores!$C$2*1.006901</f>
        <v>0</v>
      </c>
      <c r="Z35" s="77">
        <v>0</v>
      </c>
      <c r="AA35" s="89">
        <f>Valores!$C$29</f>
        <v>132.58872368000002</v>
      </c>
      <c r="AB35" s="77">
        <f t="shared" si="3"/>
        <v>0</v>
      </c>
      <c r="AC35" s="77">
        <f>Valores!$C$30</f>
        <v>132.59</v>
      </c>
      <c r="AD35" s="116">
        <v>0</v>
      </c>
      <c r="AE35" s="77">
        <f>AD35*Valores!$C$2*1.006901</f>
        <v>0</v>
      </c>
      <c r="AF35" s="77">
        <f>Valores!$C$51</f>
        <v>269.71857087000001</v>
      </c>
      <c r="AG35" s="77">
        <f>Valores!$C$52</f>
        <v>77.068202540000016</v>
      </c>
      <c r="AH35" s="77">
        <f>SUM(G35,I35,K35,M35,N35,O35,P35,Q35,R35,S35,U35,V35,W35,Y35,Z35,AA35,AB35,AC35,AE35,AF35,AG35)*Valores!$C$54</f>
        <v>0</v>
      </c>
      <c r="AI35" s="15">
        <f t="shared" si="7"/>
        <v>42113.412573057496</v>
      </c>
      <c r="AJ35" s="78">
        <f>Valores!$C$35</f>
        <v>216.04</v>
      </c>
      <c r="AK35" s="79">
        <f>Valores!$C$9</f>
        <v>308.25267214000002</v>
      </c>
      <c r="AL35" s="89">
        <v>0</v>
      </c>
      <c r="AM35" s="79">
        <f>IF($G$4="SI",SUM(AK35+AL35),AK35)*Valores!$C$54</f>
        <v>0</v>
      </c>
      <c r="AN35" s="12">
        <f t="shared" si="4"/>
        <v>524.29267214000004</v>
      </c>
      <c r="AO35" s="151">
        <f>AI35*-Valores!$C$56</f>
        <v>-5474.7436344974749</v>
      </c>
      <c r="AP35" s="151">
        <f>AI35*-Valores!$C$57</f>
        <v>-210.56706286528748</v>
      </c>
      <c r="AQ35" s="78">
        <f>AI35*-Valores!$C$58</f>
        <v>-1895.1035657875873</v>
      </c>
      <c r="AR35" s="78">
        <f>AI35*-Valores!$C$59</f>
        <v>-1137.0621394725524</v>
      </c>
      <c r="AS35" s="78">
        <f>AI35*-Valores!$C$60</f>
        <v>-126.34023771917249</v>
      </c>
      <c r="AT35" s="15">
        <f t="shared" si="5"/>
        <v>35057.290982047147</v>
      </c>
      <c r="AU35" s="15">
        <f t="shared" si="6"/>
        <v>35688.992170643003</v>
      </c>
      <c r="AV35" s="78">
        <f>AI35*Valores!$C$61</f>
        <v>6738.1460116891994</v>
      </c>
      <c r="AW35" s="78">
        <f>AI35*Valores!$C$62</f>
        <v>1895.1035657875873</v>
      </c>
      <c r="AX35" s="78">
        <f>AI35*Valores!$C$64</f>
        <v>421.13412573057497</v>
      </c>
      <c r="AY35" s="78">
        <f>AI35*Valores!$C$65</f>
        <v>1473.9694400570124</v>
      </c>
      <c r="AZ35" s="78">
        <f>AI35*Valores!$C$66</f>
        <v>252.68047543834498</v>
      </c>
      <c r="BA35" s="78">
        <f t="shared" si="8"/>
        <v>2274.1242789451048</v>
      </c>
      <c r="BB35" s="20"/>
      <c r="BC35" s="20">
        <v>45</v>
      </c>
      <c r="BD35" s="9" t="s">
        <v>466</v>
      </c>
    </row>
    <row r="36" spans="1:56" s="9" customFormat="1" ht="11.25" customHeight="1" x14ac:dyDescent="0.15">
      <c r="A36" s="55">
        <v>35</v>
      </c>
      <c r="B36" s="55" t="s">
        <v>462</v>
      </c>
      <c r="C36" s="52" t="s">
        <v>61</v>
      </c>
      <c r="D36" s="52"/>
      <c r="E36" s="53" t="s">
        <v>62</v>
      </c>
      <c r="F36" s="124">
        <v>92</v>
      </c>
      <c r="G36" s="7">
        <f>INT((F36*Valores!$C$2*100*1.006901)+0.5)/100</f>
        <v>484.18</v>
      </c>
      <c r="H36" s="114">
        <v>3483</v>
      </c>
      <c r="I36" s="77">
        <f>INT((H36*Valores!$C$2*100*1.006901)+0.5)/100</f>
        <v>18330.580000000002</v>
      </c>
      <c r="J36" s="144">
        <v>1217</v>
      </c>
      <c r="K36" s="77">
        <f>INT((J36*Valores!$C$2*100*1.006901)+0.5)/100</f>
        <v>6404.91</v>
      </c>
      <c r="L36" s="124">
        <v>0</v>
      </c>
      <c r="M36" s="77">
        <f>INT((L36*Valores!$C$2*100*1.006901)+0.5)/100</f>
        <v>0</v>
      </c>
      <c r="N36" s="80">
        <f t="shared" si="0"/>
        <v>4294.9974172875</v>
      </c>
      <c r="O36" s="80">
        <f t="shared" si="1"/>
        <v>0</v>
      </c>
      <c r="P36" s="81">
        <f>Valores!$C$18</f>
        <v>6219.0535434300009</v>
      </c>
      <c r="Q36" s="81">
        <f>Valores!$D$4</f>
        <v>2354.08</v>
      </c>
      <c r="R36" s="80">
        <v>0</v>
      </c>
      <c r="S36" s="82">
        <f>Valores!$C$43</f>
        <v>1146.5480996900001</v>
      </c>
      <c r="T36" s="80">
        <f>Valores!$C$23</f>
        <v>2267.09801556</v>
      </c>
      <c r="U36" s="80">
        <f t="shared" si="2"/>
        <v>2267.09801556</v>
      </c>
      <c r="V36" s="80">
        <v>0</v>
      </c>
      <c r="W36" s="80">
        <v>0</v>
      </c>
      <c r="X36" s="115">
        <v>0</v>
      </c>
      <c r="Y36" s="77">
        <f>X36*Valores!$C$2*1.006901</f>
        <v>0</v>
      </c>
      <c r="Z36" s="80">
        <f>SUM(K36,I36,G36,S36)*Valores!$C$3</f>
        <v>3954.9327149535002</v>
      </c>
      <c r="AA36" s="90">
        <f>Valores!$C$29</f>
        <v>132.58872368000002</v>
      </c>
      <c r="AB36" s="80">
        <f t="shared" si="3"/>
        <v>0</v>
      </c>
      <c r="AC36" s="80">
        <f>Valores!$C$30</f>
        <v>132.59</v>
      </c>
      <c r="AD36" s="115">
        <v>0</v>
      </c>
      <c r="AE36" s="77">
        <f>AD36*Valores!$C$2*1.006901</f>
        <v>0</v>
      </c>
      <c r="AF36" s="80">
        <f>Valores!$C$51</f>
        <v>269.71857087000001</v>
      </c>
      <c r="AG36" s="80">
        <f>Valores!$C$52</f>
        <v>77.068202540000016</v>
      </c>
      <c r="AH36" s="80">
        <f>SUM(G36,I36,K36,M36,N36,O36,P36,Q36,R36,S36,U36,V36,W36,Y36,Z36,AA36,AB36,AC36,AE36,AF36,AG36)*Valores!$C$54</f>
        <v>0</v>
      </c>
      <c r="AI36" s="54">
        <f t="shared" si="7"/>
        <v>46068.345288010998</v>
      </c>
      <c r="AJ36" s="81">
        <f>Valores!$C$35</f>
        <v>216.04</v>
      </c>
      <c r="AK36" s="82">
        <f>Valores!$C$9</f>
        <v>308.25267214000002</v>
      </c>
      <c r="AL36" s="90">
        <v>0</v>
      </c>
      <c r="AM36" s="82">
        <f>IF($G$4="SI",SUM(AK36+AL36),AK36)*Valores!$C$54</f>
        <v>0</v>
      </c>
      <c r="AN36" s="184">
        <f t="shared" si="4"/>
        <v>524.29267214000004</v>
      </c>
      <c r="AO36" s="152">
        <f>AI36*-Valores!$C$56</f>
        <v>-5988.8848874414298</v>
      </c>
      <c r="AP36" s="152">
        <f>AI36*-Valores!$C$57</f>
        <v>-230.341726440055</v>
      </c>
      <c r="AQ36" s="81">
        <f>AI36*-Valores!$C$58</f>
        <v>-2073.0755379604948</v>
      </c>
      <c r="AR36" s="81">
        <f>AI36*-Valores!$C$59</f>
        <v>-1243.8453227762971</v>
      </c>
      <c r="AS36" s="81">
        <f>AI36*-Valores!$C$60</f>
        <v>-138.20503586403299</v>
      </c>
      <c r="AT36" s="54">
        <f t="shared" si="5"/>
        <v>38300.335808309013</v>
      </c>
      <c r="AU36" s="54">
        <f t="shared" si="6"/>
        <v>38991.360987629181</v>
      </c>
      <c r="AV36" s="81">
        <f>AI36*Valores!$C$61</f>
        <v>7370.9352460817599</v>
      </c>
      <c r="AW36" s="81">
        <f>AI36*Valores!$C$62</f>
        <v>2073.0755379604948</v>
      </c>
      <c r="AX36" s="81">
        <f>AI36*Valores!$C$64</f>
        <v>460.68345288011</v>
      </c>
      <c r="AY36" s="81">
        <f>AI36*Valores!$C$65</f>
        <v>1612.3920850803852</v>
      </c>
      <c r="AZ36" s="81">
        <f>AI36*Valores!$C$66</f>
        <v>276.41007172806599</v>
      </c>
      <c r="BA36" s="81">
        <f t="shared" si="8"/>
        <v>2487.6906455525941</v>
      </c>
      <c r="BB36" s="55"/>
      <c r="BC36" s="55">
        <v>45</v>
      </c>
      <c r="BD36" s="52" t="s">
        <v>466</v>
      </c>
    </row>
    <row r="37" spans="1:56" s="9" customFormat="1" ht="11.25" customHeight="1" x14ac:dyDescent="0.15">
      <c r="A37" s="20">
        <v>36</v>
      </c>
      <c r="B37" s="20"/>
      <c r="C37" s="9" t="s">
        <v>63</v>
      </c>
      <c r="E37" s="10" t="s">
        <v>64</v>
      </c>
      <c r="F37" s="123">
        <v>85</v>
      </c>
      <c r="G37" s="7">
        <f>INT((F37*Valores!$C$2*100*1.006901)+0.5)/100</f>
        <v>447.34</v>
      </c>
      <c r="H37" s="113">
        <v>3498</v>
      </c>
      <c r="I37" s="77">
        <f>INT((H37*Valores!$C$2*100*1.006901)+0.5)/100</f>
        <v>18409.52</v>
      </c>
      <c r="J37" s="143">
        <v>202</v>
      </c>
      <c r="K37" s="77">
        <f>INT((J37*Valores!$C$2*100*1.006901)+0.5)/100</f>
        <v>1063.0999999999999</v>
      </c>
      <c r="L37" s="123">
        <v>0</v>
      </c>
      <c r="M37" s="77">
        <f>INT((L37*Valores!$C$2*100*1.006901)+0.5)/100</f>
        <v>0</v>
      </c>
      <c r="N37" s="77">
        <f t="shared" si="0"/>
        <v>3500.0409172875002</v>
      </c>
      <c r="O37" s="77">
        <f t="shared" si="1"/>
        <v>0</v>
      </c>
      <c r="P37" s="78">
        <f>Valores!$C$18</f>
        <v>6219.0535434300009</v>
      </c>
      <c r="Q37" s="78">
        <f>Valores!$D$4</f>
        <v>2354.08</v>
      </c>
      <c r="R37" s="77">
        <v>0</v>
      </c>
      <c r="S37" s="79">
        <f>Valores!$C$43</f>
        <v>1146.5480996900001</v>
      </c>
      <c r="T37" s="77">
        <f>Valores!$C$23</f>
        <v>2267.09801556</v>
      </c>
      <c r="U37" s="77">
        <f t="shared" si="2"/>
        <v>2267.09801556</v>
      </c>
      <c r="V37" s="77">
        <v>0</v>
      </c>
      <c r="W37" s="77">
        <v>0</v>
      </c>
      <c r="X37" s="116">
        <v>0</v>
      </c>
      <c r="Y37" s="77">
        <f>X37*Valores!$C$2*1.006901</f>
        <v>0</v>
      </c>
      <c r="Z37" s="77">
        <v>0</v>
      </c>
      <c r="AA37" s="89">
        <f>Valores!$C$29</f>
        <v>132.58872368000002</v>
      </c>
      <c r="AB37" s="77">
        <f t="shared" si="3"/>
        <v>0</v>
      </c>
      <c r="AC37" s="77">
        <f>Valores!$C$30</f>
        <v>132.59</v>
      </c>
      <c r="AD37" s="116">
        <v>0</v>
      </c>
      <c r="AE37" s="77">
        <f>AD37*Valores!$C$2*1.006901</f>
        <v>0</v>
      </c>
      <c r="AF37" s="77">
        <f>Valores!$C$51</f>
        <v>269.71857087000001</v>
      </c>
      <c r="AG37" s="77">
        <f>Valores!$C$52</f>
        <v>77.068202540000016</v>
      </c>
      <c r="AH37" s="77">
        <f>SUM(G37,I37,K37,M37,N37,O37,P37,Q37,R37,S37,U37,V37,W37,Y37,Z37,AA37,AB37,AC37,AE37,AF37,AG37)*Valores!$C$54</f>
        <v>0</v>
      </c>
      <c r="AI37" s="15">
        <f t="shared" si="7"/>
        <v>36018.746073057489</v>
      </c>
      <c r="AJ37" s="78">
        <f>Valores!$C$35</f>
        <v>216.04</v>
      </c>
      <c r="AK37" s="79">
        <f>Valores!$C$9</f>
        <v>308.25267214000002</v>
      </c>
      <c r="AL37" s="89">
        <v>0</v>
      </c>
      <c r="AM37" s="79">
        <f>IF($G$4="SI",SUM(AK37+AL37),AK37)*Valores!$C$54</f>
        <v>0</v>
      </c>
      <c r="AN37" s="12">
        <f t="shared" si="4"/>
        <v>524.29267214000004</v>
      </c>
      <c r="AO37" s="151">
        <f>AI37*-Valores!$C$56</f>
        <v>-4682.4369894974734</v>
      </c>
      <c r="AP37" s="151">
        <f>AI37*-Valores!$C$57</f>
        <v>-180.09373036528746</v>
      </c>
      <c r="AQ37" s="78">
        <f>AI37*-Valores!$C$58</f>
        <v>-1620.8435732875869</v>
      </c>
      <c r="AR37" s="78">
        <f>AI37*-Valores!$C$59</f>
        <v>-972.50614397255231</v>
      </c>
      <c r="AS37" s="78">
        <f>AI37*-Valores!$C$60</f>
        <v>-108.05623821917247</v>
      </c>
      <c r="AT37" s="15">
        <f t="shared" si="5"/>
        <v>30059.664452047138</v>
      </c>
      <c r="AU37" s="15">
        <f t="shared" si="6"/>
        <v>30599.945643143001</v>
      </c>
      <c r="AV37" s="78">
        <f>AI37*Valores!$C$61</f>
        <v>5762.9993716891986</v>
      </c>
      <c r="AW37" s="78">
        <f>AI37*Valores!$C$62</f>
        <v>1620.8435732875869</v>
      </c>
      <c r="AX37" s="78">
        <f>AI37*Valores!$C$64</f>
        <v>360.18746073057491</v>
      </c>
      <c r="AY37" s="78">
        <f>AI37*Valores!$C$65</f>
        <v>1260.6561125570122</v>
      </c>
      <c r="AZ37" s="78">
        <f>AI37*Valores!$C$66</f>
        <v>216.11247643834494</v>
      </c>
      <c r="BA37" s="78">
        <f t="shared" si="8"/>
        <v>1945.0122879451044</v>
      </c>
      <c r="BB37" s="20"/>
      <c r="BC37" s="20">
        <v>45</v>
      </c>
      <c r="BD37" s="9" t="s">
        <v>466</v>
      </c>
    </row>
    <row r="38" spans="1:56" s="9" customFormat="1" ht="11.25" customHeight="1" x14ac:dyDescent="0.15">
      <c r="A38" s="20">
        <v>37</v>
      </c>
      <c r="B38" s="20"/>
      <c r="C38" s="9" t="s">
        <v>65</v>
      </c>
      <c r="E38" s="10" t="s">
        <v>66</v>
      </c>
      <c r="F38" s="123">
        <v>85</v>
      </c>
      <c r="G38" s="7">
        <f>INT((F38*Valores!$C$2*100*1.006901)+0.5)/100</f>
        <v>447.34</v>
      </c>
      <c r="H38" s="113">
        <v>3498</v>
      </c>
      <c r="I38" s="77">
        <f>INT((H38*Valores!$C$2*100*1.006901)+0.5)/100</f>
        <v>18409.52</v>
      </c>
      <c r="J38" s="143">
        <v>1209</v>
      </c>
      <c r="K38" s="77">
        <f>INT((J38*Valores!$C$2*100*1.006901)+0.5)/100</f>
        <v>6362.81</v>
      </c>
      <c r="L38" s="123">
        <v>0</v>
      </c>
      <c r="M38" s="77">
        <f>INT((L38*Valores!$C$2*100*1.006901)+0.5)/100</f>
        <v>0</v>
      </c>
      <c r="N38" s="77">
        <f t="shared" si="0"/>
        <v>4294.9974172875</v>
      </c>
      <c r="O38" s="77">
        <f t="shared" si="1"/>
        <v>0</v>
      </c>
      <c r="P38" s="78">
        <f>Valores!$C$18</f>
        <v>6219.0535434300009</v>
      </c>
      <c r="Q38" s="78">
        <f>Valores!$D$4</f>
        <v>2354.08</v>
      </c>
      <c r="R38" s="77">
        <v>0</v>
      </c>
      <c r="S38" s="79">
        <f>Valores!$C$43</f>
        <v>1146.5480996900001</v>
      </c>
      <c r="T38" s="77">
        <f>Valores!$C$23</f>
        <v>2267.09801556</v>
      </c>
      <c r="U38" s="77">
        <f t="shared" si="2"/>
        <v>2267.09801556</v>
      </c>
      <c r="V38" s="77">
        <v>0</v>
      </c>
      <c r="W38" s="77">
        <v>0</v>
      </c>
      <c r="X38" s="116">
        <v>0</v>
      </c>
      <c r="Y38" s="77">
        <f>X38*Valores!$C$2*1.006901</f>
        <v>0</v>
      </c>
      <c r="Z38" s="77">
        <v>0</v>
      </c>
      <c r="AA38" s="89">
        <f>Valores!$C$29</f>
        <v>132.58872368000002</v>
      </c>
      <c r="AB38" s="77">
        <f t="shared" si="3"/>
        <v>0</v>
      </c>
      <c r="AC38" s="77">
        <f>Valores!$C$30</f>
        <v>132.59</v>
      </c>
      <c r="AD38" s="116">
        <v>0</v>
      </c>
      <c r="AE38" s="77">
        <f>AD38*Valores!$C$2*1.006901</f>
        <v>0</v>
      </c>
      <c r="AF38" s="77">
        <f>Valores!$C$51</f>
        <v>269.71857087000001</v>
      </c>
      <c r="AG38" s="77">
        <f>Valores!$C$52</f>
        <v>77.068202540000016</v>
      </c>
      <c r="AH38" s="77">
        <f>SUM(G38,I38,K38,M38,N38,O38,P38,Q38,R38,S38,U38,V38,W38,Y38,Z38,AA38,AB38,AC38,AE38,AF38,AG38)*Valores!$C$54</f>
        <v>0</v>
      </c>
      <c r="AI38" s="15">
        <f t="shared" si="7"/>
        <v>42113.412573057496</v>
      </c>
      <c r="AJ38" s="78">
        <f>Valores!$C$35</f>
        <v>216.04</v>
      </c>
      <c r="AK38" s="79">
        <f>Valores!$C$9</f>
        <v>308.25267214000002</v>
      </c>
      <c r="AL38" s="89">
        <v>226.04927450000002</v>
      </c>
      <c r="AM38" s="79">
        <f>IF($G$4="SI",SUM(AK38+AL38),AK38)*Valores!$C$54</f>
        <v>0</v>
      </c>
      <c r="AN38" s="12">
        <f t="shared" si="4"/>
        <v>750.34194664000006</v>
      </c>
      <c r="AO38" s="151">
        <f>AI38*-Valores!$C$56</f>
        <v>-5474.7436344974749</v>
      </c>
      <c r="AP38" s="151">
        <f>AI38*-Valores!$C$57</f>
        <v>-210.56706286528748</v>
      </c>
      <c r="AQ38" s="78">
        <f>AI38*-Valores!$C$58</f>
        <v>-1895.1035657875873</v>
      </c>
      <c r="AR38" s="78">
        <f>AI38*-Valores!$C$59</f>
        <v>-1137.0621394725524</v>
      </c>
      <c r="AS38" s="78">
        <f>AI38*-Valores!$C$60</f>
        <v>-126.34023771917249</v>
      </c>
      <c r="AT38" s="15">
        <f t="shared" si="5"/>
        <v>35283.340256547141</v>
      </c>
      <c r="AU38" s="15">
        <f t="shared" si="6"/>
        <v>35915.041445143004</v>
      </c>
      <c r="AV38" s="78">
        <f>AI38*Valores!$C$61</f>
        <v>6738.1460116891994</v>
      </c>
      <c r="AW38" s="78">
        <f>AI38*Valores!$C$62</f>
        <v>1895.1035657875873</v>
      </c>
      <c r="AX38" s="78">
        <f>AI38*Valores!$C$64</f>
        <v>421.13412573057497</v>
      </c>
      <c r="AY38" s="78">
        <f>AI38*Valores!$C$65</f>
        <v>1473.9694400570124</v>
      </c>
      <c r="AZ38" s="78">
        <f>AI38*Valores!$C$66</f>
        <v>252.68047543834498</v>
      </c>
      <c r="BA38" s="78">
        <f t="shared" si="8"/>
        <v>2274.1242789451048</v>
      </c>
      <c r="BB38" s="20"/>
      <c r="BC38" s="20">
        <v>45</v>
      </c>
      <c r="BD38" s="9" t="s">
        <v>467</v>
      </c>
    </row>
    <row r="39" spans="1:56" s="9" customFormat="1" ht="11.25" customHeight="1" x14ac:dyDescent="0.15">
      <c r="A39" s="20">
        <v>38</v>
      </c>
      <c r="B39" s="20"/>
      <c r="C39" s="9" t="s">
        <v>67</v>
      </c>
      <c r="E39" s="10" t="s">
        <v>68</v>
      </c>
      <c r="F39" s="123">
        <v>85</v>
      </c>
      <c r="G39" s="7">
        <f>INT((F39*Valores!$C$2*100*1.006901)+0.5)/100</f>
        <v>447.34</v>
      </c>
      <c r="H39" s="113">
        <v>3498</v>
      </c>
      <c r="I39" s="77">
        <f>INT((H39*Valores!$C$2*100*1.006901)+0.5)/100</f>
        <v>18409.52</v>
      </c>
      <c r="J39" s="143">
        <v>1209</v>
      </c>
      <c r="K39" s="77">
        <f>INT((J39*Valores!$C$2*100*1.006901)+0.5)/100</f>
        <v>6362.81</v>
      </c>
      <c r="L39" s="123">
        <v>0</v>
      </c>
      <c r="M39" s="77">
        <f>INT((L39*Valores!$C$2*100*1.006901)+0.5)/100</f>
        <v>0</v>
      </c>
      <c r="N39" s="77">
        <f t="shared" si="0"/>
        <v>4294.9974172875</v>
      </c>
      <c r="O39" s="77">
        <f t="shared" si="1"/>
        <v>0</v>
      </c>
      <c r="P39" s="78">
        <f>Valores!$C$18</f>
        <v>6219.0535434300009</v>
      </c>
      <c r="Q39" s="78">
        <f>Valores!$D$4</f>
        <v>2354.08</v>
      </c>
      <c r="R39" s="77">
        <v>0</v>
      </c>
      <c r="S39" s="79">
        <f>Valores!$C$43</f>
        <v>1146.5480996900001</v>
      </c>
      <c r="T39" s="77">
        <f>Valores!$C$23</f>
        <v>2267.09801556</v>
      </c>
      <c r="U39" s="77">
        <f t="shared" si="2"/>
        <v>2267.09801556</v>
      </c>
      <c r="V39" s="77">
        <v>0</v>
      </c>
      <c r="W39" s="77">
        <v>0</v>
      </c>
      <c r="X39" s="116">
        <v>0</v>
      </c>
      <c r="Y39" s="77">
        <f>X39*Valores!$C$2*1.006901</f>
        <v>0</v>
      </c>
      <c r="Z39" s="77">
        <v>0</v>
      </c>
      <c r="AA39" s="89">
        <f>Valores!$C$29</f>
        <v>132.58872368000002</v>
      </c>
      <c r="AB39" s="77">
        <f t="shared" si="3"/>
        <v>0</v>
      </c>
      <c r="AC39" s="77">
        <f>Valores!$C$30</f>
        <v>132.59</v>
      </c>
      <c r="AD39" s="116">
        <v>0</v>
      </c>
      <c r="AE39" s="77">
        <f>AD39*Valores!$C$2*1.006901</f>
        <v>0</v>
      </c>
      <c r="AF39" s="77">
        <f>Valores!$C$51</f>
        <v>269.71857087000001</v>
      </c>
      <c r="AG39" s="77">
        <f>Valores!$C$52</f>
        <v>77.068202540000016</v>
      </c>
      <c r="AH39" s="77">
        <f>SUM(G39,I39,K39,M39,N39,O39,P39,Q39,R39,S39,U39,V39,W39,Y39,Z39,AA39,AB39,AC39,AE39,AF39,AG39)*Valores!$C$54</f>
        <v>0</v>
      </c>
      <c r="AI39" s="15">
        <f t="shared" si="7"/>
        <v>42113.412573057496</v>
      </c>
      <c r="AJ39" s="78">
        <f>Valores!$C$35</f>
        <v>216.04</v>
      </c>
      <c r="AK39" s="79">
        <f>Valores!$C$9</f>
        <v>308.25267214000002</v>
      </c>
      <c r="AL39" s="89">
        <v>0</v>
      </c>
      <c r="AM39" s="79">
        <f>IF($G$4="SI",SUM(AK39+AL39),AK39)*Valores!$C$54</f>
        <v>0</v>
      </c>
      <c r="AN39" s="12">
        <f t="shared" si="4"/>
        <v>524.29267214000004</v>
      </c>
      <c r="AO39" s="151">
        <f>AI39*-Valores!$C$56</f>
        <v>-5474.7436344974749</v>
      </c>
      <c r="AP39" s="151">
        <f>AI39*-Valores!$C$57</f>
        <v>-210.56706286528748</v>
      </c>
      <c r="AQ39" s="78">
        <f>AI39*-Valores!$C$58</f>
        <v>-1895.1035657875873</v>
      </c>
      <c r="AR39" s="78">
        <f>AI39*-Valores!$C$59</f>
        <v>-1137.0621394725524</v>
      </c>
      <c r="AS39" s="78">
        <f>AI39*-Valores!$C$60</f>
        <v>-126.34023771917249</v>
      </c>
      <c r="AT39" s="15">
        <f t="shared" si="5"/>
        <v>35057.290982047147</v>
      </c>
      <c r="AU39" s="15">
        <f t="shared" si="6"/>
        <v>35688.992170643003</v>
      </c>
      <c r="AV39" s="78">
        <f>AI39*Valores!$C$61</f>
        <v>6738.1460116891994</v>
      </c>
      <c r="AW39" s="78">
        <f>AI39*Valores!$C$62</f>
        <v>1895.1035657875873</v>
      </c>
      <c r="AX39" s="78">
        <f>AI39*Valores!$C$64</f>
        <v>421.13412573057497</v>
      </c>
      <c r="AY39" s="78">
        <f>AI39*Valores!$C$65</f>
        <v>1473.9694400570124</v>
      </c>
      <c r="AZ39" s="78">
        <f>AI39*Valores!$C$66</f>
        <v>252.68047543834498</v>
      </c>
      <c r="BA39" s="78">
        <f t="shared" si="8"/>
        <v>2274.1242789451048</v>
      </c>
      <c r="BB39" s="20"/>
      <c r="BC39" s="20">
        <v>45</v>
      </c>
      <c r="BD39" s="9" t="s">
        <v>466</v>
      </c>
    </row>
    <row r="40" spans="1:56" s="9" customFormat="1" ht="11.25" customHeight="1" x14ac:dyDescent="0.15">
      <c r="A40" s="20">
        <v>39</v>
      </c>
      <c r="B40" s="20"/>
      <c r="C40" s="9" t="s">
        <v>69</v>
      </c>
      <c r="E40" s="10" t="s">
        <v>70</v>
      </c>
      <c r="F40" s="123">
        <v>101</v>
      </c>
      <c r="G40" s="7">
        <f>INT((F40*Valores!$C$2*100*1.006901)+0.5)/100</f>
        <v>531.54999999999995</v>
      </c>
      <c r="H40" s="113">
        <v>2548</v>
      </c>
      <c r="I40" s="77">
        <f>INT((H40*Valores!$C$2*100*1.006901)+0.5)/100</f>
        <v>13409.79</v>
      </c>
      <c r="J40" s="143">
        <v>216</v>
      </c>
      <c r="K40" s="77">
        <f>INT((J40*Valores!$C$2*100*1.006901)+0.5)/100</f>
        <v>1136.78</v>
      </c>
      <c r="L40" s="123">
        <v>0</v>
      </c>
      <c r="M40" s="77">
        <f>INT((L40*Valores!$C$2*100*1.006901)+0.5)/100</f>
        <v>0</v>
      </c>
      <c r="N40" s="77">
        <f t="shared" si="0"/>
        <v>2773.7649172874999</v>
      </c>
      <c r="O40" s="77">
        <f t="shared" si="1"/>
        <v>0</v>
      </c>
      <c r="P40" s="78">
        <f>Valores!$C$16</f>
        <v>3262.4095850500003</v>
      </c>
      <c r="Q40" s="78">
        <f>Valores!$D$4</f>
        <v>2354.08</v>
      </c>
      <c r="R40" s="77">
        <v>0</v>
      </c>
      <c r="S40" s="79">
        <f>Valores!$C$43</f>
        <v>1146.5480996900001</v>
      </c>
      <c r="T40" s="77">
        <f>Valores!$C$23</f>
        <v>2267.09801556</v>
      </c>
      <c r="U40" s="77">
        <f t="shared" si="2"/>
        <v>2267.09801556</v>
      </c>
      <c r="V40" s="77">
        <v>0</v>
      </c>
      <c r="W40" s="77">
        <v>0</v>
      </c>
      <c r="X40" s="116">
        <v>0</v>
      </c>
      <c r="Y40" s="77">
        <f>X40*Valores!$C$2*1.006901</f>
        <v>0</v>
      </c>
      <c r="Z40" s="77">
        <v>0</v>
      </c>
      <c r="AA40" s="89">
        <f>Valores!$C$29</f>
        <v>132.58872368000002</v>
      </c>
      <c r="AB40" s="77">
        <f t="shared" si="3"/>
        <v>0</v>
      </c>
      <c r="AC40" s="77">
        <f>Valores!$C$30</f>
        <v>132.59</v>
      </c>
      <c r="AD40" s="116">
        <v>0</v>
      </c>
      <c r="AE40" s="77">
        <f>AD40*Valores!$C$2*1.006901</f>
        <v>0</v>
      </c>
      <c r="AF40" s="77">
        <f>Valores!$C$51</f>
        <v>269.71857087000001</v>
      </c>
      <c r="AG40" s="77">
        <f>Valores!$C$52</f>
        <v>77.068202540000016</v>
      </c>
      <c r="AH40" s="77">
        <f>SUM(G40,I40,K40,M40,N40,O40,P40,Q40,R40,S40,U40,V40,W40,Y40,Z40,AA40,AB40,AC40,AE40,AF40,AG40)*Valores!$C$54</f>
        <v>0</v>
      </c>
      <c r="AI40" s="15">
        <f t="shared" si="7"/>
        <v>27493.986114677504</v>
      </c>
      <c r="AJ40" s="78">
        <f>Valores!$C$35</f>
        <v>216.04</v>
      </c>
      <c r="AK40" s="79">
        <f>Valores!$C$9</f>
        <v>308.25267214000002</v>
      </c>
      <c r="AL40" s="89">
        <v>0</v>
      </c>
      <c r="AM40" s="79">
        <f>IF($G$4="SI",SUM(AK40+AL40),AK40)*Valores!$C$54</f>
        <v>0</v>
      </c>
      <c r="AN40" s="12">
        <f t="shared" si="4"/>
        <v>524.29267214000004</v>
      </c>
      <c r="AO40" s="151">
        <f>AI40*-Valores!$C$56</f>
        <v>-3574.2181949080755</v>
      </c>
      <c r="AP40" s="151">
        <f>AI40*-Valores!$C$57</f>
        <v>-137.46993057338753</v>
      </c>
      <c r="AQ40" s="78">
        <f>AI40*-Valores!$C$58</f>
        <v>-1237.2293751604877</v>
      </c>
      <c r="AR40" s="78">
        <f>AI40*-Valores!$C$59</f>
        <v>-742.33762509629264</v>
      </c>
      <c r="AS40" s="78">
        <f>AI40*-Valores!$C$60</f>
        <v>-82.481958344032506</v>
      </c>
      <c r="AT40" s="15">
        <f t="shared" si="5"/>
        <v>23069.36128617555</v>
      </c>
      <c r="AU40" s="15">
        <f t="shared" si="6"/>
        <v>23481.771077895712</v>
      </c>
      <c r="AV40" s="78">
        <f>AI40*Valores!$C$61</f>
        <v>4399.0377783484009</v>
      </c>
      <c r="AW40" s="78">
        <f>AI40*Valores!$C$62</f>
        <v>1237.2293751604877</v>
      </c>
      <c r="AX40" s="78">
        <f>AI40*Valores!$C$64</f>
        <v>274.93986114677506</v>
      </c>
      <c r="AY40" s="78">
        <f>AI40*Valores!$C$65</f>
        <v>962.28951401371273</v>
      </c>
      <c r="AZ40" s="78">
        <f>AI40*Valores!$C$66</f>
        <v>164.96391668806501</v>
      </c>
      <c r="BA40" s="78">
        <f t="shared" si="8"/>
        <v>1484.6752501925853</v>
      </c>
      <c r="BB40" s="20"/>
      <c r="BC40" s="20">
        <v>45</v>
      </c>
      <c r="BD40" s="9" t="s">
        <v>466</v>
      </c>
    </row>
    <row r="41" spans="1:56" s="9" customFormat="1" ht="11.25" customHeight="1" x14ac:dyDescent="0.15">
      <c r="A41" s="55">
        <v>40</v>
      </c>
      <c r="B41" s="55" t="s">
        <v>462</v>
      </c>
      <c r="C41" s="52" t="s">
        <v>71</v>
      </c>
      <c r="D41" s="52"/>
      <c r="E41" s="53" t="s">
        <v>70</v>
      </c>
      <c r="F41" s="124">
        <v>101</v>
      </c>
      <c r="G41" s="7">
        <f>INT((F41*Valores!$C$2*100*1.006901)+0.5)/100</f>
        <v>531.54999999999995</v>
      </c>
      <c r="H41" s="114">
        <v>2548</v>
      </c>
      <c r="I41" s="77">
        <f>INT((H41*Valores!$C$2*100*1.006901)+0.5)/100</f>
        <v>13409.79</v>
      </c>
      <c r="J41" s="144">
        <v>216</v>
      </c>
      <c r="K41" s="77">
        <f>INT((J41*Valores!$C$2*100*1.006901)+0.5)/100</f>
        <v>1136.78</v>
      </c>
      <c r="L41" s="124">
        <v>0</v>
      </c>
      <c r="M41" s="77">
        <f>INT((L41*Valores!$C$2*100*1.006901)+0.5)/100</f>
        <v>0</v>
      </c>
      <c r="N41" s="80">
        <f t="shared" si="0"/>
        <v>2773.7649172874999</v>
      </c>
      <c r="O41" s="80">
        <f t="shared" si="1"/>
        <v>0</v>
      </c>
      <c r="P41" s="81">
        <f>Valores!$C$16</f>
        <v>3262.4095850500003</v>
      </c>
      <c r="Q41" s="81">
        <f>Valores!$D$4</f>
        <v>2354.08</v>
      </c>
      <c r="R41" s="80">
        <v>0</v>
      </c>
      <c r="S41" s="82">
        <f>Valores!$C$43</f>
        <v>1146.5480996900001</v>
      </c>
      <c r="T41" s="80">
        <f>Valores!$C$23</f>
        <v>2267.09801556</v>
      </c>
      <c r="U41" s="80">
        <f t="shared" si="2"/>
        <v>2267.09801556</v>
      </c>
      <c r="V41" s="80">
        <v>0</v>
      </c>
      <c r="W41" s="80">
        <v>0</v>
      </c>
      <c r="X41" s="115">
        <v>0</v>
      </c>
      <c r="Y41" s="77">
        <f>X41*Valores!$C$2*1.006901</f>
        <v>0</v>
      </c>
      <c r="Z41" s="80">
        <v>0</v>
      </c>
      <c r="AA41" s="90">
        <f>Valores!$C$29</f>
        <v>132.58872368000002</v>
      </c>
      <c r="AB41" s="80">
        <f t="shared" si="3"/>
        <v>0</v>
      </c>
      <c r="AC41" s="80">
        <f>Valores!$C$30</f>
        <v>132.59</v>
      </c>
      <c r="AD41" s="115">
        <v>0</v>
      </c>
      <c r="AE41" s="77">
        <f>AD41*Valores!$C$2*1.006901</f>
        <v>0</v>
      </c>
      <c r="AF41" s="80">
        <f>Valores!$C$51</f>
        <v>269.71857087000001</v>
      </c>
      <c r="AG41" s="80">
        <f>Valores!$C$52</f>
        <v>77.068202540000016</v>
      </c>
      <c r="AH41" s="80">
        <f>SUM(G41,I41,K41,M41,N41,O41,P41,Q41,R41,S41,U41,V41,W41,Y41,Z41,AA41,AB41,AC41,AE41,AF41,AG41)*Valores!$C$54</f>
        <v>0</v>
      </c>
      <c r="AI41" s="54">
        <f t="shared" si="7"/>
        <v>27493.986114677504</v>
      </c>
      <c r="AJ41" s="81">
        <f>Valores!$C$35</f>
        <v>216.04</v>
      </c>
      <c r="AK41" s="82">
        <f>Valores!$C$9</f>
        <v>308.25267214000002</v>
      </c>
      <c r="AL41" s="90">
        <v>0</v>
      </c>
      <c r="AM41" s="82">
        <f>IF($G$4="SI",SUM(AK41+AL41),AK41)*Valores!$C$54</f>
        <v>0</v>
      </c>
      <c r="AN41" s="184">
        <f t="shared" si="4"/>
        <v>524.29267214000004</v>
      </c>
      <c r="AO41" s="152">
        <f>AI41*-Valores!$C$56</f>
        <v>-3574.2181949080755</v>
      </c>
      <c r="AP41" s="152">
        <f>AI41*-Valores!$C$57</f>
        <v>-137.46993057338753</v>
      </c>
      <c r="AQ41" s="81">
        <f>AI41*-Valores!$C$58</f>
        <v>-1237.2293751604877</v>
      </c>
      <c r="AR41" s="81">
        <f>AI41*-Valores!$C$59</f>
        <v>-742.33762509629264</v>
      </c>
      <c r="AS41" s="81">
        <f>AI41*-Valores!$C$60</f>
        <v>-82.481958344032506</v>
      </c>
      <c r="AT41" s="54">
        <f t="shared" si="5"/>
        <v>23069.36128617555</v>
      </c>
      <c r="AU41" s="54">
        <f t="shared" si="6"/>
        <v>23481.771077895712</v>
      </c>
      <c r="AV41" s="81">
        <f>AI41*Valores!$C$61</f>
        <v>4399.0377783484009</v>
      </c>
      <c r="AW41" s="81">
        <f>AI41*Valores!$C$62</f>
        <v>1237.2293751604877</v>
      </c>
      <c r="AX41" s="81">
        <f>AI41*Valores!$C$64</f>
        <v>274.93986114677506</v>
      </c>
      <c r="AY41" s="81">
        <f>AI41*Valores!$C$65</f>
        <v>962.28951401371273</v>
      </c>
      <c r="AZ41" s="81">
        <f>AI41*Valores!$C$66</f>
        <v>164.96391668806501</v>
      </c>
      <c r="BA41" s="81">
        <f t="shared" si="8"/>
        <v>1484.6752501925853</v>
      </c>
      <c r="BB41" s="55"/>
      <c r="BC41" s="55">
        <v>45</v>
      </c>
      <c r="BD41" s="52" t="s">
        <v>466</v>
      </c>
    </row>
    <row r="42" spans="1:56" s="9" customFormat="1" ht="11.25" customHeight="1" x14ac:dyDescent="0.15">
      <c r="A42" s="20">
        <v>41</v>
      </c>
      <c r="B42" s="20"/>
      <c r="C42" s="9" t="s">
        <v>72</v>
      </c>
      <c r="E42" s="10" t="s">
        <v>73</v>
      </c>
      <c r="F42" s="123">
        <v>96</v>
      </c>
      <c r="G42" s="7">
        <f>INT((F42*Valores!$C$2*100*1.006901)+0.5)/100</f>
        <v>505.24</v>
      </c>
      <c r="H42" s="113">
        <v>2475</v>
      </c>
      <c r="I42" s="77">
        <f>INT((H42*Valores!$C$2*100*1.006901)+0.5)/100</f>
        <v>13025.6</v>
      </c>
      <c r="J42" s="143">
        <v>213</v>
      </c>
      <c r="K42" s="77">
        <f>INT((J42*Valores!$C$2*100*1.006901)+0.5)/100</f>
        <v>1120.99</v>
      </c>
      <c r="L42" s="123">
        <v>0</v>
      </c>
      <c r="M42" s="77">
        <f>INT((L42*Valores!$C$2*100*1.006901)+0.5)/100</f>
        <v>0</v>
      </c>
      <c r="N42" s="77">
        <f t="shared" si="0"/>
        <v>2652.4945157534999</v>
      </c>
      <c r="O42" s="77">
        <f t="shared" si="1"/>
        <v>0</v>
      </c>
      <c r="P42" s="78">
        <f>Valores!$C$16</f>
        <v>3262.4095850500003</v>
      </c>
      <c r="Q42" s="78">
        <f>Valores!$D$4</f>
        <v>2354.08</v>
      </c>
      <c r="R42" s="77">
        <v>0</v>
      </c>
      <c r="S42" s="79">
        <f>Valores!$C$42</f>
        <v>764.36875613000007</v>
      </c>
      <c r="T42" s="77">
        <f>Valores!$C$23</f>
        <v>2267.09801556</v>
      </c>
      <c r="U42" s="77">
        <f t="shared" si="2"/>
        <v>2267.09801556</v>
      </c>
      <c r="V42" s="77">
        <v>0</v>
      </c>
      <c r="W42" s="77">
        <v>0</v>
      </c>
      <c r="X42" s="116">
        <v>0</v>
      </c>
      <c r="Y42" s="77">
        <f>X42*Valores!$C$2*1.006901</f>
        <v>0</v>
      </c>
      <c r="Z42" s="77">
        <v>0</v>
      </c>
      <c r="AA42" s="89">
        <f>Valores!$C$29</f>
        <v>132.58872368000002</v>
      </c>
      <c r="AB42" s="77">
        <f t="shared" si="3"/>
        <v>0</v>
      </c>
      <c r="AC42" s="77">
        <f>Valores!$C$30</f>
        <v>132.59</v>
      </c>
      <c r="AD42" s="116">
        <v>0</v>
      </c>
      <c r="AE42" s="77">
        <f>AD42*Valores!$C$2*1.006901</f>
        <v>0</v>
      </c>
      <c r="AF42" s="77">
        <f>Valores!$C$51</f>
        <v>269.71857087000001</v>
      </c>
      <c r="AG42" s="77">
        <f>Valores!$C$52</f>
        <v>77.068202540000016</v>
      </c>
      <c r="AH42" s="77">
        <f>SUM(G42,I42,K42,M42,N42,O42,P42,Q42,R42,S42,U42,V42,W42,Y42,Z42,AA42,AB42,AC42,AE42,AF42,AG42)*Valores!$C$54</f>
        <v>0</v>
      </c>
      <c r="AI42" s="15">
        <f t="shared" si="7"/>
        <v>26564.246369583503</v>
      </c>
      <c r="AJ42" s="78">
        <f>Valores!$C$35</f>
        <v>216.04</v>
      </c>
      <c r="AK42" s="79">
        <f>Valores!$C$8</f>
        <v>205.50849410000001</v>
      </c>
      <c r="AL42" s="89">
        <v>113.02463725000001</v>
      </c>
      <c r="AM42" s="79">
        <f>IF($G$4="SI",SUM(AK42+AL42),AK42)*Valores!$C$54</f>
        <v>0</v>
      </c>
      <c r="AN42" s="12">
        <f t="shared" si="4"/>
        <v>534.57313135000004</v>
      </c>
      <c r="AO42" s="151">
        <f>AI42*-Valores!$C$56</f>
        <v>-3453.3520280458556</v>
      </c>
      <c r="AP42" s="151">
        <f>AI42*-Valores!$C$57</f>
        <v>-132.82123184791752</v>
      </c>
      <c r="AQ42" s="78">
        <f>AI42*-Valores!$C$58</f>
        <v>-1195.3910866312576</v>
      </c>
      <c r="AR42" s="78">
        <f>AI42*-Valores!$C$59</f>
        <v>-717.23465197875464</v>
      </c>
      <c r="AS42" s="78">
        <f>AI42*-Valores!$C$60</f>
        <v>-79.692739108750516</v>
      </c>
      <c r="AT42" s="15">
        <f t="shared" si="5"/>
        <v>22317.255154408474</v>
      </c>
      <c r="AU42" s="15">
        <f t="shared" si="6"/>
        <v>22715.718849952227</v>
      </c>
      <c r="AV42" s="78">
        <f>AI42*Valores!$C$61</f>
        <v>4250.2794191333605</v>
      </c>
      <c r="AW42" s="78">
        <f>AI42*Valores!$C$62</f>
        <v>1195.3910866312576</v>
      </c>
      <c r="AX42" s="78">
        <f>AI42*Valores!$C$64</f>
        <v>265.64246369583503</v>
      </c>
      <c r="AY42" s="78">
        <f>AI42*Valores!$C$65</f>
        <v>929.74862293542265</v>
      </c>
      <c r="AZ42" s="78">
        <f>AI42*Valores!$C$66</f>
        <v>159.38547821750103</v>
      </c>
      <c r="BA42" s="78">
        <f t="shared" si="8"/>
        <v>1434.4693039575095</v>
      </c>
      <c r="BB42" s="20"/>
      <c r="BC42" s="20">
        <v>45</v>
      </c>
      <c r="BD42" s="9" t="s">
        <v>467</v>
      </c>
    </row>
    <row r="43" spans="1:56" s="9" customFormat="1" ht="11.25" customHeight="1" x14ac:dyDescent="0.15">
      <c r="A43" s="20">
        <v>42</v>
      </c>
      <c r="B43" s="20"/>
      <c r="C43" s="9" t="s">
        <v>74</v>
      </c>
      <c r="E43" s="10" t="s">
        <v>75</v>
      </c>
      <c r="F43" s="123">
        <v>72</v>
      </c>
      <c r="G43" s="7">
        <f>INT((F43*Valores!$C$2*100*1.006901)+0.5)/100</f>
        <v>378.93</v>
      </c>
      <c r="H43" s="113">
        <v>2471</v>
      </c>
      <c r="I43" s="77">
        <f>INT((H43*Valores!$C$2*100*1.006901)+0.5)/100</f>
        <v>13004.55</v>
      </c>
      <c r="J43" s="143">
        <v>199</v>
      </c>
      <c r="K43" s="77">
        <f>INT((J43*Valores!$C$2*100*1.006901)+0.5)/100</f>
        <v>1047.31</v>
      </c>
      <c r="L43" s="123">
        <v>0</v>
      </c>
      <c r="M43" s="77">
        <f>INT((L43*Valores!$C$2*100*1.006901)+0.5)/100</f>
        <v>0</v>
      </c>
      <c r="N43" s="77">
        <f t="shared" si="0"/>
        <v>2619.3385157534995</v>
      </c>
      <c r="O43" s="77">
        <f t="shared" si="1"/>
        <v>0</v>
      </c>
      <c r="P43" s="78">
        <f>Valores!$C$16</f>
        <v>3262.4095850500003</v>
      </c>
      <c r="Q43" s="78">
        <f>Valores!$D$4</f>
        <v>2354.08</v>
      </c>
      <c r="R43" s="77">
        <v>0</v>
      </c>
      <c r="S43" s="79">
        <f>Valores!$C$42</f>
        <v>764.36875613000007</v>
      </c>
      <c r="T43" s="77">
        <f>Valores!$C$23</f>
        <v>2267.09801556</v>
      </c>
      <c r="U43" s="77">
        <f t="shared" si="2"/>
        <v>2267.09801556</v>
      </c>
      <c r="V43" s="77">
        <v>0</v>
      </c>
      <c r="W43" s="77">
        <v>0</v>
      </c>
      <c r="X43" s="116">
        <v>0</v>
      </c>
      <c r="Y43" s="77">
        <f>X43*Valores!$C$2*1.006901</f>
        <v>0</v>
      </c>
      <c r="Z43" s="77">
        <v>0</v>
      </c>
      <c r="AA43" s="89">
        <f>Valores!$C$29</f>
        <v>132.58872368000002</v>
      </c>
      <c r="AB43" s="77">
        <f t="shared" si="3"/>
        <v>0</v>
      </c>
      <c r="AC43" s="77">
        <f>Valores!$C$30</f>
        <v>132.59</v>
      </c>
      <c r="AD43" s="116">
        <v>0</v>
      </c>
      <c r="AE43" s="77">
        <f>AD43*Valores!$C$2*1.006901</f>
        <v>0</v>
      </c>
      <c r="AF43" s="77">
        <f>Valores!$C$51</f>
        <v>269.71857087000001</v>
      </c>
      <c r="AG43" s="77">
        <f>Valores!$C$52</f>
        <v>77.068202540000016</v>
      </c>
      <c r="AH43" s="77">
        <f>SUM(G43,I43,K43,M43,N43,O43,P43,Q43,R43,S43,U43,V43,W43,Y43,Z43,AA43,AB43,AC43,AE43,AF43,AG43)*Valores!$C$54</f>
        <v>0</v>
      </c>
      <c r="AI43" s="15">
        <f t="shared" si="7"/>
        <v>26310.0503695835</v>
      </c>
      <c r="AJ43" s="78">
        <f>Valores!$C$35</f>
        <v>216.04</v>
      </c>
      <c r="AK43" s="79">
        <f>Valores!$C$8</f>
        <v>205.50849410000001</v>
      </c>
      <c r="AL43" s="89">
        <v>0</v>
      </c>
      <c r="AM43" s="79">
        <f>IF($G$4="SI",SUM(AK43+AL43),AK43)*Valores!$C$54</f>
        <v>0</v>
      </c>
      <c r="AN43" s="12">
        <f t="shared" si="4"/>
        <v>421.54849409999997</v>
      </c>
      <c r="AO43" s="151">
        <f>AI43*-Valores!$C$56</f>
        <v>-3420.3065480458549</v>
      </c>
      <c r="AP43" s="151">
        <f>AI43*-Valores!$C$57</f>
        <v>-131.55025184791751</v>
      </c>
      <c r="AQ43" s="78">
        <f>AI43*-Valores!$C$58</f>
        <v>-1183.9522666312575</v>
      </c>
      <c r="AR43" s="78">
        <f>AI43*-Valores!$C$59</f>
        <v>-710.37135997875453</v>
      </c>
      <c r="AS43" s="78">
        <f>AI43*-Valores!$C$60</f>
        <v>-78.930151108750493</v>
      </c>
      <c r="AT43" s="15">
        <f t="shared" si="5"/>
        <v>21995.789797158468</v>
      </c>
      <c r="AU43" s="15">
        <f t="shared" si="6"/>
        <v>22390.440552702221</v>
      </c>
      <c r="AV43" s="78">
        <f>AI43*Valores!$C$61</f>
        <v>4209.6080591333603</v>
      </c>
      <c r="AW43" s="78">
        <f>AI43*Valores!$C$62</f>
        <v>1183.9522666312575</v>
      </c>
      <c r="AX43" s="78">
        <f>AI43*Valores!$C$64</f>
        <v>263.10050369583502</v>
      </c>
      <c r="AY43" s="78">
        <f>AI43*Valores!$C$65</f>
        <v>920.85176293542258</v>
      </c>
      <c r="AZ43" s="78">
        <f>AI43*Valores!$C$66</f>
        <v>157.86030221750099</v>
      </c>
      <c r="BA43" s="78">
        <f t="shared" si="8"/>
        <v>1420.7427199575091</v>
      </c>
      <c r="BB43" s="20"/>
      <c r="BC43" s="20">
        <v>45</v>
      </c>
      <c r="BD43" s="9" t="s">
        <v>467</v>
      </c>
    </row>
    <row r="44" spans="1:56" s="9" customFormat="1" ht="11.25" customHeight="1" x14ac:dyDescent="0.15">
      <c r="A44" s="20">
        <v>43</v>
      </c>
      <c r="B44" s="20"/>
      <c r="C44" s="9" t="s">
        <v>502</v>
      </c>
      <c r="E44" s="10" t="s">
        <v>358</v>
      </c>
      <c r="F44" s="123">
        <f>F38</f>
        <v>85</v>
      </c>
      <c r="G44" s="7">
        <f>INT((F44*Valores!$C$2*100*1.006901)+0.5)/100</f>
        <v>447.34</v>
      </c>
      <c r="H44" s="113">
        <f>H38</f>
        <v>3498</v>
      </c>
      <c r="I44" s="77">
        <f>INT((H44*Valores!$C$2*100*1.006901)+0.5)/100</f>
        <v>18409.52</v>
      </c>
      <c r="J44" s="143">
        <f>J38</f>
        <v>1209</v>
      </c>
      <c r="K44" s="77">
        <f>INT((J44*Valores!$C$2*100*1.006901)+0.5)/100</f>
        <v>6362.81</v>
      </c>
      <c r="L44" s="120">
        <v>0</v>
      </c>
      <c r="M44" s="77">
        <f>INT((L44*Valores!$C$2*100*1.006901)+0.5)/100</f>
        <v>0</v>
      </c>
      <c r="N44" s="77">
        <f t="shared" si="0"/>
        <v>4294.9974172875</v>
      </c>
      <c r="O44" s="77">
        <f t="shared" si="1"/>
        <v>0</v>
      </c>
      <c r="P44" s="78">
        <f>P38</f>
        <v>6219.0535434300009</v>
      </c>
      <c r="Q44" s="78">
        <f>Q38</f>
        <v>2354.08</v>
      </c>
      <c r="R44" s="61">
        <v>0</v>
      </c>
      <c r="S44" s="61">
        <f>S38</f>
        <v>1146.5480996900001</v>
      </c>
      <c r="T44" s="61">
        <f>T38</f>
        <v>2267.09801556</v>
      </c>
      <c r="U44" s="77">
        <f t="shared" si="2"/>
        <v>2267.09801556</v>
      </c>
      <c r="V44" s="77">
        <v>0</v>
      </c>
      <c r="W44" s="77">
        <v>0</v>
      </c>
      <c r="X44" s="116">
        <v>0</v>
      </c>
      <c r="Y44" s="77">
        <f>X44*Valores!$C$2*1.006901</f>
        <v>0</v>
      </c>
      <c r="Z44" s="77">
        <v>0</v>
      </c>
      <c r="AA44" s="61">
        <f>Valores!$C$29</f>
        <v>132.58872368000002</v>
      </c>
      <c r="AB44" s="77">
        <f t="shared" si="3"/>
        <v>0</v>
      </c>
      <c r="AC44" s="61">
        <f>Valores!$C$30</f>
        <v>132.59</v>
      </c>
      <c r="AD44" s="116">
        <v>0</v>
      </c>
      <c r="AE44" s="77">
        <f>AD44*Valores!$C$2*1.006901</f>
        <v>0</v>
      </c>
      <c r="AF44" s="78">
        <f>Valores!$C$51</f>
        <v>269.71857087000001</v>
      </c>
      <c r="AG44" s="78">
        <f>Valores!$C$52</f>
        <v>77.068202540000016</v>
      </c>
      <c r="AH44" s="78">
        <f>SUM(G44,I44,K44,M44,N44,O44,P44,Q44,R44,S44,U44,V44,W44,Y44,Z44,AA44,AB44,AC44,AE44,AF44,AG44)*Valores!$C$54</f>
        <v>0</v>
      </c>
      <c r="AI44" s="15">
        <f t="shared" si="7"/>
        <v>42113.412573057496</v>
      </c>
      <c r="AJ44" s="78">
        <f>Valores!$C$35</f>
        <v>216.04</v>
      </c>
      <c r="AK44" s="79">
        <f>AK38</f>
        <v>308.25267214000002</v>
      </c>
      <c r="AL44" s="89">
        <v>226.04927450000002</v>
      </c>
      <c r="AM44" s="79">
        <f>IF($G$4="SI",SUM(AK44+AL44),AK44)*Valores!$C$54</f>
        <v>0</v>
      </c>
      <c r="AN44" s="12">
        <f t="shared" si="4"/>
        <v>750.34194664000006</v>
      </c>
      <c r="AO44" s="151">
        <f>AI44*-Valores!$C$56</f>
        <v>-5474.7436344974749</v>
      </c>
      <c r="AP44" s="151">
        <f>AI44*-Valores!$C$57</f>
        <v>-210.56706286528748</v>
      </c>
      <c r="AQ44" s="78">
        <f>AI44*-Valores!$C$58</f>
        <v>-1895.1035657875873</v>
      </c>
      <c r="AR44" s="78">
        <f>AI44*-Valores!$C$59</f>
        <v>-1137.0621394725524</v>
      </c>
      <c r="AS44" s="78">
        <f>AI44*-Valores!$C$60</f>
        <v>-126.34023771917249</v>
      </c>
      <c r="AT44" s="15">
        <f t="shared" si="5"/>
        <v>35283.340256547141</v>
      </c>
      <c r="AU44" s="15">
        <f t="shared" si="6"/>
        <v>35915.041445143004</v>
      </c>
      <c r="AV44" s="78">
        <f>AI44*Valores!$C$61</f>
        <v>6738.1460116891994</v>
      </c>
      <c r="AW44" s="78">
        <f>AI44*Valores!$C$62</f>
        <v>1895.1035657875873</v>
      </c>
      <c r="AX44" s="78">
        <f>AI44*Valores!$C$64</f>
        <v>421.13412573057497</v>
      </c>
      <c r="AY44" s="78">
        <f>AI44*Valores!$C$65</f>
        <v>1473.9694400570124</v>
      </c>
      <c r="AZ44" s="78">
        <f>AI44*Valores!$C$66</f>
        <v>252.68047543834498</v>
      </c>
      <c r="BA44" s="78">
        <f t="shared" si="8"/>
        <v>2274.1242789451048</v>
      </c>
      <c r="BB44" s="20"/>
      <c r="BC44" s="20">
        <v>45</v>
      </c>
      <c r="BD44" s="9" t="s">
        <v>466</v>
      </c>
    </row>
    <row r="45" spans="1:56" s="9" customFormat="1" ht="11.25" customHeight="1" x14ac:dyDescent="0.15">
      <c r="A45" s="20">
        <v>44</v>
      </c>
      <c r="B45" s="20"/>
      <c r="C45" s="9" t="s">
        <v>503</v>
      </c>
      <c r="E45" s="10" t="s">
        <v>359</v>
      </c>
      <c r="F45" s="123">
        <f>F87+F305</f>
        <v>518</v>
      </c>
      <c r="G45" s="7">
        <f>INT((F45*Valores!$C$2*100*1.006901)+0.5)/100</f>
        <v>2726.17</v>
      </c>
      <c r="H45" s="113">
        <f>H87+H305</f>
        <v>1997</v>
      </c>
      <c r="I45" s="77">
        <f>INT((H45*Valores!$C$2*100*1.006901)+0.5)/100</f>
        <v>10509.95</v>
      </c>
      <c r="J45" s="145">
        <v>0</v>
      </c>
      <c r="K45" s="77">
        <f>INT((J45*Valores!$C$2*100*1.006901)+0.5)/100</f>
        <v>0</v>
      </c>
      <c r="L45" s="120">
        <v>0</v>
      </c>
      <c r="M45" s="77">
        <f>INT((L45*Valores!$C$2*100*1.006901)+0.5)/100</f>
        <v>0</v>
      </c>
      <c r="N45" s="77">
        <f t="shared" si="0"/>
        <v>2464.0317764834999</v>
      </c>
      <c r="O45" s="77">
        <f t="shared" si="1"/>
        <v>0</v>
      </c>
      <c r="P45" s="78">
        <f t="shared" ref="P45:U45" si="11">P87+P305</f>
        <v>3262.4095850500003</v>
      </c>
      <c r="Q45" s="78">
        <f t="shared" si="11"/>
        <v>2354.08</v>
      </c>
      <c r="R45" s="61">
        <f t="shared" si="11"/>
        <v>2369.1575009200001</v>
      </c>
      <c r="S45" s="61">
        <f>S87+S305</f>
        <v>923.66049433000012</v>
      </c>
      <c r="T45" s="61">
        <f t="shared" si="11"/>
        <v>2267.09801556</v>
      </c>
      <c r="U45" s="78">
        <f t="shared" si="11"/>
        <v>2267.09801556</v>
      </c>
      <c r="V45" s="77">
        <v>0</v>
      </c>
      <c r="W45" s="77">
        <v>0</v>
      </c>
      <c r="X45" s="116">
        <v>0</v>
      </c>
      <c r="Y45" s="77">
        <f>X45*Valores!$C$2*1.006901</f>
        <v>0</v>
      </c>
      <c r="Z45" s="77">
        <v>0</v>
      </c>
      <c r="AA45" s="78">
        <f>Valores!$C$29</f>
        <v>132.58872368000002</v>
      </c>
      <c r="AB45" s="77">
        <f t="shared" si="3"/>
        <v>0</v>
      </c>
      <c r="AC45" s="78">
        <f>Valores!$C$30</f>
        <v>132.59</v>
      </c>
      <c r="AD45" s="116">
        <v>0</v>
      </c>
      <c r="AE45" s="77">
        <f>AD45*Valores!$C$2*1.006901</f>
        <v>0</v>
      </c>
      <c r="AF45" s="77">
        <f>Valores!$C$51</f>
        <v>269.71857087000001</v>
      </c>
      <c r="AG45" s="77">
        <f>Valores!$C$52</f>
        <v>77.068202540000016</v>
      </c>
      <c r="AH45" s="77">
        <f>SUM(G45,I45,K45,M45,N45,O45,P45,Q45,R45,S45,U45,V45,W45,Y45,Z45,AA45,AB45,AC45,AE45,AF45,AG45)*Valores!$C$54</f>
        <v>0</v>
      </c>
      <c r="AI45" s="15">
        <f t="shared" si="7"/>
        <v>27488.522869433506</v>
      </c>
      <c r="AJ45" s="78">
        <f>Valores!$C$35</f>
        <v>216.04</v>
      </c>
      <c r="AK45" s="78">
        <f>AK87+AK305</f>
        <v>248.35213165000002</v>
      </c>
      <c r="AL45" s="78">
        <v>113.02463725000001</v>
      </c>
      <c r="AM45" s="79">
        <f>IF($G$4="SI",SUM(AK45+AL45),AK45)*Valores!$C$54</f>
        <v>0</v>
      </c>
      <c r="AN45" s="12">
        <f t="shared" si="4"/>
        <v>577.41676890000008</v>
      </c>
      <c r="AO45" s="151">
        <f>AI45*-Valores!$C$56</f>
        <v>-3573.507973026356</v>
      </c>
      <c r="AP45" s="151">
        <f>AI45*-Valores!$C$57</f>
        <v>-137.44261434716753</v>
      </c>
      <c r="AQ45" s="78">
        <f>AI45*-Valores!$C$58</f>
        <v>-1236.9835291245076</v>
      </c>
      <c r="AR45" s="78">
        <f>AI45*-Valores!$C$59</f>
        <v>-742.19011747470472</v>
      </c>
      <c r="AS45" s="78">
        <f>AI45*-Valores!$C$60</f>
        <v>-82.465568608300515</v>
      </c>
      <c r="AT45" s="15">
        <f t="shared" si="5"/>
        <v>23118.005521835472</v>
      </c>
      <c r="AU45" s="15">
        <f t="shared" si="6"/>
        <v>23530.333364876977</v>
      </c>
      <c r="AV45" s="78">
        <f>AI45*Valores!$C$61</f>
        <v>4398.1636591093611</v>
      </c>
      <c r="AW45" s="78">
        <f>AI45*Valores!$C$62</f>
        <v>1236.9835291245076</v>
      </c>
      <c r="AX45" s="78">
        <f>AI45*Valores!$C$64</f>
        <v>274.88522869433507</v>
      </c>
      <c r="AY45" s="78">
        <f>AI45*Valores!$C$65</f>
        <v>962.0983004301728</v>
      </c>
      <c r="AZ45" s="78">
        <f>AI45*Valores!$C$66</f>
        <v>164.93113721660103</v>
      </c>
      <c r="BA45" s="78">
        <f t="shared" si="8"/>
        <v>1484.3802349494094</v>
      </c>
      <c r="BB45" s="20"/>
      <c r="BC45" s="20"/>
      <c r="BD45" s="9" t="s">
        <v>466</v>
      </c>
    </row>
    <row r="46" spans="1:56" s="9" customFormat="1" ht="11.25" customHeight="1" x14ac:dyDescent="0.15">
      <c r="A46" s="55">
        <v>45</v>
      </c>
      <c r="B46" s="55" t="s">
        <v>462</v>
      </c>
      <c r="C46" s="52" t="s">
        <v>504</v>
      </c>
      <c r="D46" s="52"/>
      <c r="E46" s="53" t="s">
        <v>360</v>
      </c>
      <c r="F46" s="124">
        <f>F54+F239</f>
        <v>572</v>
      </c>
      <c r="G46" s="7">
        <f>INT((F46*Valores!$C$2*100*1.006901)+0.5)/100</f>
        <v>3010.36</v>
      </c>
      <c r="H46" s="131">
        <f>H54+H239</f>
        <v>2686</v>
      </c>
      <c r="I46" s="77">
        <f>INT((H46*Valores!$C$2*100*1.006901)+0.5)/100</f>
        <v>14136.07</v>
      </c>
      <c r="J46" s="146">
        <v>0</v>
      </c>
      <c r="K46" s="77">
        <f>INT((J46*Valores!$C$2*100*1.006901)+0.5)/100</f>
        <v>0</v>
      </c>
      <c r="L46" s="121">
        <v>0</v>
      </c>
      <c r="M46" s="77">
        <f>INT((L46*Valores!$C$2*100*1.006901)+0.5)/100</f>
        <v>0</v>
      </c>
      <c r="N46" s="80">
        <f t="shared" si="0"/>
        <v>3097.4320286295001</v>
      </c>
      <c r="O46" s="80">
        <f t="shared" si="1"/>
        <v>0</v>
      </c>
      <c r="P46" s="80">
        <f>P54+P239</f>
        <v>3986.2908519700004</v>
      </c>
      <c r="Q46" s="81">
        <f>Valores!$D$4</f>
        <v>2354.08</v>
      </c>
      <c r="R46" s="80">
        <f>R54+R239</f>
        <v>2369.1575009200001</v>
      </c>
      <c r="S46" s="82">
        <f>S54+S239</f>
        <v>955.51884197000004</v>
      </c>
      <c r="T46" s="80">
        <f>T54+T239</f>
        <v>2547.59801556</v>
      </c>
      <c r="U46" s="80">
        <f t="shared" ref="U46:U112" si="12">T46*(1+$I$2)</f>
        <v>2547.59801556</v>
      </c>
      <c r="V46" s="80">
        <v>0</v>
      </c>
      <c r="W46" s="80">
        <v>0</v>
      </c>
      <c r="X46" s="115">
        <v>0</v>
      </c>
      <c r="Y46" s="77">
        <f>X46*Valores!$C$2*1.006901</f>
        <v>0</v>
      </c>
      <c r="Z46" s="80">
        <v>0</v>
      </c>
      <c r="AA46" s="80">
        <f>AA54+AA239</f>
        <v>164.26872368000002</v>
      </c>
      <c r="AB46" s="80">
        <f t="shared" si="3"/>
        <v>0</v>
      </c>
      <c r="AC46" s="80">
        <f>Valores!$C$30</f>
        <v>132.59</v>
      </c>
      <c r="AD46" s="115">
        <v>0</v>
      </c>
      <c r="AE46" s="77">
        <f>AD46*Valores!$C$2*1.006901</f>
        <v>0</v>
      </c>
      <c r="AF46" s="90">
        <f>AF54+AF239</f>
        <v>378.35053036102954</v>
      </c>
      <c r="AG46" s="90">
        <f>AG54+AG239</f>
        <v>108.10822262229144</v>
      </c>
      <c r="AH46" s="90">
        <f>SUM(G46,I46,K46,M46,N46,O46,P46,Q46,R46,S46,U46,V46,W46,Y46,Z46,AA46,AB46,AC46,AE46,AF46,AG46)*Valores!$C$54</f>
        <v>0</v>
      </c>
      <c r="AI46" s="54">
        <f t="shared" si="7"/>
        <v>33239.824715712821</v>
      </c>
      <c r="AJ46" s="90">
        <f>AJ54+AJ239</f>
        <v>302.45600000000002</v>
      </c>
      <c r="AK46" s="82">
        <f>AK54+AK239</f>
        <v>256.92085916000002</v>
      </c>
      <c r="AL46" s="90">
        <v>0</v>
      </c>
      <c r="AM46" s="82">
        <f>IF($G$4="SI",SUM(AK46+AL46),AK46)*Valores!$C$54</f>
        <v>0</v>
      </c>
      <c r="AN46" s="184">
        <f t="shared" si="4"/>
        <v>559.37685916000009</v>
      </c>
      <c r="AO46" s="152">
        <f>AI46*-Valores!$C$56</f>
        <v>-4321.1772130426671</v>
      </c>
      <c r="AP46" s="152">
        <f>AI46*-Valores!$C$57</f>
        <v>-166.1991235785641</v>
      </c>
      <c r="AQ46" s="81">
        <f>AI46*-Valores!$C$58</f>
        <v>-1495.7921122070768</v>
      </c>
      <c r="AR46" s="81">
        <f>AI46*-Valores!$C$59</f>
        <v>-897.47526732424626</v>
      </c>
      <c r="AS46" s="81">
        <f>AI46*-Valores!$C$60</f>
        <v>-99.71947414713847</v>
      </c>
      <c r="AT46" s="54">
        <f t="shared" si="5"/>
        <v>27816.033126044516</v>
      </c>
      <c r="AU46" s="54">
        <f t="shared" si="6"/>
        <v>28314.630496780206</v>
      </c>
      <c r="AV46" s="81">
        <f>AI46*Valores!$C$61</f>
        <v>5318.3719545140511</v>
      </c>
      <c r="AW46" s="81">
        <f>AI46*Valores!$C$62</f>
        <v>1495.7921122070768</v>
      </c>
      <c r="AX46" s="81">
        <f>AI46*Valores!$C$64</f>
        <v>332.3982471571282</v>
      </c>
      <c r="AY46" s="81">
        <f>AI46*Valores!$C$65</f>
        <v>1163.3938650499488</v>
      </c>
      <c r="AZ46" s="81">
        <f>AI46*Valores!$C$66</f>
        <v>199.43894829427694</v>
      </c>
      <c r="BA46" s="81">
        <f t="shared" si="8"/>
        <v>1794.9505346484925</v>
      </c>
      <c r="BB46" s="55"/>
      <c r="BC46" s="55"/>
      <c r="BD46" s="52" t="s">
        <v>466</v>
      </c>
    </row>
    <row r="47" spans="1:56" s="9" customFormat="1" ht="11.25" customHeight="1" x14ac:dyDescent="0.15">
      <c r="A47" s="20">
        <v>46</v>
      </c>
      <c r="B47" s="20"/>
      <c r="C47" s="9" t="s">
        <v>76</v>
      </c>
      <c r="E47" s="10" t="s">
        <v>77</v>
      </c>
      <c r="F47" s="123">
        <v>108</v>
      </c>
      <c r="G47" s="7">
        <f>INT((F47*Valores!$C$2*100*1.006901)+0.5)/100</f>
        <v>568.39</v>
      </c>
      <c r="H47" s="113">
        <v>2907</v>
      </c>
      <c r="I47" s="77">
        <f>INT((H47*Valores!$C$2*100*1.006901)+0.5)/100</f>
        <v>15299.16</v>
      </c>
      <c r="J47" s="145">
        <v>0</v>
      </c>
      <c r="K47" s="77">
        <f>INT((J47*Valores!$C$2*100*1.006901)+0.5)/100</f>
        <v>0</v>
      </c>
      <c r="L47" s="123">
        <v>0</v>
      </c>
      <c r="M47" s="77">
        <f>INT((L47*Valores!$C$2*100*1.006901)+0.5)/100</f>
        <v>0</v>
      </c>
      <c r="N47" s="77">
        <f t="shared" si="0"/>
        <v>2834.8525157535</v>
      </c>
      <c r="O47" s="77">
        <f t="shared" si="1"/>
        <v>0</v>
      </c>
      <c r="P47" s="78">
        <f>Valores!$C$16</f>
        <v>3262.4095850500003</v>
      </c>
      <c r="Q47" s="78">
        <f>Valores!$D$4</f>
        <v>2354.08</v>
      </c>
      <c r="R47" s="61">
        <f>Valores!$C$26</f>
        <v>2369.1575009200001</v>
      </c>
      <c r="S47" s="87">
        <f>Valores!$C$42</f>
        <v>764.36875613000007</v>
      </c>
      <c r="T47" s="77">
        <f>Valores!$C$23</f>
        <v>2267.09801556</v>
      </c>
      <c r="U47" s="77">
        <f t="shared" si="12"/>
        <v>2267.09801556</v>
      </c>
      <c r="V47" s="77">
        <v>0</v>
      </c>
      <c r="W47" s="77">
        <v>0</v>
      </c>
      <c r="X47" s="116">
        <v>0</v>
      </c>
      <c r="Y47" s="77">
        <f>X47*Valores!$C$2*1.006901</f>
        <v>0</v>
      </c>
      <c r="Z47" s="77">
        <v>0</v>
      </c>
      <c r="AA47" s="89">
        <f>Valores!$C$29</f>
        <v>132.58872368000002</v>
      </c>
      <c r="AB47" s="77">
        <f t="shared" si="3"/>
        <v>0</v>
      </c>
      <c r="AC47" s="77">
        <f>Valores!$C$30</f>
        <v>132.59</v>
      </c>
      <c r="AD47" s="116">
        <v>0</v>
      </c>
      <c r="AE47" s="77">
        <f>AD47*Valores!$C$2*1.006901</f>
        <v>0</v>
      </c>
      <c r="AF47" s="77">
        <f>Valores!$C$51</f>
        <v>269.71857087000001</v>
      </c>
      <c r="AG47" s="77">
        <f>Valores!$C$52</f>
        <v>77.068202540000016</v>
      </c>
      <c r="AH47" s="77">
        <f>SUM(G47,I47,K47,M47,N47,O47,P47,Q47,R47,S47,U47,V47,W47,Y47,Z47,AA47,AB47,AC47,AE47,AF47,AG47)*Valores!$C$54</f>
        <v>0</v>
      </c>
      <c r="AI47" s="15">
        <f t="shared" si="7"/>
        <v>30331.481870503503</v>
      </c>
      <c r="AJ47" s="78">
        <f>Valores!$C$35</f>
        <v>216.04</v>
      </c>
      <c r="AK47" s="79">
        <f>Valores!$C$8</f>
        <v>205.50849410000001</v>
      </c>
      <c r="AL47" s="89">
        <v>113.02463725000001</v>
      </c>
      <c r="AM47" s="79">
        <f>IF($G$4="SI",SUM(AK47+AL47),AK47)*Valores!$C$54</f>
        <v>0</v>
      </c>
      <c r="AN47" s="12">
        <f t="shared" si="4"/>
        <v>534.57313135000004</v>
      </c>
      <c r="AO47" s="151">
        <f>AI47*-Valores!$C$56</f>
        <v>-3943.0926431654557</v>
      </c>
      <c r="AP47" s="151">
        <f>AI47*-Valores!$C$57</f>
        <v>-151.65740935251753</v>
      </c>
      <c r="AQ47" s="78">
        <f>AI47*-Valores!$C$58</f>
        <v>-1364.9166841726576</v>
      </c>
      <c r="AR47" s="78">
        <f>AI47*-Valores!$C$59</f>
        <v>-818.95001050359463</v>
      </c>
      <c r="AS47" s="78">
        <f>AI47*-Valores!$C$60</f>
        <v>-90.994445611510514</v>
      </c>
      <c r="AT47" s="15">
        <f t="shared" si="5"/>
        <v>25406.388265162874</v>
      </c>
      <c r="AU47" s="15">
        <f t="shared" si="6"/>
        <v>25861.360493220425</v>
      </c>
      <c r="AV47" s="78">
        <f>AI47*Valores!$C$61</f>
        <v>4853.0370992805611</v>
      </c>
      <c r="AW47" s="78">
        <f>AI47*Valores!$C$62</f>
        <v>1364.9166841726576</v>
      </c>
      <c r="AX47" s="78">
        <f>AI47*Valores!$C$64</f>
        <v>303.31481870503507</v>
      </c>
      <c r="AY47" s="78">
        <f>AI47*Valores!$C$65</f>
        <v>1061.6018654676227</v>
      </c>
      <c r="AZ47" s="78">
        <f>AI47*Valores!$C$66</f>
        <v>181.98889122302103</v>
      </c>
      <c r="BA47" s="78">
        <f t="shared" si="8"/>
        <v>1637.9000210071893</v>
      </c>
      <c r="BB47" s="20"/>
      <c r="BC47" s="20">
        <v>30</v>
      </c>
      <c r="BD47" s="9" t="s">
        <v>467</v>
      </c>
    </row>
    <row r="48" spans="1:56" s="9" customFormat="1" ht="11.25" customHeight="1" x14ac:dyDescent="0.15">
      <c r="A48" s="20">
        <v>47</v>
      </c>
      <c r="B48" s="20"/>
      <c r="C48" s="9" t="s">
        <v>78</v>
      </c>
      <c r="E48" s="10" t="s">
        <v>79</v>
      </c>
      <c r="F48" s="123">
        <v>88</v>
      </c>
      <c r="G48" s="7">
        <f>INT((F48*Valores!$C$2*100*1.006901)+0.5)/100</f>
        <v>463.13</v>
      </c>
      <c r="H48" s="113">
        <v>2622</v>
      </c>
      <c r="I48" s="77">
        <f>INT((H48*Valores!$C$2*100*1.006901)+0.5)/100</f>
        <v>13799.25</v>
      </c>
      <c r="J48" s="145">
        <v>0</v>
      </c>
      <c r="K48" s="77">
        <f>INT((J48*Valores!$C$2*100*1.006901)+0.5)/100</f>
        <v>0</v>
      </c>
      <c r="L48" s="120">
        <v>0</v>
      </c>
      <c r="M48" s="77">
        <f>INT((L48*Valores!$C$2*100*1.006901)+0.5)/100</f>
        <v>0</v>
      </c>
      <c r="N48" s="77">
        <f t="shared" si="0"/>
        <v>2594.0770157534994</v>
      </c>
      <c r="O48" s="77">
        <f t="shared" si="1"/>
        <v>0</v>
      </c>
      <c r="P48" s="78">
        <f>Valores!$C$16</f>
        <v>3262.4095850500003</v>
      </c>
      <c r="Q48" s="78">
        <f>Valores!$D$4</f>
        <v>2354.08</v>
      </c>
      <c r="R48" s="61">
        <f>Valores!$C$26</f>
        <v>2369.1575009200001</v>
      </c>
      <c r="S48" s="87">
        <f>Valores!$C$42</f>
        <v>764.36875613000007</v>
      </c>
      <c r="T48" s="77">
        <f>Valores!$C$23</f>
        <v>2267.09801556</v>
      </c>
      <c r="U48" s="77">
        <f t="shared" si="12"/>
        <v>2267.09801556</v>
      </c>
      <c r="V48" s="77">
        <v>0</v>
      </c>
      <c r="W48" s="77">
        <v>0</v>
      </c>
      <c r="X48" s="116">
        <v>0</v>
      </c>
      <c r="Y48" s="77">
        <f>X48*Valores!$C$2*1.006901</f>
        <v>0</v>
      </c>
      <c r="Z48" s="77">
        <v>0</v>
      </c>
      <c r="AA48" s="89">
        <f>Valores!$C$29</f>
        <v>132.58872368000002</v>
      </c>
      <c r="AB48" s="77">
        <f t="shared" si="3"/>
        <v>0</v>
      </c>
      <c r="AC48" s="77">
        <f>Valores!$C$30</f>
        <v>132.59</v>
      </c>
      <c r="AD48" s="116">
        <v>0</v>
      </c>
      <c r="AE48" s="77">
        <f>AD48*Valores!$C$2*1.006901</f>
        <v>0</v>
      </c>
      <c r="AF48" s="77">
        <f>Valores!$C$51</f>
        <v>269.71857087000001</v>
      </c>
      <c r="AG48" s="77">
        <f>Valores!$C$52</f>
        <v>77.068202540000016</v>
      </c>
      <c r="AH48" s="77">
        <f>SUM(G48,I48,K48,M48,N48,O48,P48,Q48,R48,S48,U48,V48,W48,Y48,Z48,AA48,AB48,AC48,AE48,AF48,AG48)*Valores!$C$54</f>
        <v>0</v>
      </c>
      <c r="AI48" s="15">
        <f t="shared" si="7"/>
        <v>28485.536370503502</v>
      </c>
      <c r="AJ48" s="78">
        <f>Valores!$C$35</f>
        <v>216.04</v>
      </c>
      <c r="AK48" s="79">
        <f>Valores!$C$8</f>
        <v>205.50849410000001</v>
      </c>
      <c r="AL48" s="89">
        <v>113.02463725000001</v>
      </c>
      <c r="AM48" s="79">
        <f>IF($G$4="SI",SUM(AK48+AL48),AK48)*Valores!$C$54</f>
        <v>0</v>
      </c>
      <c r="AN48" s="12">
        <f t="shared" si="4"/>
        <v>534.57313135000004</v>
      </c>
      <c r="AO48" s="151">
        <f>AI48*-Valores!$C$56</f>
        <v>-3703.1197281654554</v>
      </c>
      <c r="AP48" s="151">
        <f>AI48*-Valores!$C$57</f>
        <v>-142.42768185251751</v>
      </c>
      <c r="AQ48" s="78">
        <f>AI48*-Valores!$C$58</f>
        <v>-1281.8491366726576</v>
      </c>
      <c r="AR48" s="78">
        <f>AI48*-Valores!$C$59</f>
        <v>-769.10948200359462</v>
      </c>
      <c r="AS48" s="78">
        <f>AI48*-Valores!$C$60</f>
        <v>-85.456609111510502</v>
      </c>
      <c r="AT48" s="15">
        <f t="shared" si="5"/>
        <v>23892.712955162871</v>
      </c>
      <c r="AU48" s="15">
        <f t="shared" si="6"/>
        <v>24319.996000720421</v>
      </c>
      <c r="AV48" s="78">
        <f>AI48*Valores!$C$61</f>
        <v>4557.6858192805603</v>
      </c>
      <c r="AW48" s="78">
        <f>AI48*Valores!$C$62</f>
        <v>1281.8491366726576</v>
      </c>
      <c r="AX48" s="78">
        <f>AI48*Valores!$C$64</f>
        <v>284.85536370503502</v>
      </c>
      <c r="AY48" s="78">
        <f>AI48*Valores!$C$65</f>
        <v>996.9937729676227</v>
      </c>
      <c r="AZ48" s="78">
        <f>AI48*Valores!$C$66</f>
        <v>170.913218223021</v>
      </c>
      <c r="BA48" s="78">
        <f t="shared" si="8"/>
        <v>1538.2189640071892</v>
      </c>
      <c r="BB48" s="20"/>
      <c r="BC48" s="20">
        <v>30</v>
      </c>
      <c r="BD48" s="9" t="s">
        <v>467</v>
      </c>
    </row>
    <row r="49" spans="1:56" s="9" customFormat="1" ht="11.25" customHeight="1" x14ac:dyDescent="0.15">
      <c r="A49" s="20">
        <v>48</v>
      </c>
      <c r="B49" s="20"/>
      <c r="C49" s="9" t="s">
        <v>80</v>
      </c>
      <c r="E49" s="10" t="s">
        <v>81</v>
      </c>
      <c r="F49" s="123">
        <v>88</v>
      </c>
      <c r="G49" s="7">
        <f>INT((F49*Valores!$C$2*100*1.006901)+0.5)/100</f>
        <v>463.13</v>
      </c>
      <c r="H49" s="113">
        <v>2622</v>
      </c>
      <c r="I49" s="77">
        <f>INT((H49*Valores!$C$2*100*1.006901)+0.5)/100</f>
        <v>13799.25</v>
      </c>
      <c r="J49" s="145">
        <v>0</v>
      </c>
      <c r="K49" s="77">
        <f>INT((J49*Valores!$C$2*100*1.006901)+0.5)/100</f>
        <v>0</v>
      </c>
      <c r="L49" s="120">
        <v>0</v>
      </c>
      <c r="M49" s="77">
        <f>INT((L49*Valores!$C$2*100*1.006901)+0.5)/100</f>
        <v>0</v>
      </c>
      <c r="N49" s="77">
        <f t="shared" si="0"/>
        <v>2594.0770157534994</v>
      </c>
      <c r="O49" s="77">
        <f t="shared" si="1"/>
        <v>0</v>
      </c>
      <c r="P49" s="78">
        <f>Valores!$C$16</f>
        <v>3262.4095850500003</v>
      </c>
      <c r="Q49" s="78">
        <f>Valores!$D$4</f>
        <v>2354.08</v>
      </c>
      <c r="R49" s="77">
        <f>Valores!$C$26</f>
        <v>2369.1575009200001</v>
      </c>
      <c r="S49" s="79">
        <f>Valores!$C$42</f>
        <v>764.36875613000007</v>
      </c>
      <c r="T49" s="77">
        <f>Valores!$C$23</f>
        <v>2267.09801556</v>
      </c>
      <c r="U49" s="77">
        <f t="shared" si="12"/>
        <v>2267.09801556</v>
      </c>
      <c r="V49" s="77">
        <v>0</v>
      </c>
      <c r="W49" s="77">
        <v>0</v>
      </c>
      <c r="X49" s="116">
        <v>0</v>
      </c>
      <c r="Y49" s="77">
        <f>X49*Valores!$C$2*1.006901</f>
        <v>0</v>
      </c>
      <c r="Z49" s="77">
        <v>0</v>
      </c>
      <c r="AA49" s="89">
        <f>Valores!$C$29</f>
        <v>132.58872368000002</v>
      </c>
      <c r="AB49" s="77">
        <f t="shared" si="3"/>
        <v>0</v>
      </c>
      <c r="AC49" s="77">
        <f>Valores!$C$30</f>
        <v>132.59</v>
      </c>
      <c r="AD49" s="116">
        <v>0</v>
      </c>
      <c r="AE49" s="77">
        <f>AD49*Valores!$C$2*1.006901</f>
        <v>0</v>
      </c>
      <c r="AF49" s="77">
        <f>Valores!$C$51</f>
        <v>269.71857087000001</v>
      </c>
      <c r="AG49" s="77">
        <f>Valores!$C$52</f>
        <v>77.068202540000016</v>
      </c>
      <c r="AH49" s="77">
        <f>SUM(G49,I49,K49,M49,N49,O49,P49,Q49,R49,S49,U49,V49,W49,Y49,Z49,AA49,AB49,AC49,AE49,AF49,AG49)*Valores!$C$54</f>
        <v>0</v>
      </c>
      <c r="AI49" s="15">
        <f t="shared" si="7"/>
        <v>28485.536370503502</v>
      </c>
      <c r="AJ49" s="78">
        <f>Valores!$C$35</f>
        <v>216.04</v>
      </c>
      <c r="AK49" s="79">
        <f>Valores!$C$8</f>
        <v>205.50849410000001</v>
      </c>
      <c r="AL49" s="89">
        <v>113.02463725000001</v>
      </c>
      <c r="AM49" s="79">
        <f>IF($G$4="SI",SUM(AK49+AL49),AK49)*Valores!$C$54</f>
        <v>0</v>
      </c>
      <c r="AN49" s="12">
        <f t="shared" si="4"/>
        <v>534.57313135000004</v>
      </c>
      <c r="AO49" s="151">
        <f>AI49*-Valores!$C$56</f>
        <v>-3703.1197281654554</v>
      </c>
      <c r="AP49" s="151">
        <f>AI49*-Valores!$C$57</f>
        <v>-142.42768185251751</v>
      </c>
      <c r="AQ49" s="78">
        <f>AI49*-Valores!$C$58</f>
        <v>-1281.8491366726576</v>
      </c>
      <c r="AR49" s="78">
        <f>AI49*-Valores!$C$59</f>
        <v>-769.10948200359462</v>
      </c>
      <c r="AS49" s="78">
        <f>AI49*-Valores!$C$60</f>
        <v>-85.456609111510502</v>
      </c>
      <c r="AT49" s="15">
        <f t="shared" si="5"/>
        <v>23892.712955162871</v>
      </c>
      <c r="AU49" s="15">
        <f t="shared" si="6"/>
        <v>24319.996000720421</v>
      </c>
      <c r="AV49" s="78">
        <f>AI49*Valores!$C$61</f>
        <v>4557.6858192805603</v>
      </c>
      <c r="AW49" s="78">
        <f>AI49*Valores!$C$62</f>
        <v>1281.8491366726576</v>
      </c>
      <c r="AX49" s="78">
        <f>AI49*Valores!$C$64</f>
        <v>284.85536370503502</v>
      </c>
      <c r="AY49" s="78">
        <f>AI49*Valores!$C$65</f>
        <v>996.9937729676227</v>
      </c>
      <c r="AZ49" s="78">
        <f>AI49*Valores!$C$66</f>
        <v>170.913218223021</v>
      </c>
      <c r="BA49" s="78">
        <f t="shared" si="8"/>
        <v>1538.2189640071892</v>
      </c>
      <c r="BB49" s="20"/>
      <c r="BC49" s="20">
        <v>30</v>
      </c>
      <c r="BD49" s="9" t="s">
        <v>467</v>
      </c>
    </row>
    <row r="50" spans="1:56" s="9" customFormat="1" ht="11.25" customHeight="1" x14ac:dyDescent="0.15">
      <c r="A50" s="20">
        <v>49</v>
      </c>
      <c r="B50" s="20"/>
      <c r="C50" s="9" t="s">
        <v>82</v>
      </c>
      <c r="E50" s="10" t="s">
        <v>83</v>
      </c>
      <c r="F50" s="123">
        <v>80</v>
      </c>
      <c r="G50" s="7">
        <f>INT((F50*Valores!$C$2*100*1.006901)+0.5)/100</f>
        <v>421.03</v>
      </c>
      <c r="H50" s="113">
        <v>2278</v>
      </c>
      <c r="I50" s="77">
        <f>INT((H50*Valores!$C$2*100*1.006901)+0.5)/100</f>
        <v>11988.82</v>
      </c>
      <c r="J50" s="145">
        <v>0</v>
      </c>
      <c r="K50" s="77">
        <f>INT((J50*Valores!$C$2*100*1.006901)+0.5)/100</f>
        <v>0</v>
      </c>
      <c r="L50" s="120">
        <v>0</v>
      </c>
      <c r="M50" s="77">
        <f>INT((L50*Valores!$C$2*100*1.006901)+0.5)/100</f>
        <v>0</v>
      </c>
      <c r="N50" s="77">
        <f t="shared" si="0"/>
        <v>2316.1975157534998</v>
      </c>
      <c r="O50" s="77">
        <f t="shared" si="1"/>
        <v>0</v>
      </c>
      <c r="P50" s="78">
        <f>Valores!$C$16</f>
        <v>3262.4095850500003</v>
      </c>
      <c r="Q50" s="78">
        <f>Valores!$D$4</f>
        <v>2354.08</v>
      </c>
      <c r="R50" s="61">
        <f>Valores!$C$26</f>
        <v>2369.1575009200001</v>
      </c>
      <c r="S50" s="87">
        <f>Valores!$C$42</f>
        <v>764.36875613000007</v>
      </c>
      <c r="T50" s="77">
        <f>Valores!$C$23</f>
        <v>2267.09801556</v>
      </c>
      <c r="U50" s="77">
        <f t="shared" si="12"/>
        <v>2267.09801556</v>
      </c>
      <c r="V50" s="77">
        <v>0</v>
      </c>
      <c r="W50" s="77">
        <v>0</v>
      </c>
      <c r="X50" s="116">
        <v>0</v>
      </c>
      <c r="Y50" s="77">
        <f>X50*Valores!$C$2*1.006901</f>
        <v>0</v>
      </c>
      <c r="Z50" s="77">
        <v>0</v>
      </c>
      <c r="AA50" s="89">
        <f>Valores!$C$29</f>
        <v>132.58872368000002</v>
      </c>
      <c r="AB50" s="77">
        <f t="shared" si="3"/>
        <v>0</v>
      </c>
      <c r="AC50" s="77">
        <f>Valores!$C$30</f>
        <v>132.59</v>
      </c>
      <c r="AD50" s="116">
        <v>0</v>
      </c>
      <c r="AE50" s="77">
        <f>AD50*Valores!$C$2*1.006901</f>
        <v>0</v>
      </c>
      <c r="AF50" s="77">
        <f>Valores!$C$51</f>
        <v>269.71857087000001</v>
      </c>
      <c r="AG50" s="77">
        <f>Valores!$C$52</f>
        <v>77.068202540000016</v>
      </c>
      <c r="AH50" s="77">
        <f>SUM(G50,I50,K50,M50,N50,O50,P50,Q50,R50,S50,U50,V50,W50,Y50,Z50,AA50,AB50,AC50,AE50,AF50,AG50)*Valores!$C$54</f>
        <v>0</v>
      </c>
      <c r="AI50" s="15">
        <f t="shared" si="7"/>
        <v>26355.1268705035</v>
      </c>
      <c r="AJ50" s="78">
        <f>Valores!$C$35</f>
        <v>216.04</v>
      </c>
      <c r="AK50" s="79">
        <f>Valores!$C$8</f>
        <v>205.50849410000001</v>
      </c>
      <c r="AL50" s="89">
        <v>113.02463725000001</v>
      </c>
      <c r="AM50" s="79">
        <f>IF($G$4="SI",SUM(AK50+AL50),AK50)*Valores!$C$54</f>
        <v>0</v>
      </c>
      <c r="AN50" s="12">
        <f t="shared" si="4"/>
        <v>534.57313135000004</v>
      </c>
      <c r="AO50" s="151">
        <f>AI50*-Valores!$C$56</f>
        <v>-3426.166493165455</v>
      </c>
      <c r="AP50" s="151">
        <f>AI50*-Valores!$C$57</f>
        <v>-131.7756343525175</v>
      </c>
      <c r="AQ50" s="78">
        <f>AI50*-Valores!$C$58</f>
        <v>-1185.9807091726575</v>
      </c>
      <c r="AR50" s="78">
        <f>AI50*-Valores!$C$59</f>
        <v>-711.58842550359464</v>
      </c>
      <c r="AS50" s="78">
        <f>AI50*-Valores!$C$60</f>
        <v>-79.065380611510506</v>
      </c>
      <c r="AT50" s="15">
        <f t="shared" si="5"/>
        <v>22145.777165162868</v>
      </c>
      <c r="AU50" s="15">
        <f t="shared" si="6"/>
        <v>22541.104068220418</v>
      </c>
      <c r="AV50" s="78">
        <f>AI50*Valores!$C$61</f>
        <v>4216.82029928056</v>
      </c>
      <c r="AW50" s="78">
        <f>AI50*Valores!$C$62</f>
        <v>1185.9807091726575</v>
      </c>
      <c r="AX50" s="78">
        <f>AI50*Valores!$C$64</f>
        <v>263.551268705035</v>
      </c>
      <c r="AY50" s="78">
        <f>AI50*Valores!$C$65</f>
        <v>922.42944046762261</v>
      </c>
      <c r="AZ50" s="78">
        <f>AI50*Valores!$C$66</f>
        <v>158.13076122302101</v>
      </c>
      <c r="BA50" s="78">
        <f t="shared" si="8"/>
        <v>1423.176851007189</v>
      </c>
      <c r="BB50" s="20"/>
      <c r="BC50" s="20">
        <v>30</v>
      </c>
      <c r="BD50" s="9" t="s">
        <v>467</v>
      </c>
    </row>
    <row r="51" spans="1:56" s="9" customFormat="1" ht="11.25" customHeight="1" x14ac:dyDescent="0.15">
      <c r="A51" s="55">
        <v>50</v>
      </c>
      <c r="B51" s="55" t="s">
        <v>462</v>
      </c>
      <c r="C51" s="52" t="s">
        <v>84</v>
      </c>
      <c r="D51" s="52"/>
      <c r="E51" s="53" t="s">
        <v>85</v>
      </c>
      <c r="F51" s="124">
        <v>100</v>
      </c>
      <c r="G51" s="7">
        <f>INT((F51*Valores!$C$2*100*1.006901)+0.5)/100</f>
        <v>526.29</v>
      </c>
      <c r="H51" s="114">
        <v>3620</v>
      </c>
      <c r="I51" s="77">
        <f>INT((H51*Valores!$C$2*100*1.006901)+0.5)/100</f>
        <v>19051.59</v>
      </c>
      <c r="J51" s="146">
        <v>0</v>
      </c>
      <c r="K51" s="77">
        <f>INT((J51*Valores!$C$2*100*1.006901)+0.5)/100</f>
        <v>0</v>
      </c>
      <c r="L51" s="121">
        <v>0</v>
      </c>
      <c r="M51" s="77">
        <f>INT((L51*Valores!$C$2*100*1.006901)+0.5)/100</f>
        <v>0</v>
      </c>
      <c r="N51" s="80">
        <f t="shared" si="0"/>
        <v>3448.7289172875003</v>
      </c>
      <c r="O51" s="80">
        <f t="shared" si="1"/>
        <v>0</v>
      </c>
      <c r="P51" s="81">
        <f>Valores!$C$16</f>
        <v>3262.4095850500003</v>
      </c>
      <c r="Q51" s="81">
        <f>Valores!$D$4</f>
        <v>2354.08</v>
      </c>
      <c r="R51" s="85">
        <f>Valores!$C$26</f>
        <v>2369.1575009200001</v>
      </c>
      <c r="S51" s="88">
        <f>Valores!$C$43</f>
        <v>1146.5480996900001</v>
      </c>
      <c r="T51" s="80">
        <f>Valores!$C$23</f>
        <v>2267.09801556</v>
      </c>
      <c r="U51" s="80">
        <f t="shared" si="12"/>
        <v>2267.09801556</v>
      </c>
      <c r="V51" s="80">
        <v>0</v>
      </c>
      <c r="W51" s="80">
        <v>0</v>
      </c>
      <c r="X51" s="115">
        <v>0</v>
      </c>
      <c r="Y51" s="77">
        <f>X51*Valores!$C$2*1.006901</f>
        <v>0</v>
      </c>
      <c r="Z51" s="80">
        <v>0</v>
      </c>
      <c r="AA51" s="90">
        <f>Valores!$C$29</f>
        <v>132.58872368000002</v>
      </c>
      <c r="AB51" s="80">
        <f t="shared" si="3"/>
        <v>0</v>
      </c>
      <c r="AC51" s="80">
        <f>Valores!$C$30</f>
        <v>132.59</v>
      </c>
      <c r="AD51" s="115">
        <v>0</v>
      </c>
      <c r="AE51" s="77">
        <f>AD51*Valores!$C$2*1.006901</f>
        <v>0</v>
      </c>
      <c r="AF51" s="80">
        <f>Valores!$C$51</f>
        <v>269.71857087000001</v>
      </c>
      <c r="AG51" s="80">
        <f>Valores!$C$52</f>
        <v>77.068202540000016</v>
      </c>
      <c r="AH51" s="80">
        <f>SUM(G51,I51,K51,M51,N51,O51,P51,Q51,R51,S51,U51,V51,W51,Y51,Z51,AA51,AB51,AC51,AE51,AF51,AG51)*Valores!$C$54</f>
        <v>0</v>
      </c>
      <c r="AI51" s="54">
        <f t="shared" si="7"/>
        <v>35037.867615597497</v>
      </c>
      <c r="AJ51" s="81">
        <f>Valores!$C$35</f>
        <v>216.04</v>
      </c>
      <c r="AK51" s="82">
        <f>Valores!$C$9</f>
        <v>308.25267214000002</v>
      </c>
      <c r="AL51" s="90">
        <v>128.09794522000001</v>
      </c>
      <c r="AM51" s="82">
        <f>IF($G$4="SI",SUM(AK51+AL51),AK51)*Valores!$C$54</f>
        <v>0</v>
      </c>
      <c r="AN51" s="184">
        <f t="shared" si="4"/>
        <v>652.39061736000008</v>
      </c>
      <c r="AO51" s="152">
        <f>AI51*-Valores!$C$56</f>
        <v>-4554.9227900276746</v>
      </c>
      <c r="AP51" s="152">
        <f>AI51*-Valores!$C$57</f>
        <v>-175.18933807798749</v>
      </c>
      <c r="AQ51" s="81">
        <f>AI51*-Valores!$C$58</f>
        <v>-1576.7040427018874</v>
      </c>
      <c r="AR51" s="81">
        <f>AI51*-Valores!$C$59</f>
        <v>-946.02242562113258</v>
      </c>
      <c r="AS51" s="81">
        <f>AI51*-Valores!$C$60</f>
        <v>-105.11360284679249</v>
      </c>
      <c r="AT51" s="54">
        <f t="shared" si="5"/>
        <v>29383.442062149945</v>
      </c>
      <c r="AU51" s="54">
        <f t="shared" si="6"/>
        <v>29909.010076383911</v>
      </c>
      <c r="AV51" s="81">
        <f>AI51*Valores!$C$61</f>
        <v>5606.0588184955996</v>
      </c>
      <c r="AW51" s="81">
        <f>AI51*Valores!$C$62</f>
        <v>1576.7040427018874</v>
      </c>
      <c r="AX51" s="81">
        <f>AI51*Valores!$C$64</f>
        <v>350.37867615597497</v>
      </c>
      <c r="AY51" s="81">
        <f>AI51*Valores!$C$65</f>
        <v>1226.3253665459126</v>
      </c>
      <c r="AZ51" s="81">
        <f>AI51*Valores!$C$66</f>
        <v>210.22720569358498</v>
      </c>
      <c r="BA51" s="81">
        <f t="shared" si="8"/>
        <v>1892.0448512422649</v>
      </c>
      <c r="BB51" s="55"/>
      <c r="BC51" s="55"/>
      <c r="BD51" s="52" t="s">
        <v>467</v>
      </c>
    </row>
    <row r="52" spans="1:56" s="9" customFormat="1" ht="11.25" customHeight="1" x14ac:dyDescent="0.15">
      <c r="A52" s="20">
        <v>51</v>
      </c>
      <c r="B52" s="20"/>
      <c r="C52" s="9" t="s">
        <v>86</v>
      </c>
      <c r="E52" s="10" t="s">
        <v>87</v>
      </c>
      <c r="F52" s="123">
        <v>100</v>
      </c>
      <c r="G52" s="7">
        <f>INT((F52*Valores!$C$2*100*1.006901)+0.5)/100</f>
        <v>526.29</v>
      </c>
      <c r="H52" s="113">
        <v>3560</v>
      </c>
      <c r="I52" s="77">
        <f>INT((H52*Valores!$C$2*100*1.006901)+0.5)/100</f>
        <v>18735.82</v>
      </c>
      <c r="J52" s="145">
        <v>0</v>
      </c>
      <c r="K52" s="77">
        <f>INT((J52*Valores!$C$2*100*1.006901)+0.5)/100</f>
        <v>0</v>
      </c>
      <c r="L52" s="120">
        <v>0</v>
      </c>
      <c r="M52" s="77">
        <f>INT((L52*Valores!$C$2*100*1.006901)+0.5)/100</f>
        <v>0</v>
      </c>
      <c r="N52" s="77">
        <f t="shared" si="0"/>
        <v>3401.3634172875004</v>
      </c>
      <c r="O52" s="77">
        <f t="shared" si="1"/>
        <v>0</v>
      </c>
      <c r="P52" s="78">
        <f>Valores!$C$16</f>
        <v>3262.4095850500003</v>
      </c>
      <c r="Q52" s="78">
        <f>Valores!$D$4</f>
        <v>2354.08</v>
      </c>
      <c r="R52" s="77">
        <v>0</v>
      </c>
      <c r="S52" s="79">
        <f>Valores!$C$43</f>
        <v>1146.5480996900001</v>
      </c>
      <c r="T52" s="77">
        <f>Valores!$C$23</f>
        <v>2267.09801556</v>
      </c>
      <c r="U52" s="77">
        <f t="shared" si="12"/>
        <v>2267.09801556</v>
      </c>
      <c r="V52" s="77">
        <v>0</v>
      </c>
      <c r="W52" s="77">
        <v>0</v>
      </c>
      <c r="X52" s="116">
        <v>0</v>
      </c>
      <c r="Y52" s="77">
        <f>X52*Valores!$C$2*1.006901</f>
        <v>0</v>
      </c>
      <c r="Z52" s="77">
        <v>0</v>
      </c>
      <c r="AA52" s="89">
        <f>Valores!$C$29</f>
        <v>132.58872368000002</v>
      </c>
      <c r="AB52" s="77">
        <f t="shared" si="3"/>
        <v>0</v>
      </c>
      <c r="AC52" s="77">
        <f>Valores!$C$30</f>
        <v>132.59</v>
      </c>
      <c r="AD52" s="116">
        <v>0</v>
      </c>
      <c r="AE52" s="77">
        <f>AD52*Valores!$C$2*1.006901</f>
        <v>0</v>
      </c>
      <c r="AF52" s="77">
        <f>Valores!$C$51</f>
        <v>269.71857087000001</v>
      </c>
      <c r="AG52" s="77">
        <f>Valores!$C$52</f>
        <v>77.068202540000016</v>
      </c>
      <c r="AH52" s="77">
        <f>SUM(G52,I52,K52,M52,N52,O52,P52,Q52,R52,S52,U52,V52,W52,Y52,Z52,AA52,AB52,AC52,AE52,AF52,AG52)*Valores!$C$54</f>
        <v>0</v>
      </c>
      <c r="AI52" s="15">
        <f t="shared" si="7"/>
        <v>32305.574614677502</v>
      </c>
      <c r="AJ52" s="78">
        <f>Valores!$C$35</f>
        <v>216.04</v>
      </c>
      <c r="AK52" s="79">
        <f>Valores!$C$9</f>
        <v>308.25267214000002</v>
      </c>
      <c r="AL52" s="89">
        <v>0</v>
      </c>
      <c r="AM52" s="79">
        <f>IF($G$4="SI",SUM(AK52+AL52),AK52)*Valores!$C$54</f>
        <v>0</v>
      </c>
      <c r="AN52" s="12">
        <f t="shared" si="4"/>
        <v>524.29267214000004</v>
      </c>
      <c r="AO52" s="151">
        <f>AI52*-Valores!$C$56</f>
        <v>-4199.7246999080753</v>
      </c>
      <c r="AP52" s="151">
        <f>AI52*-Valores!$C$57</f>
        <v>-161.52787307338752</v>
      </c>
      <c r="AQ52" s="78">
        <f>AI52*-Valores!$C$58</f>
        <v>-1453.7508576604876</v>
      </c>
      <c r="AR52" s="78">
        <f>AI52*-Valores!$C$59</f>
        <v>-872.25051459629265</v>
      </c>
      <c r="AS52" s="78">
        <f>AI52*-Valores!$C$60</f>
        <v>-96.916723844032504</v>
      </c>
      <c r="AT52" s="15">
        <f t="shared" si="5"/>
        <v>27014.863856175554</v>
      </c>
      <c r="AU52" s="15">
        <f t="shared" si="6"/>
        <v>27499.447475395718</v>
      </c>
      <c r="AV52" s="78">
        <f>AI52*Valores!$C$61</f>
        <v>5168.8919383484008</v>
      </c>
      <c r="AW52" s="78">
        <f>AI52*Valores!$C$62</f>
        <v>1453.7508576604876</v>
      </c>
      <c r="AX52" s="78">
        <f>AI52*Valores!$C$64</f>
        <v>323.05574614677505</v>
      </c>
      <c r="AY52" s="78">
        <f>AI52*Valores!$C$65</f>
        <v>1130.6951115137126</v>
      </c>
      <c r="AZ52" s="78">
        <f>AI52*Valores!$C$66</f>
        <v>193.83344768806501</v>
      </c>
      <c r="BA52" s="78">
        <f t="shared" si="8"/>
        <v>1744.5010291925853</v>
      </c>
      <c r="BB52" s="20"/>
      <c r="BC52" s="20"/>
      <c r="BD52" s="9" t="s">
        <v>466</v>
      </c>
    </row>
    <row r="53" spans="1:56" s="9" customFormat="1" ht="11.25" customHeight="1" x14ac:dyDescent="0.15">
      <c r="A53" s="20">
        <v>52</v>
      </c>
      <c r="B53" s="20"/>
      <c r="C53" s="9" t="s">
        <v>88</v>
      </c>
      <c r="E53" s="10" t="s">
        <v>89</v>
      </c>
      <c r="F53" s="123">
        <v>100</v>
      </c>
      <c r="G53" s="7">
        <f>INT((F53*Valores!$C$2*100*1.006901)+0.5)/100</f>
        <v>526.29</v>
      </c>
      <c r="H53" s="113">
        <v>3360</v>
      </c>
      <c r="I53" s="77">
        <f>INT((H53*Valores!$C$2*100*1.006901)+0.5)/100</f>
        <v>17683.240000000002</v>
      </c>
      <c r="J53" s="145">
        <v>0</v>
      </c>
      <c r="K53" s="77">
        <f>INT((J53*Valores!$C$2*100*1.006901)+0.5)/100</f>
        <v>0</v>
      </c>
      <c r="L53" s="120">
        <v>0</v>
      </c>
      <c r="M53" s="77">
        <f>INT((L53*Valores!$C$2*100*1.006901)+0.5)/100</f>
        <v>0</v>
      </c>
      <c r="N53" s="77">
        <f t="shared" si="0"/>
        <v>3243.4764172875007</v>
      </c>
      <c r="O53" s="77">
        <f t="shared" si="1"/>
        <v>0</v>
      </c>
      <c r="P53" s="78">
        <f>Valores!$C$16</f>
        <v>3262.4095850500003</v>
      </c>
      <c r="Q53" s="78">
        <f>Valores!$D$4</f>
        <v>2354.08</v>
      </c>
      <c r="R53" s="61">
        <f>Valores!$C$26</f>
        <v>2369.1575009200001</v>
      </c>
      <c r="S53" s="87">
        <f>Valores!$C$43</f>
        <v>1146.5480996900001</v>
      </c>
      <c r="T53" s="77">
        <f>Valores!$C$23</f>
        <v>2267.09801556</v>
      </c>
      <c r="U53" s="77">
        <f t="shared" si="12"/>
        <v>2267.09801556</v>
      </c>
      <c r="V53" s="77">
        <v>0</v>
      </c>
      <c r="W53" s="77">
        <v>0</v>
      </c>
      <c r="X53" s="116">
        <v>0</v>
      </c>
      <c r="Y53" s="77">
        <f>X53*Valores!$C$2*1.006901</f>
        <v>0</v>
      </c>
      <c r="Z53" s="77">
        <v>0</v>
      </c>
      <c r="AA53" s="89">
        <f>Valores!$C$29</f>
        <v>132.58872368000002</v>
      </c>
      <c r="AB53" s="77">
        <f t="shared" si="3"/>
        <v>0</v>
      </c>
      <c r="AC53" s="77">
        <f>Valores!$C$30</f>
        <v>132.59</v>
      </c>
      <c r="AD53" s="116">
        <v>0</v>
      </c>
      <c r="AE53" s="77">
        <f>AD53*Valores!$C$2*1.006901</f>
        <v>0</v>
      </c>
      <c r="AF53" s="77">
        <f>Valores!$C$51</f>
        <v>269.71857087000001</v>
      </c>
      <c r="AG53" s="77">
        <f>Valores!$C$52</f>
        <v>77.068202540000016</v>
      </c>
      <c r="AH53" s="77">
        <f>SUM(G53,I53,K53,M53,N53,O53,P53,Q53,R53,S53,U53,V53,W53,Y53,Z53,AA53,AB53,AC53,AE53,AF53,AG53)*Valores!$C$54</f>
        <v>0</v>
      </c>
      <c r="AI53" s="15">
        <f t="shared" si="7"/>
        <v>33464.265115597504</v>
      </c>
      <c r="AJ53" s="78">
        <f>Valores!$C$35</f>
        <v>216.04</v>
      </c>
      <c r="AK53" s="79">
        <f>Valores!$C$9</f>
        <v>308.25267214000002</v>
      </c>
      <c r="AL53" s="89">
        <v>0</v>
      </c>
      <c r="AM53" s="79">
        <f>IF($G$4="SI",SUM(AK53+AL53),AK53)*Valores!$C$54</f>
        <v>0</v>
      </c>
      <c r="AN53" s="12">
        <f t="shared" si="4"/>
        <v>524.29267214000004</v>
      </c>
      <c r="AO53" s="151">
        <f>AI53*-Valores!$C$56</f>
        <v>-4350.3544650276754</v>
      </c>
      <c r="AP53" s="151">
        <f>AI53*-Valores!$C$57</f>
        <v>-167.32132557798752</v>
      </c>
      <c r="AQ53" s="78">
        <f>AI53*-Valores!$C$58</f>
        <v>-1505.8919302018876</v>
      </c>
      <c r="AR53" s="78">
        <f>AI53*-Valores!$C$59</f>
        <v>-903.53515812113267</v>
      </c>
      <c r="AS53" s="78">
        <f>AI53*-Valores!$C$60</f>
        <v>-100.39279534679251</v>
      </c>
      <c r="AT53" s="15">
        <f t="shared" si="5"/>
        <v>27964.990066929957</v>
      </c>
      <c r="AU53" s="15">
        <f t="shared" si="6"/>
        <v>28466.954043663914</v>
      </c>
      <c r="AV53" s="78">
        <f>AI53*Valores!$C$61</f>
        <v>5354.2824184956007</v>
      </c>
      <c r="AW53" s="78">
        <f>AI53*Valores!$C$62</f>
        <v>1505.8919302018876</v>
      </c>
      <c r="AX53" s="78">
        <f>AI53*Valores!$C$64</f>
        <v>334.64265115597505</v>
      </c>
      <c r="AY53" s="78">
        <f>AI53*Valores!$C$65</f>
        <v>1171.2492790459128</v>
      </c>
      <c r="AZ53" s="78">
        <f>AI53*Valores!$C$66</f>
        <v>200.78559069358502</v>
      </c>
      <c r="BA53" s="78">
        <f t="shared" si="8"/>
        <v>1807.0703162422653</v>
      </c>
      <c r="BB53" s="20"/>
      <c r="BC53" s="20"/>
      <c r="BD53" s="9" t="s">
        <v>467</v>
      </c>
    </row>
    <row r="54" spans="1:56" s="9" customFormat="1" ht="11.25" customHeight="1" x14ac:dyDescent="0.15">
      <c r="A54" s="20">
        <v>53</v>
      </c>
      <c r="B54" s="20"/>
      <c r="C54" s="9" t="s">
        <v>90</v>
      </c>
      <c r="E54" s="10" t="s">
        <v>91</v>
      </c>
      <c r="F54" s="123">
        <v>98</v>
      </c>
      <c r="G54" s="7">
        <f>INT((F54*Valores!$C$2*100*1.006901)+0.5)/100</f>
        <v>515.76</v>
      </c>
      <c r="H54" s="113">
        <v>2686</v>
      </c>
      <c r="I54" s="77">
        <f>INT((H54*Valores!$C$2*100*1.006901)+0.5)/100</f>
        <v>14136.07</v>
      </c>
      <c r="J54" s="145">
        <v>0</v>
      </c>
      <c r="K54" s="77">
        <f>INT((J54*Valores!$C$2*100*1.006901)+0.5)/100</f>
        <v>0</v>
      </c>
      <c r="L54" s="120">
        <v>0</v>
      </c>
      <c r="M54" s="77">
        <f>INT((L54*Valores!$C$2*100*1.006901)+0.5)/100</f>
        <v>0</v>
      </c>
      <c r="N54" s="77">
        <f t="shared" si="0"/>
        <v>2652.4945157534999</v>
      </c>
      <c r="O54" s="77">
        <f t="shared" si="1"/>
        <v>0</v>
      </c>
      <c r="P54" s="78">
        <f>Valores!$C$16</f>
        <v>3262.4095850500003</v>
      </c>
      <c r="Q54" s="78">
        <f>Valores!$D$4</f>
        <v>2354.08</v>
      </c>
      <c r="R54" s="77">
        <f>Valores!$C$26</f>
        <v>2369.1575009200001</v>
      </c>
      <c r="S54" s="79">
        <f>Valores!$C$42</f>
        <v>764.36875613000007</v>
      </c>
      <c r="T54" s="77">
        <f>Valores!$C$23</f>
        <v>2267.09801556</v>
      </c>
      <c r="U54" s="77">
        <f t="shared" si="12"/>
        <v>2267.09801556</v>
      </c>
      <c r="V54" s="77">
        <v>0</v>
      </c>
      <c r="W54" s="77">
        <v>0</v>
      </c>
      <c r="X54" s="116">
        <v>0</v>
      </c>
      <c r="Y54" s="77">
        <f>X54*Valores!$C$2*1.006901</f>
        <v>0</v>
      </c>
      <c r="Z54" s="77">
        <v>0</v>
      </c>
      <c r="AA54" s="89">
        <f>Valores!$C$29</f>
        <v>132.58872368000002</v>
      </c>
      <c r="AB54" s="77">
        <f t="shared" si="3"/>
        <v>0</v>
      </c>
      <c r="AC54" s="77">
        <f>Valores!$C$30</f>
        <v>132.59</v>
      </c>
      <c r="AD54" s="116">
        <v>0</v>
      </c>
      <c r="AE54" s="77">
        <f>AD54*Valores!$C$2*1.006901</f>
        <v>0</v>
      </c>
      <c r="AF54" s="77">
        <f>Valores!$C$51</f>
        <v>269.71857087000001</v>
      </c>
      <c r="AG54" s="77">
        <f>Valores!$C$52</f>
        <v>77.068202540000016</v>
      </c>
      <c r="AH54" s="77">
        <f>SUM(G54,I54,K54,M54,N54,O54,P54,Q54,R54,S54,U54,V54,W54,Y54,Z54,AA54,AB54,AC54,AE54,AF54,AG54)*Valores!$C$54</f>
        <v>0</v>
      </c>
      <c r="AI54" s="15">
        <f t="shared" si="7"/>
        <v>28933.403870503502</v>
      </c>
      <c r="AJ54" s="78">
        <f>Valores!$C$35</f>
        <v>216.04</v>
      </c>
      <c r="AK54" s="79">
        <f>Valores!$C$8</f>
        <v>205.50849410000001</v>
      </c>
      <c r="AL54" s="89">
        <v>113.02463725000001</v>
      </c>
      <c r="AM54" s="79">
        <f>IF($G$4="SI",SUM(AK54+AL54),AK54)*Valores!$C$54</f>
        <v>0</v>
      </c>
      <c r="AN54" s="12">
        <f t="shared" si="4"/>
        <v>534.57313135000004</v>
      </c>
      <c r="AO54" s="151">
        <f>AI54*-Valores!$C$56</f>
        <v>-3761.3425031654556</v>
      </c>
      <c r="AP54" s="151">
        <f>AI54*-Valores!$C$57</f>
        <v>-144.66701935251751</v>
      </c>
      <c r="AQ54" s="78">
        <f>AI54*-Valores!$C$58</f>
        <v>-1302.0031741726575</v>
      </c>
      <c r="AR54" s="78">
        <f>AI54*-Valores!$C$59</f>
        <v>-781.20190450359462</v>
      </c>
      <c r="AS54" s="78">
        <f>AI54*-Valores!$C$60</f>
        <v>-86.800211611510505</v>
      </c>
      <c r="AT54" s="15">
        <f t="shared" si="5"/>
        <v>24259.964305162874</v>
      </c>
      <c r="AU54" s="15">
        <f t="shared" si="6"/>
        <v>24693.965363220424</v>
      </c>
      <c r="AV54" s="78">
        <f>AI54*Valores!$C$61</f>
        <v>4629.3446192805604</v>
      </c>
      <c r="AW54" s="78">
        <f>AI54*Valores!$C$62</f>
        <v>1302.0031741726575</v>
      </c>
      <c r="AX54" s="78">
        <f>AI54*Valores!$C$64</f>
        <v>289.33403870503503</v>
      </c>
      <c r="AY54" s="78">
        <f>AI54*Valores!$C$65</f>
        <v>1012.6691354676227</v>
      </c>
      <c r="AZ54" s="78">
        <f>AI54*Valores!$C$66</f>
        <v>173.60042322302101</v>
      </c>
      <c r="BA54" s="78">
        <f t="shared" si="8"/>
        <v>1562.403809007189</v>
      </c>
      <c r="BB54" s="20"/>
      <c r="BC54" s="20">
        <v>30</v>
      </c>
      <c r="BD54" s="9" t="s">
        <v>467</v>
      </c>
    </row>
    <row r="55" spans="1:56" s="9" customFormat="1" ht="11.25" customHeight="1" x14ac:dyDescent="0.15">
      <c r="A55" s="20">
        <v>54</v>
      </c>
      <c r="B55" s="20"/>
      <c r="C55" s="9" t="s">
        <v>92</v>
      </c>
      <c r="E55" s="10" t="s">
        <v>93</v>
      </c>
      <c r="F55" s="123">
        <v>94</v>
      </c>
      <c r="G55" s="7">
        <f>INT((F55*Valores!$C$2*100*1.006901)+0.5)/100</f>
        <v>494.71</v>
      </c>
      <c r="H55" s="113">
        <v>2690</v>
      </c>
      <c r="I55" s="77">
        <f>INT((H55*Valores!$C$2*100*1.006901)+0.5)/100</f>
        <v>14157.12</v>
      </c>
      <c r="J55" s="145">
        <v>0</v>
      </c>
      <c r="K55" s="77">
        <f>INT((J55*Valores!$C$2*100*1.006901)+0.5)/100</f>
        <v>0</v>
      </c>
      <c r="L55" s="120">
        <v>0</v>
      </c>
      <c r="M55" s="77">
        <f>INT((L55*Valores!$C$2*100*1.006901)+0.5)/100</f>
        <v>0</v>
      </c>
      <c r="N55" s="77">
        <f t="shared" si="0"/>
        <v>2652.4945157534999</v>
      </c>
      <c r="O55" s="77">
        <f t="shared" si="1"/>
        <v>0</v>
      </c>
      <c r="P55" s="78">
        <f>Valores!$C$16</f>
        <v>3262.4095850500003</v>
      </c>
      <c r="Q55" s="78">
        <f>Valores!$D$4</f>
        <v>2354.08</v>
      </c>
      <c r="R55" s="61">
        <f>Valores!$C$26</f>
        <v>2369.1575009200001</v>
      </c>
      <c r="S55" s="87">
        <f>Valores!$C$42</f>
        <v>764.36875613000007</v>
      </c>
      <c r="T55" s="77">
        <f>Valores!$C$23</f>
        <v>2267.09801556</v>
      </c>
      <c r="U55" s="77">
        <f t="shared" si="12"/>
        <v>2267.09801556</v>
      </c>
      <c r="V55" s="77">
        <v>0</v>
      </c>
      <c r="W55" s="77">
        <v>0</v>
      </c>
      <c r="X55" s="116">
        <v>0</v>
      </c>
      <c r="Y55" s="77">
        <f>X55*Valores!$C$2*1.006901</f>
        <v>0</v>
      </c>
      <c r="Z55" s="77">
        <v>0</v>
      </c>
      <c r="AA55" s="89">
        <f>Valores!$C$29</f>
        <v>132.58872368000002</v>
      </c>
      <c r="AB55" s="77">
        <f t="shared" si="3"/>
        <v>0</v>
      </c>
      <c r="AC55" s="77">
        <f>Valores!$C$30</f>
        <v>132.59</v>
      </c>
      <c r="AD55" s="116">
        <v>94</v>
      </c>
      <c r="AE55" s="77">
        <f>AD55*Valores!$C$2*1.006901</f>
        <v>494.70979379919999</v>
      </c>
      <c r="AF55" s="77">
        <f>Valores!$C$51</f>
        <v>269.71857087000001</v>
      </c>
      <c r="AG55" s="77">
        <f>Valores!$C$52</f>
        <v>77.068202540000016</v>
      </c>
      <c r="AH55" s="77">
        <f>SUM(G55,I55,K55,M55,N55,O55,P55,Q55,R55,S55,U55,V55,W55,Y55,Z55,AA55,AB55,AC55,AE55,AF55,AG55)*Valores!$C$54</f>
        <v>0</v>
      </c>
      <c r="AI55" s="15">
        <f t="shared" si="7"/>
        <v>29428.113664302702</v>
      </c>
      <c r="AJ55" s="78">
        <f>Valores!$C$35</f>
        <v>216.04</v>
      </c>
      <c r="AK55" s="79">
        <f>Valores!$C$8</f>
        <v>205.50849410000001</v>
      </c>
      <c r="AL55" s="89">
        <v>113.2763625</v>
      </c>
      <c r="AM55" s="79">
        <f>IF($G$4="SI",SUM(AK55+AL55),AK55)*Valores!$C$54</f>
        <v>0</v>
      </c>
      <c r="AN55" s="12">
        <f t="shared" si="4"/>
        <v>534.82485659999998</v>
      </c>
      <c r="AO55" s="151">
        <f>AI55*-Valores!$C$56</f>
        <v>-3825.6547763593512</v>
      </c>
      <c r="AP55" s="151">
        <f>AI55*-Valores!$C$57</f>
        <v>-147.14056832151351</v>
      </c>
      <c r="AQ55" s="78">
        <f>AI55*-Valores!$C$58</f>
        <v>-1324.2651148936216</v>
      </c>
      <c r="AR55" s="78">
        <f>AI55*-Valores!$C$59</f>
        <v>-794.55906893617305</v>
      </c>
      <c r="AS55" s="78">
        <f>AI55*-Valores!$C$60</f>
        <v>-88.284340992908113</v>
      </c>
      <c r="AT55" s="15">
        <f t="shared" si="5"/>
        <v>24665.878061328218</v>
      </c>
      <c r="AU55" s="15">
        <f t="shared" si="6"/>
        <v>25107.299766292756</v>
      </c>
      <c r="AV55" s="78">
        <f>AI55*Valores!$C$61</f>
        <v>4708.4981862884324</v>
      </c>
      <c r="AW55" s="78">
        <f>AI55*Valores!$C$62</f>
        <v>1324.2651148936216</v>
      </c>
      <c r="AX55" s="78">
        <f>AI55*Valores!$C$64</f>
        <v>294.28113664302703</v>
      </c>
      <c r="AY55" s="78">
        <f>AI55*Valores!$C$65</f>
        <v>1029.9839782505946</v>
      </c>
      <c r="AZ55" s="78">
        <f>AI55*Valores!$C$66</f>
        <v>176.56868198581623</v>
      </c>
      <c r="BA55" s="78">
        <f t="shared" si="8"/>
        <v>1589.1181378723459</v>
      </c>
      <c r="BB55" s="20"/>
      <c r="BC55" s="20">
        <v>25</v>
      </c>
      <c r="BD55" s="9" t="s">
        <v>467</v>
      </c>
    </row>
    <row r="56" spans="1:56" s="9" customFormat="1" ht="11.25" customHeight="1" x14ac:dyDescent="0.15">
      <c r="A56" s="55">
        <v>55</v>
      </c>
      <c r="B56" s="55" t="s">
        <v>462</v>
      </c>
      <c r="C56" s="52" t="s">
        <v>94</v>
      </c>
      <c r="D56" s="52"/>
      <c r="E56" s="53" t="s">
        <v>95</v>
      </c>
      <c r="F56" s="124">
        <v>93</v>
      </c>
      <c r="G56" s="7">
        <f>INT((F56*Valores!$C$2*100*1.006901)+0.5)/100</f>
        <v>489.45</v>
      </c>
      <c r="H56" s="114">
        <v>2547</v>
      </c>
      <c r="I56" s="77">
        <f>INT((H56*Valores!$C$2*100*1.006901)+0.5)/100</f>
        <v>13404.53</v>
      </c>
      <c r="J56" s="146">
        <v>0</v>
      </c>
      <c r="K56" s="77">
        <f>INT((J56*Valores!$C$2*100*1.006901)+0.5)/100</f>
        <v>0</v>
      </c>
      <c r="L56" s="121">
        <v>0</v>
      </c>
      <c r="M56" s="77">
        <f>INT((L56*Valores!$C$2*100*1.006901)+0.5)/100</f>
        <v>0</v>
      </c>
      <c r="N56" s="80">
        <f t="shared" si="0"/>
        <v>2538.8170157535001</v>
      </c>
      <c r="O56" s="80">
        <f t="shared" si="1"/>
        <v>0</v>
      </c>
      <c r="P56" s="81">
        <f>Valores!$C$16</f>
        <v>3262.4095850500003</v>
      </c>
      <c r="Q56" s="81">
        <f>Valores!$D$4</f>
        <v>2354.08</v>
      </c>
      <c r="R56" s="85">
        <f>Valores!$C$26</f>
        <v>2369.1575009200001</v>
      </c>
      <c r="S56" s="88">
        <f>Valores!$C$42</f>
        <v>764.36875613000007</v>
      </c>
      <c r="T56" s="80">
        <f>Valores!$C$23</f>
        <v>2267.09801556</v>
      </c>
      <c r="U56" s="80">
        <f t="shared" si="12"/>
        <v>2267.09801556</v>
      </c>
      <c r="V56" s="80">
        <v>0</v>
      </c>
      <c r="W56" s="80">
        <v>0</v>
      </c>
      <c r="X56" s="115">
        <v>0</v>
      </c>
      <c r="Y56" s="77">
        <f>X56*Valores!$C$2*1.006901</f>
        <v>0</v>
      </c>
      <c r="Z56" s="80">
        <v>0</v>
      </c>
      <c r="AA56" s="90">
        <f>Valores!$C$29</f>
        <v>132.58872368000002</v>
      </c>
      <c r="AB56" s="80">
        <f t="shared" si="3"/>
        <v>0</v>
      </c>
      <c r="AC56" s="80">
        <f>Valores!$C$30</f>
        <v>132.59</v>
      </c>
      <c r="AD56" s="115">
        <v>0</v>
      </c>
      <c r="AE56" s="77">
        <f>AD56*Valores!$C$2*1.006901</f>
        <v>0</v>
      </c>
      <c r="AF56" s="80">
        <f>Valores!$C$51</f>
        <v>269.71857087000001</v>
      </c>
      <c r="AG56" s="80">
        <f>Valores!$C$52</f>
        <v>77.068202540000016</v>
      </c>
      <c r="AH56" s="80">
        <f>SUM(G56,I56,K56,M56,N56,O56,P56,Q56,R56,S56,U56,V56,W56,Y56,Z56,AA56,AB56,AC56,AE56,AF56,AG56)*Valores!$C$54</f>
        <v>0</v>
      </c>
      <c r="AI56" s="54">
        <f t="shared" si="7"/>
        <v>28061.876370503505</v>
      </c>
      <c r="AJ56" s="81">
        <f>Valores!$C$35</f>
        <v>216.04</v>
      </c>
      <c r="AK56" s="82">
        <f>Valores!$C$8</f>
        <v>205.50849410000001</v>
      </c>
      <c r="AL56" s="90">
        <v>113.2763625</v>
      </c>
      <c r="AM56" s="82">
        <f>IF($G$4="SI",SUM(AK56+AL56),AK56)*Valores!$C$54</f>
        <v>0</v>
      </c>
      <c r="AN56" s="184">
        <f t="shared" si="4"/>
        <v>534.82485659999998</v>
      </c>
      <c r="AO56" s="152">
        <f>AI56*-Valores!$C$56</f>
        <v>-3648.0439281654558</v>
      </c>
      <c r="AP56" s="152">
        <f>AI56*-Valores!$C$57</f>
        <v>-140.30938185251753</v>
      </c>
      <c r="AQ56" s="81">
        <f>AI56*-Valores!$C$58</f>
        <v>-1262.7844366726576</v>
      </c>
      <c r="AR56" s="81">
        <f>AI56*-Valores!$C$59</f>
        <v>-757.67066200359477</v>
      </c>
      <c r="AS56" s="81">
        <f>AI56*-Valores!$C$60</f>
        <v>-84.185629111510522</v>
      </c>
      <c r="AT56" s="54">
        <f t="shared" si="5"/>
        <v>23545.563480412879</v>
      </c>
      <c r="AU56" s="54">
        <f t="shared" si="6"/>
        <v>23966.49162597043</v>
      </c>
      <c r="AV56" s="81">
        <f>AI56*Valores!$C$61</f>
        <v>4489.900219280561</v>
      </c>
      <c r="AW56" s="81">
        <f>AI56*Valores!$C$62</f>
        <v>1262.7844366726576</v>
      </c>
      <c r="AX56" s="81">
        <f>AI56*Valores!$C$64</f>
        <v>280.61876370503506</v>
      </c>
      <c r="AY56" s="81">
        <f>AI56*Valores!$C$65</f>
        <v>982.16567296762275</v>
      </c>
      <c r="AZ56" s="81">
        <f>AI56*Valores!$C$66</f>
        <v>168.37125822302104</v>
      </c>
      <c r="BA56" s="81">
        <f t="shared" si="8"/>
        <v>1515.3413240071893</v>
      </c>
      <c r="BB56" s="55"/>
      <c r="BC56" s="55">
        <v>30</v>
      </c>
      <c r="BD56" s="52" t="s">
        <v>467</v>
      </c>
    </row>
    <row r="57" spans="1:56" s="9" customFormat="1" ht="11.25" customHeight="1" x14ac:dyDescent="0.15">
      <c r="A57" s="20">
        <v>56</v>
      </c>
      <c r="B57" s="20"/>
      <c r="C57" s="9" t="s">
        <v>96</v>
      </c>
      <c r="E57" s="10" t="s">
        <v>97</v>
      </c>
      <c r="F57" s="123">
        <v>89</v>
      </c>
      <c r="G57" s="7">
        <f>INT((F57*Valores!$C$2*100*1.006901)+0.5)/100</f>
        <v>468.4</v>
      </c>
      <c r="H57" s="113">
        <v>2551</v>
      </c>
      <c r="I57" s="77">
        <f>INT((H57*Valores!$C$2*100*1.006901)+0.5)/100</f>
        <v>13425.58</v>
      </c>
      <c r="J57" s="145">
        <v>0</v>
      </c>
      <c r="K57" s="77">
        <f>INT((J57*Valores!$C$2*100*1.006901)+0.5)/100</f>
        <v>0</v>
      </c>
      <c r="L57" s="120">
        <v>0</v>
      </c>
      <c r="M57" s="77">
        <f>INT((L57*Valores!$C$2*100*1.006901)+0.5)/100</f>
        <v>0</v>
      </c>
      <c r="N57" s="77">
        <f t="shared" si="0"/>
        <v>2538.8170157535001</v>
      </c>
      <c r="O57" s="77">
        <f t="shared" si="1"/>
        <v>0</v>
      </c>
      <c r="P57" s="78">
        <f>Valores!$C$16</f>
        <v>3262.4095850500003</v>
      </c>
      <c r="Q57" s="78">
        <f>Valores!$D$4</f>
        <v>2354.08</v>
      </c>
      <c r="R57" s="61">
        <f>Valores!$C$26</f>
        <v>2369.1575009200001</v>
      </c>
      <c r="S57" s="87">
        <f>Valores!$C$42</f>
        <v>764.36875613000007</v>
      </c>
      <c r="T57" s="77">
        <f>Valores!$C$23</f>
        <v>2267.09801556</v>
      </c>
      <c r="U57" s="77">
        <f t="shared" si="12"/>
        <v>2267.09801556</v>
      </c>
      <c r="V57" s="77">
        <v>0</v>
      </c>
      <c r="W57" s="77">
        <v>0</v>
      </c>
      <c r="X57" s="116">
        <v>0</v>
      </c>
      <c r="Y57" s="77">
        <f>X57*Valores!$C$2*1.006901</f>
        <v>0</v>
      </c>
      <c r="Z57" s="77">
        <v>0</v>
      </c>
      <c r="AA57" s="89">
        <f>Valores!$C$29</f>
        <v>132.58872368000002</v>
      </c>
      <c r="AB57" s="77">
        <f t="shared" si="3"/>
        <v>0</v>
      </c>
      <c r="AC57" s="77">
        <f>Valores!$C$30</f>
        <v>132.59</v>
      </c>
      <c r="AD57" s="116">
        <v>94</v>
      </c>
      <c r="AE57" s="77">
        <f>AD57*Valores!$C$2*1.006901</f>
        <v>494.70979379919999</v>
      </c>
      <c r="AF57" s="77">
        <f>Valores!$C$51</f>
        <v>269.71857087000001</v>
      </c>
      <c r="AG57" s="77">
        <f>Valores!$C$52</f>
        <v>77.068202540000016</v>
      </c>
      <c r="AH57" s="77">
        <f>SUM(G57,I57,K57,M57,N57,O57,P57,Q57,R57,S57,U57,V57,W57,Y57,Z57,AA57,AB57,AC57,AE57,AF57,AG57)*Valores!$C$54</f>
        <v>0</v>
      </c>
      <c r="AI57" s="15">
        <f t="shared" si="7"/>
        <v>28556.586164302698</v>
      </c>
      <c r="AJ57" s="78">
        <f>Valores!$C$35</f>
        <v>216.04</v>
      </c>
      <c r="AK57" s="79">
        <f>Valores!$C$8</f>
        <v>205.50849410000001</v>
      </c>
      <c r="AL57" s="89">
        <v>113.02463725000001</v>
      </c>
      <c r="AM57" s="79">
        <f>IF($G$4="SI",SUM(AK57+AL57),AK57)*Valores!$C$54</f>
        <v>0</v>
      </c>
      <c r="AN57" s="12">
        <f t="shared" si="4"/>
        <v>534.57313135000004</v>
      </c>
      <c r="AO57" s="151">
        <f>AI57*-Valores!$C$56</f>
        <v>-3712.356201359351</v>
      </c>
      <c r="AP57" s="151">
        <f>AI57*-Valores!$C$57</f>
        <v>-142.7829308215135</v>
      </c>
      <c r="AQ57" s="78">
        <f>AI57*-Valores!$C$58</f>
        <v>-1285.0463773936215</v>
      </c>
      <c r="AR57" s="78">
        <f>AI57*-Valores!$C$59</f>
        <v>-771.02782643617297</v>
      </c>
      <c r="AS57" s="78">
        <f>AI57*-Valores!$C$60</f>
        <v>-85.669758492908102</v>
      </c>
      <c r="AT57" s="15">
        <f t="shared" si="5"/>
        <v>23950.973786078212</v>
      </c>
      <c r="AU57" s="15">
        <f t="shared" si="6"/>
        <v>24379.322578542749</v>
      </c>
      <c r="AV57" s="78">
        <f>AI57*Valores!$C$61</f>
        <v>4569.0537862884321</v>
      </c>
      <c r="AW57" s="78">
        <f>AI57*Valores!$C$62</f>
        <v>1285.0463773936215</v>
      </c>
      <c r="AX57" s="78">
        <f>AI57*Valores!$C$64</f>
        <v>285.56586164302701</v>
      </c>
      <c r="AY57" s="78">
        <f>AI57*Valores!$C$65</f>
        <v>999.48051575059458</v>
      </c>
      <c r="AZ57" s="78">
        <f>AI57*Valores!$C$66</f>
        <v>171.3395169858162</v>
      </c>
      <c r="BA57" s="78">
        <f t="shared" si="8"/>
        <v>1542.0556528723457</v>
      </c>
      <c r="BB57" s="20"/>
      <c r="BC57" s="20">
        <v>25</v>
      </c>
      <c r="BD57" s="9" t="s">
        <v>467</v>
      </c>
    </row>
    <row r="58" spans="1:56" s="9" customFormat="1" ht="11.25" customHeight="1" x14ac:dyDescent="0.15">
      <c r="A58" s="20">
        <v>57</v>
      </c>
      <c r="B58" s="20"/>
      <c r="C58" s="9" t="s">
        <v>98</v>
      </c>
      <c r="E58" s="10" t="s">
        <v>99</v>
      </c>
      <c r="F58" s="123">
        <v>89</v>
      </c>
      <c r="G58" s="7">
        <f>INT((F58*Valores!$C$2*100*1.006901)+0.5)/100</f>
        <v>468.4</v>
      </c>
      <c r="H58" s="113">
        <v>2251</v>
      </c>
      <c r="I58" s="77">
        <f>INT((H58*Valores!$C$2*100*1.006901)+0.5)/100</f>
        <v>11846.72</v>
      </c>
      <c r="J58" s="145">
        <v>0</v>
      </c>
      <c r="K58" s="77">
        <f>INT((J58*Valores!$C$2*100*1.006901)+0.5)/100</f>
        <v>0</v>
      </c>
      <c r="L58" s="120">
        <v>0</v>
      </c>
      <c r="M58" s="77">
        <f>INT((L58*Valores!$C$2*100*1.006901)+0.5)/100</f>
        <v>0</v>
      </c>
      <c r="N58" s="77">
        <f t="shared" si="0"/>
        <v>2301.9880157534999</v>
      </c>
      <c r="O58" s="77">
        <f t="shared" si="1"/>
        <v>0</v>
      </c>
      <c r="P58" s="78">
        <f>Valores!$C$16</f>
        <v>3262.4095850500003</v>
      </c>
      <c r="Q58" s="78">
        <f>Valores!$D$4</f>
        <v>2354.08</v>
      </c>
      <c r="R58" s="61">
        <f>Valores!$C$26</f>
        <v>2369.1575009200001</v>
      </c>
      <c r="S58" s="87">
        <f>Valores!$C$42</f>
        <v>764.36875613000007</v>
      </c>
      <c r="T58" s="77">
        <f>Valores!$C$23</f>
        <v>2267.09801556</v>
      </c>
      <c r="U58" s="77">
        <f t="shared" si="12"/>
        <v>2267.09801556</v>
      </c>
      <c r="V58" s="77">
        <v>0</v>
      </c>
      <c r="W58" s="77">
        <v>0</v>
      </c>
      <c r="X58" s="116">
        <v>0</v>
      </c>
      <c r="Y58" s="77">
        <f>X58*Valores!$C$2*1.006901</f>
        <v>0</v>
      </c>
      <c r="Z58" s="77">
        <v>0</v>
      </c>
      <c r="AA58" s="89">
        <f>Valores!$C$29</f>
        <v>132.58872368000002</v>
      </c>
      <c r="AB58" s="77">
        <f t="shared" si="3"/>
        <v>0</v>
      </c>
      <c r="AC58" s="77">
        <f>Valores!$C$30</f>
        <v>132.59</v>
      </c>
      <c r="AD58" s="116">
        <v>0</v>
      </c>
      <c r="AE58" s="77">
        <f>AD58*Valores!$C$2*1.006901</f>
        <v>0</v>
      </c>
      <c r="AF58" s="77">
        <f>Valores!$C$51</f>
        <v>269.71857087000001</v>
      </c>
      <c r="AG58" s="77">
        <f>Valores!$C$52</f>
        <v>77.068202540000016</v>
      </c>
      <c r="AH58" s="77">
        <f>SUM(G58,I58,K58,M58,N58,O58,P58,Q58,R58,S58,U58,V58,W58,Y58,Z58,AA58,AB58,AC58,AE58,AF58,AG58)*Valores!$C$54</f>
        <v>0</v>
      </c>
      <c r="AI58" s="15">
        <f t="shared" si="7"/>
        <v>26246.1873705035</v>
      </c>
      <c r="AJ58" s="78">
        <f>Valores!$C$35</f>
        <v>216.04</v>
      </c>
      <c r="AK58" s="79">
        <f>Valores!$C$8</f>
        <v>205.50849410000001</v>
      </c>
      <c r="AL58" s="89">
        <v>113.02463725000001</v>
      </c>
      <c r="AM58" s="79">
        <f>IF($G$4="SI",SUM(AK58+AL58),AK58)*Valores!$C$54</f>
        <v>0</v>
      </c>
      <c r="AN58" s="12">
        <f t="shared" si="4"/>
        <v>534.57313135000004</v>
      </c>
      <c r="AO58" s="151">
        <f>AI58*-Valores!$C$56</f>
        <v>-3412.004358165455</v>
      </c>
      <c r="AP58" s="151">
        <f>AI58*-Valores!$C$57</f>
        <v>-131.23093685251749</v>
      </c>
      <c r="AQ58" s="78">
        <f>AI58*-Valores!$C$58</f>
        <v>-1181.0784316726574</v>
      </c>
      <c r="AR58" s="78">
        <f>AI58*-Valores!$C$59</f>
        <v>-708.64705900359456</v>
      </c>
      <c r="AS58" s="78">
        <f>AI58*-Valores!$C$60</f>
        <v>-78.738562111510504</v>
      </c>
      <c r="AT58" s="15">
        <f t="shared" si="5"/>
        <v>22056.446775162873</v>
      </c>
      <c r="AU58" s="15">
        <f t="shared" si="6"/>
        <v>22450.139585720426</v>
      </c>
      <c r="AV58" s="78">
        <f>AI58*Valores!$C$61</f>
        <v>4199.3899792805596</v>
      </c>
      <c r="AW58" s="78">
        <f>AI58*Valores!$C$62</f>
        <v>1181.0784316726574</v>
      </c>
      <c r="AX58" s="78">
        <f>AI58*Valores!$C$64</f>
        <v>262.46187370503498</v>
      </c>
      <c r="AY58" s="78">
        <f>AI58*Valores!$C$65</f>
        <v>918.61655796762261</v>
      </c>
      <c r="AZ58" s="78">
        <f>AI58*Valores!$C$66</f>
        <v>157.47712422302101</v>
      </c>
      <c r="BA58" s="78">
        <f t="shared" si="8"/>
        <v>1417.2941180071889</v>
      </c>
      <c r="BB58" s="20"/>
      <c r="BC58" s="20">
        <v>30</v>
      </c>
      <c r="BD58" s="9" t="s">
        <v>467</v>
      </c>
    </row>
    <row r="59" spans="1:56" s="9" customFormat="1" ht="11.25" customHeight="1" x14ac:dyDescent="0.15">
      <c r="A59" s="20">
        <v>58</v>
      </c>
      <c r="B59" s="20"/>
      <c r="C59" s="9" t="s">
        <v>100</v>
      </c>
      <c r="E59" s="10" t="s">
        <v>101</v>
      </c>
      <c r="F59" s="123">
        <v>85</v>
      </c>
      <c r="G59" s="7">
        <f>INT((F59*Valores!$C$2*100*1.006901)+0.5)/100</f>
        <v>447.34</v>
      </c>
      <c r="H59" s="113">
        <v>2255</v>
      </c>
      <c r="I59" s="77">
        <f>INT((H59*Valores!$C$2*100*1.006901)+0.5)/100</f>
        <v>11867.77</v>
      </c>
      <c r="J59" s="145">
        <v>0</v>
      </c>
      <c r="K59" s="77">
        <f>INT((J59*Valores!$C$2*100*1.006901)+0.5)/100</f>
        <v>0</v>
      </c>
      <c r="L59" s="120">
        <v>0</v>
      </c>
      <c r="M59" s="77">
        <f>INT((L59*Valores!$C$2*100*1.006901)+0.5)/100</f>
        <v>0</v>
      </c>
      <c r="N59" s="77">
        <f t="shared" si="0"/>
        <v>2301.9865157535</v>
      </c>
      <c r="O59" s="77">
        <f t="shared" si="1"/>
        <v>0</v>
      </c>
      <c r="P59" s="78">
        <f>Valores!$C$16</f>
        <v>3262.4095850500003</v>
      </c>
      <c r="Q59" s="78">
        <f>Valores!$D$4</f>
        <v>2354.08</v>
      </c>
      <c r="R59" s="77">
        <f>Valores!$C$26</f>
        <v>2369.1575009200001</v>
      </c>
      <c r="S59" s="79">
        <f>Valores!$C$42</f>
        <v>764.36875613000007</v>
      </c>
      <c r="T59" s="77">
        <f>Valores!$C$23</f>
        <v>2267.09801556</v>
      </c>
      <c r="U59" s="77">
        <f t="shared" si="12"/>
        <v>2267.09801556</v>
      </c>
      <c r="V59" s="77">
        <v>0</v>
      </c>
      <c r="W59" s="77">
        <v>0</v>
      </c>
      <c r="X59" s="116">
        <v>0</v>
      </c>
      <c r="Y59" s="77">
        <f>X59*Valores!$C$2*1.006901</f>
        <v>0</v>
      </c>
      <c r="Z59" s="77">
        <v>0</v>
      </c>
      <c r="AA59" s="89">
        <f>Valores!$C$29</f>
        <v>132.58872368000002</v>
      </c>
      <c r="AB59" s="77">
        <f t="shared" si="3"/>
        <v>0</v>
      </c>
      <c r="AC59" s="77">
        <f>Valores!$C$30</f>
        <v>132.59</v>
      </c>
      <c r="AD59" s="116">
        <v>94</v>
      </c>
      <c r="AE59" s="77">
        <f>AD59*Valores!$C$2*1.006901</f>
        <v>494.70979379919999</v>
      </c>
      <c r="AF59" s="77">
        <f>Valores!$C$51</f>
        <v>269.71857087000001</v>
      </c>
      <c r="AG59" s="77">
        <f>Valores!$C$52</f>
        <v>77.068202540000016</v>
      </c>
      <c r="AH59" s="77">
        <f>SUM(G59,I59,K59,M59,N59,O59,P59,Q59,R59,S59,U59,V59,W59,Y59,Z59,AA59,AB59,AC59,AE59,AF59,AG59)*Valores!$C$54</f>
        <v>0</v>
      </c>
      <c r="AI59" s="15">
        <f t="shared" si="7"/>
        <v>26740.885664302699</v>
      </c>
      <c r="AJ59" s="78">
        <f>Valores!$C$35</f>
        <v>216.04</v>
      </c>
      <c r="AK59" s="79">
        <f>Valores!$C$8</f>
        <v>205.50849410000001</v>
      </c>
      <c r="AL59" s="89">
        <v>113.02463725000001</v>
      </c>
      <c r="AM59" s="79">
        <f>IF($G$4="SI",SUM(AK59+AL59),AK59)*Valores!$C$54</f>
        <v>0</v>
      </c>
      <c r="AN59" s="12">
        <f t="shared" si="4"/>
        <v>534.57313135000004</v>
      </c>
      <c r="AO59" s="151">
        <f>AI59*-Valores!$C$56</f>
        <v>-3476.3151363593511</v>
      </c>
      <c r="AP59" s="151">
        <f>AI59*-Valores!$C$57</f>
        <v>-133.70442832151349</v>
      </c>
      <c r="AQ59" s="78">
        <f>AI59*-Valores!$C$58</f>
        <v>-1203.3398548936214</v>
      </c>
      <c r="AR59" s="78">
        <f>AI59*-Valores!$C$59</f>
        <v>-722.00391293617292</v>
      </c>
      <c r="AS59" s="78">
        <f>AI59*-Valores!$C$60</f>
        <v>-80.222656992908099</v>
      </c>
      <c r="AT59" s="15">
        <f t="shared" si="5"/>
        <v>22462.099376078215</v>
      </c>
      <c r="AU59" s="15">
        <f t="shared" si="6"/>
        <v>22863.212661042755</v>
      </c>
      <c r="AV59" s="78">
        <f>AI59*Valores!$C$61</f>
        <v>4278.5417062884317</v>
      </c>
      <c r="AW59" s="78">
        <f>AI59*Valores!$C$62</f>
        <v>1203.3398548936214</v>
      </c>
      <c r="AX59" s="78">
        <f>AI59*Valores!$C$64</f>
        <v>267.40885664302698</v>
      </c>
      <c r="AY59" s="78">
        <f>AI59*Valores!$C$65</f>
        <v>935.9309982505946</v>
      </c>
      <c r="AZ59" s="78">
        <f>AI59*Valores!$C$66</f>
        <v>160.4453139858162</v>
      </c>
      <c r="BA59" s="78">
        <f t="shared" si="8"/>
        <v>1444.0078258723461</v>
      </c>
      <c r="BB59" s="20"/>
      <c r="BC59" s="20">
        <v>25</v>
      </c>
      <c r="BD59" s="9" t="s">
        <v>467</v>
      </c>
    </row>
    <row r="60" spans="1:56" s="9" customFormat="1" ht="11.25" customHeight="1" x14ac:dyDescent="0.15">
      <c r="A60" s="20">
        <v>59</v>
      </c>
      <c r="B60" s="20"/>
      <c r="C60" s="9" t="s">
        <v>102</v>
      </c>
      <c r="E60" s="10" t="s">
        <v>103</v>
      </c>
      <c r="F60" s="123">
        <v>100</v>
      </c>
      <c r="G60" s="7">
        <f>INT((F60*Valores!$C$2*100*1.006901)+0.5)/100</f>
        <v>526.29</v>
      </c>
      <c r="H60" s="113">
        <v>3180</v>
      </c>
      <c r="I60" s="77">
        <f>INT((H60*Valores!$C$2*100*1.006901)+0.5)/100</f>
        <v>16735.93</v>
      </c>
      <c r="J60" s="145">
        <v>0</v>
      </c>
      <c r="K60" s="77">
        <f>INT((J60*Valores!$C$2*100*1.006901)+0.5)/100</f>
        <v>0</v>
      </c>
      <c r="L60" s="120">
        <v>0</v>
      </c>
      <c r="M60" s="77">
        <f>INT((L60*Valores!$C$2*100*1.006901)+0.5)/100</f>
        <v>0</v>
      </c>
      <c r="N60" s="77">
        <f t="shared" si="0"/>
        <v>3101.3799172875001</v>
      </c>
      <c r="O60" s="77">
        <f t="shared" si="1"/>
        <v>0</v>
      </c>
      <c r="P60" s="78">
        <f>Valores!$C$16</f>
        <v>3262.4095850500003</v>
      </c>
      <c r="Q60" s="78">
        <f>Valores!$D$4</f>
        <v>2354.08</v>
      </c>
      <c r="R60" s="61">
        <f>Valores!$C$26</f>
        <v>2369.1575009200001</v>
      </c>
      <c r="S60" s="87">
        <f>Valores!$C$43</f>
        <v>1146.5480996900001</v>
      </c>
      <c r="T60" s="77">
        <f>Valores!$C$23</f>
        <v>2267.09801556</v>
      </c>
      <c r="U60" s="77">
        <f t="shared" si="12"/>
        <v>2267.09801556</v>
      </c>
      <c r="V60" s="77">
        <v>0</v>
      </c>
      <c r="W60" s="77">
        <v>0</v>
      </c>
      <c r="X60" s="116">
        <v>0</v>
      </c>
      <c r="Y60" s="77">
        <f>X60*Valores!$C$2*1.006901</f>
        <v>0</v>
      </c>
      <c r="Z60" s="77">
        <v>0</v>
      </c>
      <c r="AA60" s="89">
        <f>Valores!$C$29</f>
        <v>132.58872368000002</v>
      </c>
      <c r="AB60" s="77">
        <f t="shared" si="3"/>
        <v>0</v>
      </c>
      <c r="AC60" s="77">
        <f>Valores!$C$30</f>
        <v>132.59</v>
      </c>
      <c r="AD60" s="116">
        <v>0</v>
      </c>
      <c r="AE60" s="77">
        <f>AD60*Valores!$C$2*1.006901</f>
        <v>0</v>
      </c>
      <c r="AF60" s="77">
        <f>Valores!$C$51</f>
        <v>269.71857087000001</v>
      </c>
      <c r="AG60" s="77">
        <f>Valores!$C$52</f>
        <v>77.068202540000016</v>
      </c>
      <c r="AH60" s="77">
        <f>SUM(G60,I60,K60,M60,N60,O60,P60,Q60,R60,S60,U60,V60,W60,Y60,Z60,AA60,AB60,AC60,AE60,AF60,AG60)*Valores!$C$54</f>
        <v>0</v>
      </c>
      <c r="AI60" s="15">
        <f t="shared" si="7"/>
        <v>32374.858615597506</v>
      </c>
      <c r="AJ60" s="78">
        <f>Valores!$C$35</f>
        <v>216.04</v>
      </c>
      <c r="AK60" s="79">
        <f>Valores!$C$9</f>
        <v>308.25267214000002</v>
      </c>
      <c r="AL60" s="89">
        <v>0</v>
      </c>
      <c r="AM60" s="79">
        <f>IF($G$4="SI",SUM(AK60+AL60),AK60)*Valores!$C$54</f>
        <v>0</v>
      </c>
      <c r="AN60" s="12">
        <f t="shared" si="4"/>
        <v>524.29267214000004</v>
      </c>
      <c r="AO60" s="151">
        <f>AI60*-Valores!$C$56</f>
        <v>-4208.7316200276764</v>
      </c>
      <c r="AP60" s="151">
        <f>AI60*-Valores!$C$57</f>
        <v>-161.87429307798755</v>
      </c>
      <c r="AQ60" s="78">
        <f>AI60*-Valores!$C$58</f>
        <v>-1456.8686377018878</v>
      </c>
      <c r="AR60" s="78">
        <f>AI60*-Valores!$C$59</f>
        <v>-874.12118262113279</v>
      </c>
      <c r="AS60" s="78">
        <f>AI60*-Valores!$C$60</f>
        <v>-97.124575846792524</v>
      </c>
      <c r="AT60" s="15">
        <f t="shared" si="5"/>
        <v>27071.676736929952</v>
      </c>
      <c r="AU60" s="15">
        <f t="shared" si="6"/>
        <v>27557.299616163917</v>
      </c>
      <c r="AV60" s="78">
        <f>AI60*Valores!$C$61</f>
        <v>5179.9773784956014</v>
      </c>
      <c r="AW60" s="78">
        <f>AI60*Valores!$C$62</f>
        <v>1456.8686377018878</v>
      </c>
      <c r="AX60" s="78">
        <f>AI60*Valores!$C$64</f>
        <v>323.74858615597509</v>
      </c>
      <c r="AY60" s="78">
        <f>AI60*Valores!$C$65</f>
        <v>1133.1200515459129</v>
      </c>
      <c r="AZ60" s="78">
        <f>AI60*Valores!$C$66</f>
        <v>194.24915169358505</v>
      </c>
      <c r="BA60" s="78">
        <f t="shared" si="8"/>
        <v>1748.2423652422656</v>
      </c>
      <c r="BB60" s="20"/>
      <c r="BC60" s="20"/>
      <c r="BD60" s="9" t="s">
        <v>467</v>
      </c>
    </row>
    <row r="61" spans="1:56" s="9" customFormat="1" ht="11.25" customHeight="1" x14ac:dyDescent="0.15">
      <c r="A61" s="55">
        <v>60</v>
      </c>
      <c r="B61" s="55" t="s">
        <v>462</v>
      </c>
      <c r="C61" s="52" t="s">
        <v>104</v>
      </c>
      <c r="D61" s="52"/>
      <c r="E61" s="53" t="s">
        <v>105</v>
      </c>
      <c r="F61" s="124">
        <v>83</v>
      </c>
      <c r="G61" s="7">
        <f>INT((F61*Valores!$C$2*100*1.006901)+0.5)/100</f>
        <v>436.82</v>
      </c>
      <c r="H61" s="114">
        <v>2352</v>
      </c>
      <c r="I61" s="77">
        <f>INT((H61*Valores!$C$2*100*1.006901)+0.5)/100</f>
        <v>12378.27</v>
      </c>
      <c r="J61" s="146">
        <v>0</v>
      </c>
      <c r="K61" s="77">
        <f>INT((J61*Valores!$C$2*100*1.006901)+0.5)/100</f>
        <v>0</v>
      </c>
      <c r="L61" s="121">
        <v>0</v>
      </c>
      <c r="M61" s="77">
        <f>INT((L61*Valores!$C$2*100*1.006901)+0.5)/100</f>
        <v>0</v>
      </c>
      <c r="N61" s="80">
        <f t="shared" si="0"/>
        <v>2376.9835157534999</v>
      </c>
      <c r="O61" s="80">
        <f t="shared" si="1"/>
        <v>0</v>
      </c>
      <c r="P61" s="81">
        <f>Valores!$C$16</f>
        <v>3262.4095850500003</v>
      </c>
      <c r="Q61" s="81">
        <f>Valores!$D$4</f>
        <v>2354.08</v>
      </c>
      <c r="R61" s="85">
        <f>Valores!$C$26</f>
        <v>2369.1575009200001</v>
      </c>
      <c r="S61" s="88">
        <f>Valores!$C$42</f>
        <v>764.36875613000007</v>
      </c>
      <c r="T61" s="80">
        <f>Valores!$C$23</f>
        <v>2267.09801556</v>
      </c>
      <c r="U61" s="80">
        <f t="shared" si="12"/>
        <v>2267.09801556</v>
      </c>
      <c r="V61" s="80">
        <v>0</v>
      </c>
      <c r="W61" s="80">
        <v>0</v>
      </c>
      <c r="X61" s="115">
        <v>0</v>
      </c>
      <c r="Y61" s="77">
        <f>X61*Valores!$C$2*1.006901</f>
        <v>0</v>
      </c>
      <c r="Z61" s="80">
        <v>0</v>
      </c>
      <c r="AA61" s="90">
        <f>Valores!$C$29</f>
        <v>132.58872368000002</v>
      </c>
      <c r="AB61" s="80">
        <f t="shared" si="3"/>
        <v>0</v>
      </c>
      <c r="AC61" s="80">
        <f>Valores!$C$30</f>
        <v>132.59</v>
      </c>
      <c r="AD61" s="115">
        <v>0</v>
      </c>
      <c r="AE61" s="77">
        <f>AD61*Valores!$C$2*1.006901</f>
        <v>0</v>
      </c>
      <c r="AF61" s="80">
        <f>Valores!$C$51</f>
        <v>269.71857087000001</v>
      </c>
      <c r="AG61" s="80">
        <f>Valores!$C$52</f>
        <v>77.068202540000016</v>
      </c>
      <c r="AH61" s="80">
        <f>SUM(G61,I61,K61,M61,N61,O61,P61,Q61,R61,S61,U61,V61,W61,Y61,Z61,AA61,AB61,AC61,AE61,AF61,AG61)*Valores!$C$54</f>
        <v>0</v>
      </c>
      <c r="AI61" s="54">
        <f t="shared" si="7"/>
        <v>26821.152870503498</v>
      </c>
      <c r="AJ61" s="81">
        <f>Valores!$C$35</f>
        <v>216.04</v>
      </c>
      <c r="AK61" s="82">
        <f>Valores!$C$8</f>
        <v>205.50849410000001</v>
      </c>
      <c r="AL61" s="90">
        <v>113.02463725000001</v>
      </c>
      <c r="AM61" s="82">
        <f>IF($G$4="SI",SUM(AK61+AL61),AK61)*Valores!$C$54</f>
        <v>0</v>
      </c>
      <c r="AN61" s="184">
        <f t="shared" si="4"/>
        <v>534.57313135000004</v>
      </c>
      <c r="AO61" s="152">
        <f>AI61*-Valores!$C$56</f>
        <v>-3486.749873165455</v>
      </c>
      <c r="AP61" s="152">
        <f>AI61*-Valores!$C$57</f>
        <v>-134.1057643525175</v>
      </c>
      <c r="AQ61" s="81">
        <f>AI61*-Valores!$C$58</f>
        <v>-1206.9518791726573</v>
      </c>
      <c r="AR61" s="81">
        <f>AI61*-Valores!$C$59</f>
        <v>-724.17112750359456</v>
      </c>
      <c r="AS61" s="81">
        <f>AI61*-Valores!$C$60</f>
        <v>-80.46345861151049</v>
      </c>
      <c r="AT61" s="54">
        <f t="shared" si="5"/>
        <v>22527.918485162867</v>
      </c>
      <c r="AU61" s="54">
        <f t="shared" si="6"/>
        <v>22930.23577822042</v>
      </c>
      <c r="AV61" s="81">
        <f>AI61*Valores!$C$61</f>
        <v>4291.3844592805599</v>
      </c>
      <c r="AW61" s="81">
        <f>AI61*Valores!$C$62</f>
        <v>1206.9518791726573</v>
      </c>
      <c r="AX61" s="81">
        <f>AI61*Valores!$C$64</f>
        <v>268.21152870503499</v>
      </c>
      <c r="AY61" s="81">
        <f>AI61*Valores!$C$65</f>
        <v>938.74035046762253</v>
      </c>
      <c r="AZ61" s="81">
        <f>AI61*Valores!$C$66</f>
        <v>160.92691722302098</v>
      </c>
      <c r="BA61" s="81">
        <f t="shared" si="8"/>
        <v>1448.3422550071889</v>
      </c>
      <c r="BB61" s="55"/>
      <c r="BC61" s="55">
        <v>30</v>
      </c>
      <c r="BD61" s="52" t="s">
        <v>467</v>
      </c>
    </row>
    <row r="62" spans="1:56" s="9" customFormat="1" ht="11.25" customHeight="1" x14ac:dyDescent="0.15">
      <c r="A62" s="20">
        <v>61</v>
      </c>
      <c r="B62" s="20"/>
      <c r="C62" s="9" t="s">
        <v>106</v>
      </c>
      <c r="E62" s="10" t="s">
        <v>107</v>
      </c>
      <c r="F62" s="123">
        <v>81</v>
      </c>
      <c r="G62" s="7">
        <f>INT((F62*Valores!$C$2*100*1.006901)+0.5)/100</f>
        <v>426.29</v>
      </c>
      <c r="H62" s="113">
        <v>2354</v>
      </c>
      <c r="I62" s="77">
        <f>INT((H62*Valores!$C$2*100*1.006901)+0.5)/100</f>
        <v>12388.8</v>
      </c>
      <c r="J62" s="145">
        <v>0</v>
      </c>
      <c r="K62" s="77">
        <f>INT((J62*Valores!$C$2*100*1.006901)+0.5)/100</f>
        <v>0</v>
      </c>
      <c r="L62" s="120">
        <v>0</v>
      </c>
      <c r="M62" s="77">
        <f>INT((L62*Valores!$C$2*100*1.006901)+0.5)/100</f>
        <v>0</v>
      </c>
      <c r="N62" s="77">
        <f t="shared" si="0"/>
        <v>2262.3282023340003</v>
      </c>
      <c r="O62" s="77">
        <f t="shared" si="1"/>
        <v>0</v>
      </c>
      <c r="P62" s="78">
        <f>Valores!$C$16</f>
        <v>3262.4095850500003</v>
      </c>
      <c r="Q62" s="78">
        <f>Valores!$D$4</f>
        <v>2354.08</v>
      </c>
      <c r="R62" s="61">
        <f>Valores!$C$26</f>
        <v>2369.1575009200001</v>
      </c>
      <c r="S62" s="87"/>
      <c r="T62" s="77">
        <f>Valores!$C$23</f>
        <v>2267.09801556</v>
      </c>
      <c r="U62" s="77">
        <f t="shared" si="12"/>
        <v>2267.09801556</v>
      </c>
      <c r="V62" s="77">
        <v>0</v>
      </c>
      <c r="W62" s="77">
        <v>0</v>
      </c>
      <c r="X62" s="116">
        <v>0</v>
      </c>
      <c r="Y62" s="77">
        <f>X62*Valores!$C$2*1.006901</f>
        <v>0</v>
      </c>
      <c r="Z62" s="77">
        <v>0</v>
      </c>
      <c r="AA62" s="89">
        <f>Valores!$C$29</f>
        <v>132.58872368000002</v>
      </c>
      <c r="AB62" s="77">
        <f t="shared" si="3"/>
        <v>0</v>
      </c>
      <c r="AC62" s="77">
        <f>Valores!$C$30</f>
        <v>132.59</v>
      </c>
      <c r="AD62" s="116">
        <v>94</v>
      </c>
      <c r="AE62" s="77">
        <f>AD62*Valores!$C$2*1.006901</f>
        <v>494.70979379919999</v>
      </c>
      <c r="AF62" s="77">
        <f>Valores!$C$51</f>
        <v>269.71857087000001</v>
      </c>
      <c r="AG62" s="77">
        <f>Valores!$C$52</f>
        <v>77.068202540000016</v>
      </c>
      <c r="AH62" s="77">
        <f>SUM(G62,I62,K62,M62,N62,O62,P62,Q62,R62,S62,U62,V62,W62,Y62,Z62,AA62,AB62,AC62,AE62,AF62,AG62)*Valores!$C$54</f>
        <v>0</v>
      </c>
      <c r="AI62" s="15">
        <f t="shared" si="7"/>
        <v>26436.838594753201</v>
      </c>
      <c r="AJ62" s="78">
        <f>Valores!$C$35</f>
        <v>216.04</v>
      </c>
      <c r="AK62" s="79">
        <f>Valores!$C$8</f>
        <v>205.50849410000001</v>
      </c>
      <c r="AL62" s="89">
        <v>113.02463725000001</v>
      </c>
      <c r="AM62" s="79">
        <f>IF($G$4="SI",SUM(AK62+AL62),AK62)*Valores!$C$54</f>
        <v>0</v>
      </c>
      <c r="AN62" s="12">
        <f t="shared" si="4"/>
        <v>534.57313135000004</v>
      </c>
      <c r="AO62" s="151">
        <f>AI62*-Valores!$C$56</f>
        <v>-3436.7890173179162</v>
      </c>
      <c r="AP62" s="151">
        <f>AI62*-Valores!$C$57</f>
        <v>-132.18419297376602</v>
      </c>
      <c r="AQ62" s="78">
        <f>AI62*-Valores!$C$58</f>
        <v>-1189.657736763894</v>
      </c>
      <c r="AR62" s="78">
        <f>AI62*-Valores!$C$59</f>
        <v>-713.79464205833654</v>
      </c>
      <c r="AS62" s="78">
        <f>AI62*-Valores!$C$60</f>
        <v>-79.310515784259607</v>
      </c>
      <c r="AT62" s="15">
        <f t="shared" si="5"/>
        <v>22212.780779047625</v>
      </c>
      <c r="AU62" s="15">
        <f t="shared" si="6"/>
        <v>22609.333357968924</v>
      </c>
      <c r="AV62" s="78">
        <f>AI62*Valores!$C$61</f>
        <v>4229.8941751605125</v>
      </c>
      <c r="AW62" s="78">
        <f>AI62*Valores!$C$62</f>
        <v>1189.657736763894</v>
      </c>
      <c r="AX62" s="78">
        <f>AI62*Valores!$C$64</f>
        <v>264.36838594753203</v>
      </c>
      <c r="AY62" s="78">
        <f>AI62*Valores!$C$65</f>
        <v>925.28935081636212</v>
      </c>
      <c r="AZ62" s="78">
        <f>AI62*Valores!$C$66</f>
        <v>158.62103156851921</v>
      </c>
      <c r="BA62" s="78">
        <f t="shared" si="8"/>
        <v>1427.5892841166728</v>
      </c>
      <c r="BB62" s="20"/>
      <c r="BC62" s="20">
        <v>25</v>
      </c>
      <c r="BD62" s="9" t="s">
        <v>467</v>
      </c>
    </row>
    <row r="63" spans="1:56" s="9" customFormat="1" ht="11.25" customHeight="1" x14ac:dyDescent="0.15">
      <c r="A63" s="20">
        <v>62</v>
      </c>
      <c r="B63" s="20"/>
      <c r="C63" s="9" t="s">
        <v>108</v>
      </c>
      <c r="E63" s="10" t="s">
        <v>109</v>
      </c>
      <c r="F63" s="123">
        <v>81</v>
      </c>
      <c r="G63" s="7">
        <f>INT((F63*Valores!$C$2*100*1.006901)+0.5)/100</f>
        <v>426.29</v>
      </c>
      <c r="H63" s="113">
        <v>2094</v>
      </c>
      <c r="I63" s="77">
        <f>INT((H63*Valores!$C$2*100*1.006901)+0.5)/100</f>
        <v>11020.45</v>
      </c>
      <c r="J63" s="145">
        <v>0</v>
      </c>
      <c r="K63" s="77">
        <f>INT((J63*Valores!$C$2*100*1.006901)+0.5)/100</f>
        <v>0</v>
      </c>
      <c r="L63" s="120">
        <v>0</v>
      </c>
      <c r="M63" s="77">
        <f>INT((L63*Valores!$C$2*100*1.006901)+0.5)/100</f>
        <v>0</v>
      </c>
      <c r="N63" s="77">
        <f t="shared" si="0"/>
        <v>2171.7310157535003</v>
      </c>
      <c r="O63" s="77">
        <f t="shared" si="1"/>
        <v>0</v>
      </c>
      <c r="P63" s="78">
        <f>Valores!$C$16</f>
        <v>3262.4095850500003</v>
      </c>
      <c r="Q63" s="78">
        <f>Valores!$D$4</f>
        <v>2354.08</v>
      </c>
      <c r="R63" s="61">
        <f>Valores!$C$26</f>
        <v>2369.1575009200001</v>
      </c>
      <c r="S63" s="87">
        <f>Valores!$C$42</f>
        <v>764.36875613000007</v>
      </c>
      <c r="T63" s="77">
        <f>Valores!$C$23</f>
        <v>2267.09801556</v>
      </c>
      <c r="U63" s="77">
        <f t="shared" si="12"/>
        <v>2267.09801556</v>
      </c>
      <c r="V63" s="77">
        <v>0</v>
      </c>
      <c r="W63" s="77">
        <v>0</v>
      </c>
      <c r="X63" s="116">
        <v>0</v>
      </c>
      <c r="Y63" s="77">
        <f>X63*Valores!$C$2*1.006901</f>
        <v>0</v>
      </c>
      <c r="Z63" s="77">
        <v>0</v>
      </c>
      <c r="AA63" s="89">
        <f>Valores!$C$29</f>
        <v>132.58872368000002</v>
      </c>
      <c r="AB63" s="77">
        <f t="shared" si="3"/>
        <v>0</v>
      </c>
      <c r="AC63" s="77">
        <f>Valores!$C$30</f>
        <v>132.59</v>
      </c>
      <c r="AD63" s="116">
        <v>0</v>
      </c>
      <c r="AE63" s="77">
        <f>AD63*Valores!$C$2*1.006901</f>
        <v>0</v>
      </c>
      <c r="AF63" s="77">
        <f>Valores!$C$51</f>
        <v>269.71857087000001</v>
      </c>
      <c r="AG63" s="77">
        <f>Valores!$C$52</f>
        <v>77.068202540000016</v>
      </c>
      <c r="AH63" s="77">
        <f>SUM(G63,I63,K63,M63,N63,O63,P63,Q63,R63,S63,U63,V63,W63,Y63,Z63,AA63,AB63,AC63,AE63,AF63,AG63)*Valores!$C$54</f>
        <v>0</v>
      </c>
      <c r="AI63" s="15">
        <f t="shared" si="7"/>
        <v>25247.550370503504</v>
      </c>
      <c r="AJ63" s="78">
        <f>Valores!$C$35</f>
        <v>216.04</v>
      </c>
      <c r="AK63" s="79">
        <f>Valores!$C$8</f>
        <v>205.50849410000001</v>
      </c>
      <c r="AL63" s="89">
        <v>113.02463725000001</v>
      </c>
      <c r="AM63" s="79">
        <f>IF($G$4="SI",SUM(AK63+AL63),AK63)*Valores!$C$54</f>
        <v>0</v>
      </c>
      <c r="AN63" s="12">
        <f t="shared" si="4"/>
        <v>534.57313135000004</v>
      </c>
      <c r="AO63" s="151">
        <f>AI63*-Valores!$C$56</f>
        <v>-3282.1815481654558</v>
      </c>
      <c r="AP63" s="151">
        <f>AI63*-Valores!$C$57</f>
        <v>-126.23775185251752</v>
      </c>
      <c r="AQ63" s="78">
        <f>AI63*-Valores!$C$58</f>
        <v>-1136.1397666726577</v>
      </c>
      <c r="AR63" s="78">
        <f>AI63*-Valores!$C$59</f>
        <v>-681.68386000359465</v>
      </c>
      <c r="AS63" s="78">
        <f>AI63*-Valores!$C$60</f>
        <v>-75.742651111510511</v>
      </c>
      <c r="AT63" s="15">
        <f t="shared" si="5"/>
        <v>21237.564435162873</v>
      </c>
      <c r="AU63" s="15">
        <f t="shared" si="6"/>
        <v>21616.277690720424</v>
      </c>
      <c r="AV63" s="78">
        <f>AI63*Valores!$C$61</f>
        <v>4039.6080592805606</v>
      </c>
      <c r="AW63" s="78">
        <f>AI63*Valores!$C$62</f>
        <v>1136.1397666726577</v>
      </c>
      <c r="AX63" s="78">
        <f>AI63*Valores!$C$64</f>
        <v>252.47550370503504</v>
      </c>
      <c r="AY63" s="78">
        <f>AI63*Valores!$C$65</f>
        <v>883.66426296762279</v>
      </c>
      <c r="AZ63" s="78">
        <f>AI63*Valores!$C$66</f>
        <v>151.48530222302102</v>
      </c>
      <c r="BA63" s="78">
        <f t="shared" si="8"/>
        <v>1363.3677200071893</v>
      </c>
      <c r="BB63" s="20"/>
      <c r="BC63" s="20">
        <v>30</v>
      </c>
      <c r="BD63" s="9" t="s">
        <v>467</v>
      </c>
    </row>
    <row r="64" spans="1:56" s="9" customFormat="1" ht="11.25" customHeight="1" x14ac:dyDescent="0.15">
      <c r="A64" s="20">
        <v>63</v>
      </c>
      <c r="B64" s="20"/>
      <c r="C64" s="9" t="s">
        <v>110</v>
      </c>
      <c r="E64" s="10" t="s">
        <v>111</v>
      </c>
      <c r="F64" s="123">
        <v>80</v>
      </c>
      <c r="G64" s="7">
        <f>INT((F64*Valores!$C$2*100*1.006901)+0.5)/100</f>
        <v>421.03</v>
      </c>
      <c r="H64" s="113">
        <v>2095</v>
      </c>
      <c r="I64" s="77">
        <f>INT((H64*Valores!$C$2*100*1.006901)+0.5)/100</f>
        <v>11025.71</v>
      </c>
      <c r="J64" s="145">
        <v>0</v>
      </c>
      <c r="K64" s="77">
        <f>INT((J64*Valores!$C$2*100*1.006901)+0.5)/100</f>
        <v>0</v>
      </c>
      <c r="L64" s="120">
        <v>0</v>
      </c>
      <c r="M64" s="77">
        <f>INT((L64*Valores!$C$2*100*1.006901)+0.5)/100</f>
        <v>0</v>
      </c>
      <c r="N64" s="77">
        <f t="shared" si="0"/>
        <v>2171.7310157534998</v>
      </c>
      <c r="O64" s="77">
        <f t="shared" si="1"/>
        <v>0</v>
      </c>
      <c r="P64" s="78">
        <f>Valores!$C$16</f>
        <v>3262.4095850500003</v>
      </c>
      <c r="Q64" s="78">
        <f>Valores!$D$4</f>
        <v>2354.08</v>
      </c>
      <c r="R64" s="77">
        <f>Valores!$C$26</f>
        <v>2369.1575009200001</v>
      </c>
      <c r="S64" s="79">
        <f>Valores!$C$42</f>
        <v>764.36875613000007</v>
      </c>
      <c r="T64" s="77">
        <f>Valores!$C$23</f>
        <v>2267.09801556</v>
      </c>
      <c r="U64" s="77">
        <f t="shared" si="12"/>
        <v>2267.09801556</v>
      </c>
      <c r="V64" s="77">
        <v>0</v>
      </c>
      <c r="W64" s="77">
        <v>0</v>
      </c>
      <c r="X64" s="116">
        <v>0</v>
      </c>
      <c r="Y64" s="77">
        <f>X64*Valores!$C$2*1.006901</f>
        <v>0</v>
      </c>
      <c r="Z64" s="77">
        <v>0</v>
      </c>
      <c r="AA64" s="89">
        <f>Valores!$C$29</f>
        <v>132.58872368000002</v>
      </c>
      <c r="AB64" s="77">
        <f t="shared" si="3"/>
        <v>0</v>
      </c>
      <c r="AC64" s="77">
        <f>Valores!$C$30</f>
        <v>132.59</v>
      </c>
      <c r="AD64" s="116">
        <v>94</v>
      </c>
      <c r="AE64" s="77">
        <f>AD64*Valores!$C$2*1.006901</f>
        <v>494.70979379919999</v>
      </c>
      <c r="AF64" s="77">
        <f>Valores!$C$51</f>
        <v>269.71857087000001</v>
      </c>
      <c r="AG64" s="77">
        <f>Valores!$C$52</f>
        <v>77.068202540000016</v>
      </c>
      <c r="AH64" s="77">
        <f>SUM(G64,I64,K64,M64,N64,O64,P64,Q64,R64,S64,U64,V64,W64,Y64,Z64,AA64,AB64,AC64,AE64,AF64,AG64)*Valores!$C$54</f>
        <v>0</v>
      </c>
      <c r="AI64" s="15">
        <f t="shared" si="7"/>
        <v>25742.260164302697</v>
      </c>
      <c r="AJ64" s="78">
        <f>Valores!$C$35</f>
        <v>216.04</v>
      </c>
      <c r="AK64" s="79">
        <f>Valores!$C$8</f>
        <v>205.50849410000001</v>
      </c>
      <c r="AL64" s="89">
        <v>113.02463725000001</v>
      </c>
      <c r="AM64" s="79">
        <f>IF($G$4="SI",SUM(AK64+AL64),AK64)*Valores!$C$54</f>
        <v>0</v>
      </c>
      <c r="AN64" s="12">
        <f t="shared" si="4"/>
        <v>534.57313135000004</v>
      </c>
      <c r="AO64" s="151">
        <f>AI64*-Valores!$C$56</f>
        <v>-3346.4938213593509</v>
      </c>
      <c r="AP64" s="151">
        <f>AI64*-Valores!$C$57</f>
        <v>-128.71130082151348</v>
      </c>
      <c r="AQ64" s="78">
        <f>AI64*-Valores!$C$58</f>
        <v>-1158.4017073936213</v>
      </c>
      <c r="AR64" s="78">
        <f>AI64*-Valores!$C$59</f>
        <v>-695.04102443617296</v>
      </c>
      <c r="AS64" s="78">
        <f>AI64*-Valores!$C$60</f>
        <v>-77.226780492908091</v>
      </c>
      <c r="AT64" s="15">
        <f t="shared" si="5"/>
        <v>21643.226466078209</v>
      </c>
      <c r="AU64" s="15">
        <f t="shared" si="6"/>
        <v>22029.360368542752</v>
      </c>
      <c r="AV64" s="78">
        <f>AI64*Valores!$C$61</f>
        <v>4118.7616262884312</v>
      </c>
      <c r="AW64" s="78">
        <f>AI64*Valores!$C$62</f>
        <v>1158.4017073936213</v>
      </c>
      <c r="AX64" s="78">
        <f>AI64*Valores!$C$64</f>
        <v>257.42260164302695</v>
      </c>
      <c r="AY64" s="78">
        <f>AI64*Valores!$C$65</f>
        <v>900.9791057505945</v>
      </c>
      <c r="AZ64" s="78">
        <f>AI64*Valores!$C$66</f>
        <v>154.45356098581618</v>
      </c>
      <c r="BA64" s="78">
        <f t="shared" si="8"/>
        <v>1390.0820488723457</v>
      </c>
      <c r="BB64" s="20"/>
      <c r="BC64" s="20">
        <v>25</v>
      </c>
      <c r="BD64" s="9" t="s">
        <v>467</v>
      </c>
    </row>
    <row r="65" spans="1:56" s="9" customFormat="1" ht="11.25" customHeight="1" x14ac:dyDescent="0.15">
      <c r="A65" s="20">
        <v>64</v>
      </c>
      <c r="B65" s="20"/>
      <c r="C65" s="9" t="s">
        <v>112</v>
      </c>
      <c r="E65" s="10" t="s">
        <v>113</v>
      </c>
      <c r="F65" s="123">
        <v>79</v>
      </c>
      <c r="G65" s="7">
        <f>INT((F65*Valores!$C$2*100*1.006901)+0.5)/100</f>
        <v>415.77</v>
      </c>
      <c r="H65" s="113">
        <v>1944</v>
      </c>
      <c r="I65" s="77">
        <f>INT((H65*Valores!$C$2*100*1.006901)+0.5)/100</f>
        <v>10231.02</v>
      </c>
      <c r="J65" s="145">
        <v>0</v>
      </c>
      <c r="K65" s="77">
        <f>INT((J65*Valores!$C$2*100*1.006901)+0.5)/100</f>
        <v>0</v>
      </c>
      <c r="L65" s="120">
        <v>0</v>
      </c>
      <c r="M65" s="77">
        <f>INT((L65*Valores!$C$2*100*1.006901)+0.5)/100</f>
        <v>0</v>
      </c>
      <c r="N65" s="77">
        <f t="shared" si="0"/>
        <v>2051.7385157535</v>
      </c>
      <c r="O65" s="77">
        <f t="shared" si="1"/>
        <v>0</v>
      </c>
      <c r="P65" s="78">
        <f>Valores!$C$16</f>
        <v>3262.4095850500003</v>
      </c>
      <c r="Q65" s="78">
        <f>Valores!$D$4</f>
        <v>2354.08</v>
      </c>
      <c r="R65" s="61">
        <f>Valores!$C$26</f>
        <v>2369.1575009200001</v>
      </c>
      <c r="S65" s="87">
        <f>Valores!$C$42</f>
        <v>764.36875613000007</v>
      </c>
      <c r="T65" s="77">
        <f>Valores!$C$23</f>
        <v>2267.09801556</v>
      </c>
      <c r="U65" s="77">
        <f t="shared" si="12"/>
        <v>2267.09801556</v>
      </c>
      <c r="V65" s="77">
        <v>0</v>
      </c>
      <c r="W65" s="77">
        <v>0</v>
      </c>
      <c r="X65" s="116">
        <v>0</v>
      </c>
      <c r="Y65" s="77">
        <f>X65*Valores!$C$2*1.006901</f>
        <v>0</v>
      </c>
      <c r="Z65" s="77">
        <v>0</v>
      </c>
      <c r="AA65" s="89">
        <f>Valores!$C$29</f>
        <v>132.58872368000002</v>
      </c>
      <c r="AB65" s="77">
        <f t="shared" si="3"/>
        <v>0</v>
      </c>
      <c r="AC65" s="77">
        <f>Valores!$C$30</f>
        <v>132.59</v>
      </c>
      <c r="AD65" s="116">
        <v>0</v>
      </c>
      <c r="AE65" s="77">
        <f>AD65*Valores!$C$2*1.006901</f>
        <v>0</v>
      </c>
      <c r="AF65" s="77">
        <f>Valores!$C$51</f>
        <v>269.71857087000001</v>
      </c>
      <c r="AG65" s="77">
        <f>Valores!$C$52</f>
        <v>77.068202540000016</v>
      </c>
      <c r="AH65" s="77">
        <f>SUM(G65,I65,K65,M65,N65,O65,P65,Q65,R65,S65,U65,V65,W65,Y65,Z65,AA65,AB65,AC65,AE65,AF65,AG65)*Valores!$C$54</f>
        <v>0</v>
      </c>
      <c r="AI65" s="15">
        <f t="shared" si="7"/>
        <v>24327.6078705035</v>
      </c>
      <c r="AJ65" s="78">
        <f>Valores!$C$35</f>
        <v>216.04</v>
      </c>
      <c r="AK65" s="79">
        <f>Valores!$C$8</f>
        <v>205.50849410000001</v>
      </c>
      <c r="AL65" s="89">
        <v>0</v>
      </c>
      <c r="AM65" s="79">
        <f>IF($G$4="SI",SUM(AK65+AL65),AK65)*Valores!$C$54</f>
        <v>0</v>
      </c>
      <c r="AN65" s="12">
        <f t="shared" si="4"/>
        <v>421.54849409999997</v>
      </c>
      <c r="AO65" s="151">
        <f>AI65*-Valores!$C$56</f>
        <v>-3162.5890231654553</v>
      </c>
      <c r="AP65" s="151">
        <f>AI65*-Valores!$C$57</f>
        <v>-121.6380393525175</v>
      </c>
      <c r="AQ65" s="78">
        <f>AI65*-Valores!$C$58</f>
        <v>-1094.7423541726575</v>
      </c>
      <c r="AR65" s="78">
        <f>AI65*-Valores!$C$59</f>
        <v>-656.84541250359462</v>
      </c>
      <c r="AS65" s="78">
        <f>AI65*-Valores!$C$60</f>
        <v>-72.982823611510497</v>
      </c>
      <c r="AT65" s="15">
        <f t="shared" si="5"/>
        <v>20370.186947912869</v>
      </c>
      <c r="AU65" s="15">
        <f t="shared" si="6"/>
        <v>20735.101065970422</v>
      </c>
      <c r="AV65" s="78">
        <f>AI65*Valores!$C$61</f>
        <v>3892.4172592805598</v>
      </c>
      <c r="AW65" s="78">
        <f>AI65*Valores!$C$62</f>
        <v>1094.7423541726575</v>
      </c>
      <c r="AX65" s="78">
        <f>AI65*Valores!$C$64</f>
        <v>243.27607870503499</v>
      </c>
      <c r="AY65" s="78">
        <f>AI65*Valores!$C$65</f>
        <v>851.46627546762261</v>
      </c>
      <c r="AZ65" s="78">
        <f>AI65*Valores!$C$66</f>
        <v>145.96564722302099</v>
      </c>
      <c r="BA65" s="78">
        <f t="shared" si="8"/>
        <v>1313.6908250071892</v>
      </c>
      <c r="BB65" s="20"/>
      <c r="BC65" s="20">
        <v>30</v>
      </c>
      <c r="BD65" s="9" t="s">
        <v>467</v>
      </c>
    </row>
    <row r="66" spans="1:56" s="9" customFormat="1" ht="11.25" customHeight="1" x14ac:dyDescent="0.15">
      <c r="A66" s="55">
        <v>65</v>
      </c>
      <c r="B66" s="55" t="s">
        <v>462</v>
      </c>
      <c r="C66" s="52" t="s">
        <v>114</v>
      </c>
      <c r="D66" s="52"/>
      <c r="E66" s="53" t="s">
        <v>115</v>
      </c>
      <c r="F66" s="124">
        <v>79</v>
      </c>
      <c r="G66" s="7">
        <f>INT((F66*Valores!$C$2*100*1.006901)+0.5)/100</f>
        <v>415.77</v>
      </c>
      <c r="H66" s="114">
        <v>1944</v>
      </c>
      <c r="I66" s="77">
        <f>INT((H66*Valores!$C$2*100*1.006901)+0.5)/100</f>
        <v>10231.02</v>
      </c>
      <c r="J66" s="146">
        <v>0</v>
      </c>
      <c r="K66" s="77">
        <f>INT((J66*Valores!$C$2*100*1.006901)+0.5)/100</f>
        <v>0</v>
      </c>
      <c r="L66" s="121">
        <v>0</v>
      </c>
      <c r="M66" s="77">
        <f>INT((L66*Valores!$C$2*100*1.006901)+0.5)/100</f>
        <v>0</v>
      </c>
      <c r="N66" s="80">
        <f t="shared" si="0"/>
        <v>2051.7385157535</v>
      </c>
      <c r="O66" s="80">
        <f t="shared" si="1"/>
        <v>0</v>
      </c>
      <c r="P66" s="81">
        <f>Valores!$C$16</f>
        <v>3262.4095850500003</v>
      </c>
      <c r="Q66" s="81">
        <f>Valores!$D$4</f>
        <v>2354.08</v>
      </c>
      <c r="R66" s="85">
        <f>Valores!$C$26</f>
        <v>2369.1575009200001</v>
      </c>
      <c r="S66" s="88">
        <f>Valores!$C$42</f>
        <v>764.36875613000007</v>
      </c>
      <c r="T66" s="80">
        <f>Valores!$C$23</f>
        <v>2267.09801556</v>
      </c>
      <c r="U66" s="80">
        <f t="shared" si="12"/>
        <v>2267.09801556</v>
      </c>
      <c r="V66" s="80">
        <v>0</v>
      </c>
      <c r="W66" s="80">
        <v>0</v>
      </c>
      <c r="X66" s="115">
        <v>0</v>
      </c>
      <c r="Y66" s="77">
        <f>X66*Valores!$C$2*1.006901</f>
        <v>0</v>
      </c>
      <c r="Z66" s="80">
        <v>0</v>
      </c>
      <c r="AA66" s="90">
        <f>Valores!$C$29</f>
        <v>132.58872368000002</v>
      </c>
      <c r="AB66" s="80">
        <f t="shared" si="3"/>
        <v>0</v>
      </c>
      <c r="AC66" s="80">
        <f>Valores!$C$30</f>
        <v>132.59</v>
      </c>
      <c r="AD66" s="115">
        <v>94</v>
      </c>
      <c r="AE66" s="77">
        <f>AD66*Valores!$C$2*1.006901</f>
        <v>494.70979379919999</v>
      </c>
      <c r="AF66" s="80">
        <f>Valores!$C$51</f>
        <v>269.71857087000001</v>
      </c>
      <c r="AG66" s="80">
        <f>Valores!$C$52</f>
        <v>77.068202540000016</v>
      </c>
      <c r="AH66" s="80">
        <f>SUM(G66,I66,K66,M66,N66,O66,P66,Q66,R66,S66,U66,V66,W66,Y66,Z66,AA66,AB66,AC66,AE66,AF66,AG66)*Valores!$C$54</f>
        <v>0</v>
      </c>
      <c r="AI66" s="54">
        <f t="shared" si="7"/>
        <v>24822.3176643027</v>
      </c>
      <c r="AJ66" s="81">
        <f>Valores!$C$35</f>
        <v>216.04</v>
      </c>
      <c r="AK66" s="82">
        <f>Valores!$C$8</f>
        <v>205.50849410000001</v>
      </c>
      <c r="AL66" s="90">
        <v>0</v>
      </c>
      <c r="AM66" s="82">
        <f>IF($G$4="SI",SUM(AK66+AL66),AK66)*Valores!$C$54</f>
        <v>0</v>
      </c>
      <c r="AN66" s="184">
        <f t="shared" si="4"/>
        <v>421.54849409999997</v>
      </c>
      <c r="AO66" s="152">
        <f>AI66*-Valores!$C$56</f>
        <v>-3226.9012963593509</v>
      </c>
      <c r="AP66" s="152">
        <f>AI66*-Valores!$C$57</f>
        <v>-124.11158832151351</v>
      </c>
      <c r="AQ66" s="81">
        <f>AI66*-Valores!$C$58</f>
        <v>-1117.0042948936214</v>
      </c>
      <c r="AR66" s="81">
        <f>AI66*-Valores!$C$59</f>
        <v>-670.20257693617293</v>
      </c>
      <c r="AS66" s="81">
        <f>AI66*-Valores!$C$60</f>
        <v>-74.466952992908105</v>
      </c>
      <c r="AT66" s="54">
        <f t="shared" si="5"/>
        <v>20775.848978828213</v>
      </c>
      <c r="AU66" s="54">
        <f t="shared" si="6"/>
        <v>21148.183743792753</v>
      </c>
      <c r="AV66" s="81">
        <f>AI66*Valores!$C$61</f>
        <v>3971.5708262884323</v>
      </c>
      <c r="AW66" s="81">
        <f>AI66*Valores!$C$62</f>
        <v>1117.0042948936214</v>
      </c>
      <c r="AX66" s="81">
        <f>AI66*Valores!$C$64</f>
        <v>248.22317664302702</v>
      </c>
      <c r="AY66" s="81">
        <f>AI66*Valores!$C$65</f>
        <v>868.78111825059455</v>
      </c>
      <c r="AZ66" s="81">
        <f>AI66*Valores!$C$66</f>
        <v>148.93390598581621</v>
      </c>
      <c r="BA66" s="81">
        <f t="shared" si="8"/>
        <v>1340.4051538723461</v>
      </c>
      <c r="BB66" s="55"/>
      <c r="BC66" s="55">
        <v>25</v>
      </c>
      <c r="BD66" s="52" t="s">
        <v>466</v>
      </c>
    </row>
    <row r="67" spans="1:56" s="9" customFormat="1" ht="11.25" customHeight="1" x14ac:dyDescent="0.15">
      <c r="A67" s="20">
        <v>66</v>
      </c>
      <c r="B67" s="20"/>
      <c r="C67" s="9" t="s">
        <v>116</v>
      </c>
      <c r="E67" s="10" t="s">
        <v>117</v>
      </c>
      <c r="F67" s="123">
        <v>100</v>
      </c>
      <c r="G67" s="7">
        <f>INT((F67*Valores!$C$2*100*1.006901)+0.5)/100</f>
        <v>526.29</v>
      </c>
      <c r="H67" s="113">
        <v>2864</v>
      </c>
      <c r="I67" s="77">
        <f>INT((H67*Valores!$C$2*100*1.006901)+0.5)/100</f>
        <v>15072.86</v>
      </c>
      <c r="J67" s="145">
        <v>0</v>
      </c>
      <c r="K67" s="77">
        <f>INT((J67*Valores!$C$2*100*1.006901)+0.5)/100</f>
        <v>0</v>
      </c>
      <c r="L67" s="120">
        <v>0</v>
      </c>
      <c r="M67" s="77">
        <f>INT((L67*Valores!$C$2*100*1.006901)+0.5)/100</f>
        <v>0</v>
      </c>
      <c r="N67" s="77">
        <f t="shared" si="0"/>
        <v>2794.5925157535003</v>
      </c>
      <c r="O67" s="77">
        <f t="shared" si="1"/>
        <v>0</v>
      </c>
      <c r="P67" s="78">
        <f>Valores!$C$16</f>
        <v>3262.4095850500003</v>
      </c>
      <c r="Q67" s="78">
        <f>Valores!$D$4</f>
        <v>2354.08</v>
      </c>
      <c r="R67" s="77">
        <v>0</v>
      </c>
      <c r="S67" s="79">
        <f>Valores!$C$42</f>
        <v>764.36875613000007</v>
      </c>
      <c r="T67" s="77">
        <f>Valores!$C$23</f>
        <v>2267.09801556</v>
      </c>
      <c r="U67" s="77">
        <f t="shared" si="12"/>
        <v>2267.09801556</v>
      </c>
      <c r="V67" s="77">
        <v>0</v>
      </c>
      <c r="W67" s="77">
        <v>0</v>
      </c>
      <c r="X67" s="116">
        <v>0</v>
      </c>
      <c r="Y67" s="77">
        <f>X67*Valores!$C$2*1.006901</f>
        <v>0</v>
      </c>
      <c r="Z67" s="77">
        <v>0</v>
      </c>
      <c r="AA67" s="89">
        <f>Valores!$C$29</f>
        <v>132.58872368000002</v>
      </c>
      <c r="AB67" s="77">
        <f t="shared" si="3"/>
        <v>0</v>
      </c>
      <c r="AC67" s="77">
        <f>Valores!$C$30</f>
        <v>132.59</v>
      </c>
      <c r="AD67" s="116">
        <v>0</v>
      </c>
      <c r="AE67" s="77">
        <f>AD67*Valores!$C$2*1.006901</f>
        <v>0</v>
      </c>
      <c r="AF67" s="77">
        <f>Valores!$C$51</f>
        <v>269.71857087000001</v>
      </c>
      <c r="AG67" s="77">
        <f>Valores!$C$52</f>
        <v>77.068202540000016</v>
      </c>
      <c r="AH67" s="77">
        <f>SUM(G67,I67,K67,M67,N67,O67,P67,Q67,R67,S67,U67,V67,W67,Y67,Z67,AA67,AB67,AC67,AE67,AF67,AG67)*Valores!$C$54</f>
        <v>0</v>
      </c>
      <c r="AI67" s="15">
        <f t="shared" si="7"/>
        <v>27653.664369583508</v>
      </c>
      <c r="AJ67" s="78">
        <f>Valores!$C$35</f>
        <v>216.04</v>
      </c>
      <c r="AK67" s="79">
        <f>Valores!$C$8</f>
        <v>205.50849410000001</v>
      </c>
      <c r="AL67" s="89">
        <v>226.04927450000002</v>
      </c>
      <c r="AM67" s="79">
        <f>IF($G$4="SI",SUM(AK67+AL67),AK67)*Valores!$C$54</f>
        <v>0</v>
      </c>
      <c r="AN67" s="12">
        <f t="shared" si="4"/>
        <v>647.59776859999999</v>
      </c>
      <c r="AO67" s="151">
        <f>AI67*-Valores!$C$56</f>
        <v>-3594.9763680458564</v>
      </c>
      <c r="AP67" s="151">
        <f>AI67*-Valores!$C$57</f>
        <v>-138.26832184791755</v>
      </c>
      <c r="AQ67" s="78">
        <f>AI67*-Valores!$C$58</f>
        <v>-1244.4148966312578</v>
      </c>
      <c r="AR67" s="78">
        <f>AI67*-Valores!$C$59</f>
        <v>-746.64893797875482</v>
      </c>
      <c r="AS67" s="78">
        <f>AI67*-Valores!$C$60</f>
        <v>-82.960993108750529</v>
      </c>
      <c r="AT67" s="15">
        <f t="shared" si="5"/>
        <v>23323.602551658478</v>
      </c>
      <c r="AU67" s="15">
        <f t="shared" si="6"/>
        <v>23738.407517202228</v>
      </c>
      <c r="AV67" s="78">
        <f>AI67*Valores!$C$61</f>
        <v>4424.5862991333615</v>
      </c>
      <c r="AW67" s="78">
        <f>AI67*Valores!$C$62</f>
        <v>1244.4148966312578</v>
      </c>
      <c r="AX67" s="78">
        <f>AI67*Valores!$C$64</f>
        <v>276.5366436958351</v>
      </c>
      <c r="AY67" s="78">
        <f>AI67*Valores!$C$65</f>
        <v>967.87825293542289</v>
      </c>
      <c r="AZ67" s="78">
        <f>AI67*Valores!$C$66</f>
        <v>165.92198621750106</v>
      </c>
      <c r="BA67" s="78">
        <f t="shared" si="8"/>
        <v>1493.2978759575096</v>
      </c>
      <c r="BB67" s="20"/>
      <c r="BC67" s="20"/>
      <c r="BD67" s="9" t="s">
        <v>467</v>
      </c>
    </row>
    <row r="68" spans="1:56" s="9" customFormat="1" ht="11.25" customHeight="1" x14ac:dyDescent="0.15">
      <c r="A68" s="20">
        <v>67</v>
      </c>
      <c r="B68" s="20"/>
      <c r="C68" s="9" t="s">
        <v>118</v>
      </c>
      <c r="E68" s="10" t="s">
        <v>119</v>
      </c>
      <c r="F68" s="123">
        <v>79</v>
      </c>
      <c r="G68" s="7">
        <f>INT((F68*Valores!$C$2*100*1.006901)+0.5)/100</f>
        <v>415.77</v>
      </c>
      <c r="H68" s="113">
        <v>2161</v>
      </c>
      <c r="I68" s="77">
        <f>INT((H68*Valores!$C$2*100*1.006901)+0.5)/100</f>
        <v>11373.06</v>
      </c>
      <c r="J68" s="145">
        <v>0</v>
      </c>
      <c r="K68" s="77">
        <f>INT((J68*Valores!$C$2*100*1.006901)+0.5)/100</f>
        <v>0</v>
      </c>
      <c r="L68" s="120">
        <v>0</v>
      </c>
      <c r="M68" s="77">
        <f>INT((L68*Valores!$C$2*100*1.006901)+0.5)/100</f>
        <v>0</v>
      </c>
      <c r="N68" s="77">
        <f t="shared" si="0"/>
        <v>2223.0445157534996</v>
      </c>
      <c r="O68" s="77">
        <f t="shared" si="1"/>
        <v>0</v>
      </c>
      <c r="P68" s="78">
        <f>Valores!$C$16</f>
        <v>3262.4095850500003</v>
      </c>
      <c r="Q68" s="78">
        <f>Valores!$D$4</f>
        <v>2354.08</v>
      </c>
      <c r="R68" s="61">
        <f>Valores!$C$26</f>
        <v>2369.1575009200001</v>
      </c>
      <c r="S68" s="87">
        <f>Valores!$C$42</f>
        <v>764.36875613000007</v>
      </c>
      <c r="T68" s="77">
        <f>Valores!$C$23</f>
        <v>2267.09801556</v>
      </c>
      <c r="U68" s="77">
        <f t="shared" si="12"/>
        <v>2267.09801556</v>
      </c>
      <c r="V68" s="77">
        <v>0</v>
      </c>
      <c r="W68" s="77">
        <v>0</v>
      </c>
      <c r="X68" s="116">
        <v>0</v>
      </c>
      <c r="Y68" s="77">
        <f>X68*Valores!$C$2*1.006901</f>
        <v>0</v>
      </c>
      <c r="Z68" s="77">
        <v>0</v>
      </c>
      <c r="AA68" s="89">
        <f>Valores!$C$29</f>
        <v>132.58872368000002</v>
      </c>
      <c r="AB68" s="77">
        <f t="shared" si="3"/>
        <v>0</v>
      </c>
      <c r="AC68" s="77">
        <f>Valores!$C$30</f>
        <v>132.59</v>
      </c>
      <c r="AD68" s="116">
        <v>0</v>
      </c>
      <c r="AE68" s="77">
        <f>AD68*Valores!$C$2*1.006901</f>
        <v>0</v>
      </c>
      <c r="AF68" s="77">
        <f>Valores!$C$51</f>
        <v>269.71857087000001</v>
      </c>
      <c r="AG68" s="77">
        <f>Valores!$C$52</f>
        <v>77.068202540000016</v>
      </c>
      <c r="AH68" s="77">
        <f>SUM(G68,I68,K68,M68,N68,O68,P68,Q68,R68,S68,U68,V68,W68,Y68,Z68,AA68,AB68,AC68,AE68,AF68,AG68)*Valores!$C$54</f>
        <v>0</v>
      </c>
      <c r="AI68" s="15">
        <f t="shared" si="7"/>
        <v>25640.953870503497</v>
      </c>
      <c r="AJ68" s="78">
        <f>Valores!$C$35</f>
        <v>216.04</v>
      </c>
      <c r="AK68" s="79">
        <f>Valores!$C$8</f>
        <v>205.50849410000001</v>
      </c>
      <c r="AL68" s="89">
        <v>0</v>
      </c>
      <c r="AM68" s="79">
        <f>IF($G$4="SI",SUM(AK68+AL68),AK68)*Valores!$C$54</f>
        <v>0</v>
      </c>
      <c r="AN68" s="12">
        <f t="shared" si="4"/>
        <v>421.54849409999997</v>
      </c>
      <c r="AO68" s="151">
        <f>AI68*-Valores!$C$56</f>
        <v>-3333.324003165455</v>
      </c>
      <c r="AP68" s="151">
        <f>AI68*-Valores!$C$57</f>
        <v>-128.2047693525175</v>
      </c>
      <c r="AQ68" s="78">
        <f>AI68*-Valores!$C$58</f>
        <v>-1153.8429241726574</v>
      </c>
      <c r="AR68" s="78">
        <f>AI68*-Valores!$C$59</f>
        <v>-692.30575450359447</v>
      </c>
      <c r="AS68" s="78">
        <f>AI68*-Valores!$C$60</f>
        <v>-76.922861611510498</v>
      </c>
      <c r="AT68" s="15">
        <f t="shared" si="5"/>
        <v>21447.130667912868</v>
      </c>
      <c r="AU68" s="15">
        <f t="shared" si="6"/>
        <v>21831.744975970421</v>
      </c>
      <c r="AV68" s="78">
        <f>AI68*Valores!$C$61</f>
        <v>4102.5526192805601</v>
      </c>
      <c r="AW68" s="78">
        <f>AI68*Valores!$C$62</f>
        <v>1153.8429241726574</v>
      </c>
      <c r="AX68" s="78">
        <f>AI68*Valores!$C$64</f>
        <v>256.409538705035</v>
      </c>
      <c r="AY68" s="78">
        <f>AI68*Valores!$C$65</f>
        <v>897.43338546762254</v>
      </c>
      <c r="AZ68" s="78">
        <f>AI68*Valores!$C$66</f>
        <v>153.845723223021</v>
      </c>
      <c r="BA68" s="78">
        <f t="shared" si="8"/>
        <v>1384.6115090071889</v>
      </c>
      <c r="BB68" s="20"/>
      <c r="BC68" s="20">
        <v>30</v>
      </c>
      <c r="BD68" s="9" t="s">
        <v>467</v>
      </c>
    </row>
    <row r="69" spans="1:56" s="9" customFormat="1" ht="11.25" customHeight="1" x14ac:dyDescent="0.15">
      <c r="A69" s="20">
        <v>68</v>
      </c>
      <c r="B69" s="20"/>
      <c r="C69" s="9" t="s">
        <v>120</v>
      </c>
      <c r="E69" s="10" t="s">
        <v>121</v>
      </c>
      <c r="F69" s="123">
        <v>90</v>
      </c>
      <c r="G69" s="7">
        <f>INT((F69*Valores!$C$2*100*1.006901)+0.5)/100</f>
        <v>473.66</v>
      </c>
      <c r="H69" s="113">
        <v>3010</v>
      </c>
      <c r="I69" s="77">
        <f>INT((H69*Valores!$C$2*100*1.006901)+0.5)/100</f>
        <v>15841.24</v>
      </c>
      <c r="J69" s="145">
        <v>0</v>
      </c>
      <c r="K69" s="77">
        <f>INT((J69*Valores!$C$2*100*1.006901)+0.5)/100</f>
        <v>0</v>
      </c>
      <c r="L69" s="120">
        <v>0</v>
      </c>
      <c r="M69" s="77">
        <f>INT((L69*Valores!$C$2*100*1.006901)+0.5)/100</f>
        <v>0</v>
      </c>
      <c r="N69" s="77">
        <f t="shared" si="0"/>
        <v>2959.2819172874997</v>
      </c>
      <c r="O69" s="77">
        <f t="shared" si="1"/>
        <v>0</v>
      </c>
      <c r="P69" s="78">
        <f>Valores!$C$16</f>
        <v>3262.4095850500003</v>
      </c>
      <c r="Q69" s="78">
        <f>Valores!$D$4</f>
        <v>2354.08</v>
      </c>
      <c r="R69" s="77">
        <f>Valores!$C$26</f>
        <v>2369.1575009200001</v>
      </c>
      <c r="S69" s="79">
        <f>Valores!$C$43</f>
        <v>1146.5480996900001</v>
      </c>
      <c r="T69" s="77">
        <f>Valores!$C$23</f>
        <v>2267.09801556</v>
      </c>
      <c r="U69" s="77">
        <f t="shared" si="12"/>
        <v>2267.09801556</v>
      </c>
      <c r="V69" s="77">
        <v>0</v>
      </c>
      <c r="W69" s="77">
        <v>0</v>
      </c>
      <c r="X69" s="116">
        <v>0</v>
      </c>
      <c r="Y69" s="77">
        <f>X69*Valores!$C$2*1.006901</f>
        <v>0</v>
      </c>
      <c r="Z69" s="77">
        <v>0</v>
      </c>
      <c r="AA69" s="89">
        <f>Valores!$C$29</f>
        <v>132.58872368000002</v>
      </c>
      <c r="AB69" s="77">
        <f t="shared" si="3"/>
        <v>0</v>
      </c>
      <c r="AC69" s="77">
        <f>Valores!$C$30</f>
        <v>132.59</v>
      </c>
      <c r="AD69" s="116">
        <v>0</v>
      </c>
      <c r="AE69" s="77">
        <f>AD69*Valores!$C$2*1.006901</f>
        <v>0</v>
      </c>
      <c r="AF69" s="77">
        <f>Valores!$C$51</f>
        <v>269.71857087000001</v>
      </c>
      <c r="AG69" s="77">
        <f>Valores!$C$52</f>
        <v>77.068202540000016</v>
      </c>
      <c r="AH69" s="77">
        <f>SUM(G69,I69,K69,M69,N69,O69,P69,Q69,R69,S69,U69,V69,W69,Y69,Z69,AA69,AB69,AC69,AE69,AF69,AG69)*Valores!$C$54</f>
        <v>0</v>
      </c>
      <c r="AI69" s="15">
        <f t="shared" si="7"/>
        <v>31285.440615597501</v>
      </c>
      <c r="AJ69" s="78">
        <f>Valores!$C$35</f>
        <v>216.04</v>
      </c>
      <c r="AK69" s="79">
        <f>Valores!$C$9</f>
        <v>308.25267214000002</v>
      </c>
      <c r="AL69" s="89">
        <v>226.04927450000002</v>
      </c>
      <c r="AM69" s="79">
        <f>IF($G$4="SI",SUM(AK69+AL69),AK69)*Valores!$C$54</f>
        <v>0</v>
      </c>
      <c r="AN69" s="12">
        <f t="shared" si="4"/>
        <v>750.34194664000006</v>
      </c>
      <c r="AO69" s="151">
        <f>AI69*-Valores!$C$56</f>
        <v>-4067.1072800276752</v>
      </c>
      <c r="AP69" s="151">
        <f>AI69*-Valores!$C$57</f>
        <v>-156.42720307798751</v>
      </c>
      <c r="AQ69" s="78">
        <f>AI69*-Valores!$C$58</f>
        <v>-1407.8448277018874</v>
      </c>
      <c r="AR69" s="78">
        <f>AI69*-Valores!$C$59</f>
        <v>-844.70689662113261</v>
      </c>
      <c r="AS69" s="78">
        <f>AI69*-Valores!$C$60</f>
        <v>-93.856321846792511</v>
      </c>
      <c r="AT69" s="15">
        <f t="shared" si="5"/>
        <v>26404.403251429954</v>
      </c>
      <c r="AU69" s="15">
        <f t="shared" si="6"/>
        <v>26873.684860663914</v>
      </c>
      <c r="AV69" s="78">
        <f>AI69*Valores!$C$61</f>
        <v>5005.6704984956004</v>
      </c>
      <c r="AW69" s="78">
        <f>AI69*Valores!$C$62</f>
        <v>1407.8448277018874</v>
      </c>
      <c r="AX69" s="78">
        <f>AI69*Valores!$C$64</f>
        <v>312.85440615597503</v>
      </c>
      <c r="AY69" s="78">
        <f>AI69*Valores!$C$65</f>
        <v>1094.9904215459126</v>
      </c>
      <c r="AZ69" s="78">
        <f>AI69*Valores!$C$66</f>
        <v>187.71264369358502</v>
      </c>
      <c r="BA69" s="78">
        <f t="shared" si="8"/>
        <v>1689.4137932422652</v>
      </c>
      <c r="BB69" s="20"/>
      <c r="BC69" s="20"/>
      <c r="BD69" s="9" t="s">
        <v>467</v>
      </c>
    </row>
    <row r="70" spans="1:56" s="9" customFormat="1" ht="11.25" customHeight="1" x14ac:dyDescent="0.15">
      <c r="A70" s="20">
        <v>69</v>
      </c>
      <c r="B70" s="20"/>
      <c r="C70" s="9" t="s">
        <v>122</v>
      </c>
      <c r="E70" s="10" t="s">
        <v>123</v>
      </c>
      <c r="F70" s="123">
        <v>78</v>
      </c>
      <c r="G70" s="7">
        <f>INT((F70*Valores!$C$2*100*1.006901)+0.5)/100</f>
        <v>410.5</v>
      </c>
      <c r="H70" s="113">
        <v>2162</v>
      </c>
      <c r="I70" s="77">
        <f>INT((H70*Valores!$C$2*100*1.006901)+0.5)/100</f>
        <v>11378.33</v>
      </c>
      <c r="J70" s="145">
        <v>0</v>
      </c>
      <c r="K70" s="77">
        <f>INT((J70*Valores!$C$2*100*1.006901)+0.5)/100</f>
        <v>0</v>
      </c>
      <c r="L70" s="120">
        <v>0</v>
      </c>
      <c r="M70" s="77">
        <f>INT((L70*Valores!$C$2*100*1.006901)+0.5)/100</f>
        <v>0</v>
      </c>
      <c r="N70" s="77">
        <f t="shared" si="0"/>
        <v>2223.0445157534996</v>
      </c>
      <c r="O70" s="77">
        <f t="shared" si="1"/>
        <v>0</v>
      </c>
      <c r="P70" s="78">
        <f>Valores!$C$16</f>
        <v>3262.4095850500003</v>
      </c>
      <c r="Q70" s="78">
        <f>Valores!$D$4</f>
        <v>2354.08</v>
      </c>
      <c r="R70" s="61">
        <f>Valores!$C$26</f>
        <v>2369.1575009200001</v>
      </c>
      <c r="S70" s="87">
        <f>Valores!$C$42</f>
        <v>764.36875613000007</v>
      </c>
      <c r="T70" s="77">
        <f>Valores!$C$23</f>
        <v>2267.09801556</v>
      </c>
      <c r="U70" s="77">
        <f t="shared" si="12"/>
        <v>2267.09801556</v>
      </c>
      <c r="V70" s="77">
        <v>0</v>
      </c>
      <c r="W70" s="77">
        <v>0</v>
      </c>
      <c r="X70" s="116">
        <v>0</v>
      </c>
      <c r="Y70" s="77">
        <f>X70*Valores!$C$2*1.006901</f>
        <v>0</v>
      </c>
      <c r="Z70" s="77">
        <v>0</v>
      </c>
      <c r="AA70" s="89">
        <f>Valores!$C$29</f>
        <v>132.58872368000002</v>
      </c>
      <c r="AB70" s="77">
        <f t="shared" si="3"/>
        <v>0</v>
      </c>
      <c r="AC70" s="77">
        <f>Valores!$C$30</f>
        <v>132.59</v>
      </c>
      <c r="AD70" s="116">
        <v>0</v>
      </c>
      <c r="AE70" s="77">
        <f>AD70*Valores!$C$2*1.006901</f>
        <v>0</v>
      </c>
      <c r="AF70" s="77">
        <f>Valores!$C$51</f>
        <v>269.71857087000001</v>
      </c>
      <c r="AG70" s="77">
        <f>Valores!$C$52</f>
        <v>77.068202540000016</v>
      </c>
      <c r="AH70" s="77">
        <f>SUM(G70,I70,K70,M70,N70,O70,P70,Q70,R70,S70,U70,V70,W70,Y70,Z70,AA70,AB70,AC70,AE70,AF70,AG70)*Valores!$C$54</f>
        <v>0</v>
      </c>
      <c r="AI70" s="15">
        <f t="shared" si="7"/>
        <v>25640.953870503497</v>
      </c>
      <c r="AJ70" s="78">
        <f>Valores!$C$35</f>
        <v>216.04</v>
      </c>
      <c r="AK70" s="79">
        <f>Valores!$C$8</f>
        <v>205.50849410000001</v>
      </c>
      <c r="AL70" s="89">
        <v>0</v>
      </c>
      <c r="AM70" s="79">
        <f>IF($G$4="SI",SUM(AK70+AL70),AK70)*Valores!$C$54</f>
        <v>0</v>
      </c>
      <c r="AN70" s="12">
        <f t="shared" si="4"/>
        <v>421.54849409999997</v>
      </c>
      <c r="AO70" s="151">
        <f>AI70*-Valores!$C$56</f>
        <v>-3333.324003165455</v>
      </c>
      <c r="AP70" s="151">
        <f>AI70*-Valores!$C$57</f>
        <v>-128.2047693525175</v>
      </c>
      <c r="AQ70" s="78">
        <f>AI70*-Valores!$C$58</f>
        <v>-1153.8429241726574</v>
      </c>
      <c r="AR70" s="78">
        <f>AI70*-Valores!$C$59</f>
        <v>-692.30575450359447</v>
      </c>
      <c r="AS70" s="78">
        <f>AI70*-Valores!$C$60</f>
        <v>-76.922861611510498</v>
      </c>
      <c r="AT70" s="15">
        <f t="shared" si="5"/>
        <v>21447.130667912868</v>
      </c>
      <c r="AU70" s="15">
        <f t="shared" si="6"/>
        <v>21831.744975970421</v>
      </c>
      <c r="AV70" s="78">
        <f>AI70*Valores!$C$61</f>
        <v>4102.5526192805601</v>
      </c>
      <c r="AW70" s="78">
        <f>AI70*Valores!$C$62</f>
        <v>1153.8429241726574</v>
      </c>
      <c r="AX70" s="78">
        <f>AI70*Valores!$C$64</f>
        <v>256.409538705035</v>
      </c>
      <c r="AY70" s="78">
        <f>AI70*Valores!$C$65</f>
        <v>897.43338546762254</v>
      </c>
      <c r="AZ70" s="78">
        <f>AI70*Valores!$C$66</f>
        <v>153.845723223021</v>
      </c>
      <c r="BA70" s="78">
        <f t="shared" si="8"/>
        <v>1384.6115090071889</v>
      </c>
      <c r="BB70" s="20"/>
      <c r="BC70" s="20">
        <v>25</v>
      </c>
      <c r="BD70" s="9" t="s">
        <v>467</v>
      </c>
    </row>
    <row r="71" spans="1:56" s="9" customFormat="1" ht="11.25" customHeight="1" x14ac:dyDescent="0.15">
      <c r="A71" s="55">
        <v>70</v>
      </c>
      <c r="B71" s="55" t="s">
        <v>462</v>
      </c>
      <c r="C71" s="52" t="s">
        <v>124</v>
      </c>
      <c r="D71" s="52"/>
      <c r="E71" s="53" t="s">
        <v>125</v>
      </c>
      <c r="F71" s="124">
        <v>90</v>
      </c>
      <c r="G71" s="7">
        <f>INT((F71*Valores!$C$2*100*1.006901)+0.5)/100</f>
        <v>473.66</v>
      </c>
      <c r="H71" s="114">
        <v>2800</v>
      </c>
      <c r="I71" s="77">
        <f>INT((H71*Valores!$C$2*100*1.006901)+0.5)/100</f>
        <v>14736.04</v>
      </c>
      <c r="J71" s="146">
        <v>0</v>
      </c>
      <c r="K71" s="77">
        <f>INT((J71*Valores!$C$2*100*1.006901)+0.5)/100</f>
        <v>0</v>
      </c>
      <c r="L71" s="121">
        <v>0</v>
      </c>
      <c r="M71" s="77">
        <f>INT((L71*Valores!$C$2*100*1.006901)+0.5)/100</f>
        <v>0</v>
      </c>
      <c r="N71" s="80">
        <f t="shared" ref="N71:N137" si="13">IF($I$2=0,IF(C71&lt;&gt;"13-930",(SUM(G71,I71,K71,M71,Y71,T71,S71)*$N$2),0),0)</f>
        <v>2793.5019172875004</v>
      </c>
      <c r="O71" s="80">
        <f t="shared" ref="O71:O137" si="14">SUM(G71,I71,K71,M71,Y71,S71)*$I$2</f>
        <v>0</v>
      </c>
      <c r="P71" s="81">
        <f>Valores!$C$16</f>
        <v>3262.4095850500003</v>
      </c>
      <c r="Q71" s="81">
        <f>Valores!$D$4</f>
        <v>2354.08</v>
      </c>
      <c r="R71" s="80">
        <v>0</v>
      </c>
      <c r="S71" s="82">
        <f>Valores!$C$43</f>
        <v>1146.5480996900001</v>
      </c>
      <c r="T71" s="80">
        <f>Valores!$C$23</f>
        <v>2267.09801556</v>
      </c>
      <c r="U71" s="80">
        <f t="shared" si="12"/>
        <v>2267.09801556</v>
      </c>
      <c r="V71" s="80">
        <v>0</v>
      </c>
      <c r="W71" s="80">
        <v>0</v>
      </c>
      <c r="X71" s="115">
        <v>0</v>
      </c>
      <c r="Y71" s="77">
        <f>X71*Valores!$C$2*1.006901</f>
        <v>0</v>
      </c>
      <c r="Z71" s="80">
        <v>0</v>
      </c>
      <c r="AA71" s="90">
        <f>Valores!$C$29</f>
        <v>132.58872368000002</v>
      </c>
      <c r="AB71" s="80">
        <f t="shared" ref="AB71:AB134" si="15">SUM(G71,I71,K71,Y71,S71,M71)*$G$3/100</f>
        <v>0</v>
      </c>
      <c r="AC71" s="80">
        <f>Valores!$C$30</f>
        <v>132.59</v>
      </c>
      <c r="AD71" s="115">
        <v>0</v>
      </c>
      <c r="AE71" s="77">
        <f>AD71*Valores!$C$2*1.006901</f>
        <v>0</v>
      </c>
      <c r="AF71" s="80">
        <f>Valores!$C$51</f>
        <v>269.71857087000001</v>
      </c>
      <c r="AG71" s="80">
        <f>Valores!$C$52</f>
        <v>77.068202540000016</v>
      </c>
      <c r="AH71" s="80">
        <f>SUM(G71,I71,K71,M71,N71,O71,P71,Q71,R71,S71,U71,V71,W71,Y71,Z71,AA71,AB71,AC71,AE71,AF71,AG71)*Valores!$C$54</f>
        <v>0</v>
      </c>
      <c r="AI71" s="54">
        <f t="shared" si="7"/>
        <v>27645.303114677507</v>
      </c>
      <c r="AJ71" s="81">
        <f>Valores!$C$35</f>
        <v>216.04</v>
      </c>
      <c r="AK71" s="82">
        <f>Valores!$C$9</f>
        <v>308.25267214000002</v>
      </c>
      <c r="AL71" s="90">
        <v>0</v>
      </c>
      <c r="AM71" s="82">
        <f>IF($G$4="SI",SUM(AK71+AL71),AK71)*Valores!$C$54</f>
        <v>0</v>
      </c>
      <c r="AN71" s="184">
        <f t="shared" ref="AN71:AN134" si="16">SUM(AJ71:AK71,AL71,AM71)</f>
        <v>524.29267214000004</v>
      </c>
      <c r="AO71" s="152">
        <f>AI71*-Valores!$C$56</f>
        <v>-3593.8894049080759</v>
      </c>
      <c r="AP71" s="152">
        <f>AI71*-Valores!$C$57</f>
        <v>-138.22651557338753</v>
      </c>
      <c r="AQ71" s="81">
        <f>AI71*-Valores!$C$58</f>
        <v>-1244.0386401604878</v>
      </c>
      <c r="AR71" s="81">
        <f>AI71*-Valores!$C$59</f>
        <v>-746.42318409629274</v>
      </c>
      <c r="AS71" s="81">
        <f>AI71*-Valores!$C$60</f>
        <v>-82.935909344032524</v>
      </c>
      <c r="AT71" s="54">
        <f t="shared" ref="AT71:AT134" si="17">AI71+AN71+AP71+AQ71+AO71</f>
        <v>23193.441226175553</v>
      </c>
      <c r="AU71" s="54">
        <f t="shared" ref="AU71:AU134" si="18">AI71+AN71+AP71+AR71+AO71+AS71</f>
        <v>23608.120772895716</v>
      </c>
      <c r="AV71" s="81">
        <f>AI71*Valores!$C$61</f>
        <v>4423.248498348401</v>
      </c>
      <c r="AW71" s="81">
        <f>AI71*Valores!$C$62</f>
        <v>1244.0386401604878</v>
      </c>
      <c r="AX71" s="81">
        <f>AI71*Valores!$C$64</f>
        <v>276.45303114677506</v>
      </c>
      <c r="AY71" s="81">
        <f>AI71*Valores!$C$65</f>
        <v>967.58560901371277</v>
      </c>
      <c r="AZ71" s="81">
        <f>AI71*Valores!$C$66</f>
        <v>165.87181868806505</v>
      </c>
      <c r="BA71" s="81">
        <f t="shared" si="8"/>
        <v>1492.8463681925853</v>
      </c>
      <c r="BB71" s="55"/>
      <c r="BC71" s="55"/>
      <c r="BD71" s="52" t="s">
        <v>466</v>
      </c>
    </row>
    <row r="72" spans="1:56" s="9" customFormat="1" ht="11.25" customHeight="1" x14ac:dyDescent="0.15">
      <c r="A72" s="20">
        <v>71</v>
      </c>
      <c r="B72" s="20"/>
      <c r="C72" s="9" t="s">
        <v>126</v>
      </c>
      <c r="E72" s="10" t="s">
        <v>127</v>
      </c>
      <c r="F72" s="123">
        <v>79</v>
      </c>
      <c r="G72" s="7">
        <f>INT((F72*Valores!$C$2*100*1.006901)+0.5)/100</f>
        <v>415.77</v>
      </c>
      <c r="H72" s="113">
        <v>2161</v>
      </c>
      <c r="I72" s="77">
        <f>INT((H72*Valores!$C$2*100*1.006901)+0.5)/100</f>
        <v>11373.06</v>
      </c>
      <c r="J72" s="145">
        <v>0</v>
      </c>
      <c r="K72" s="77">
        <f>INT((J72*Valores!$C$2*100*1.006901)+0.5)/100</f>
        <v>0</v>
      </c>
      <c r="L72" s="120">
        <v>0</v>
      </c>
      <c r="M72" s="77">
        <f>INT((L72*Valores!$C$2*100*1.006901)+0.5)/100</f>
        <v>0</v>
      </c>
      <c r="N72" s="77">
        <f t="shared" si="13"/>
        <v>2223.0445157534996</v>
      </c>
      <c r="O72" s="77">
        <f t="shared" si="14"/>
        <v>0</v>
      </c>
      <c r="P72" s="78">
        <f>Valores!$C$16</f>
        <v>3262.4095850500003</v>
      </c>
      <c r="Q72" s="78">
        <f>Valores!$D$4</f>
        <v>2354.08</v>
      </c>
      <c r="R72" s="61">
        <f>Valores!$C$26</f>
        <v>2369.1575009200001</v>
      </c>
      <c r="S72" s="87">
        <f>Valores!$C$42</f>
        <v>764.36875613000007</v>
      </c>
      <c r="T72" s="77">
        <f>Valores!$C$23</f>
        <v>2267.09801556</v>
      </c>
      <c r="U72" s="77">
        <f t="shared" si="12"/>
        <v>2267.09801556</v>
      </c>
      <c r="V72" s="77">
        <v>0</v>
      </c>
      <c r="W72" s="77">
        <v>0</v>
      </c>
      <c r="X72" s="116">
        <v>0</v>
      </c>
      <c r="Y72" s="77">
        <f>X72*Valores!$C$2*1.006901</f>
        <v>0</v>
      </c>
      <c r="Z72" s="77">
        <v>0</v>
      </c>
      <c r="AA72" s="89">
        <f>Valores!$C$29</f>
        <v>132.58872368000002</v>
      </c>
      <c r="AB72" s="77">
        <f t="shared" si="15"/>
        <v>0</v>
      </c>
      <c r="AC72" s="77">
        <f>Valores!$C$30</f>
        <v>132.59</v>
      </c>
      <c r="AD72" s="116">
        <v>0</v>
      </c>
      <c r="AE72" s="77">
        <f>AD72*Valores!$C$2*1.006901</f>
        <v>0</v>
      </c>
      <c r="AF72" s="77">
        <f>Valores!$C$51</f>
        <v>269.71857087000001</v>
      </c>
      <c r="AG72" s="77">
        <f>Valores!$C$52</f>
        <v>77.068202540000016</v>
      </c>
      <c r="AH72" s="77">
        <f>SUM(G72,I72,K72,M72,N72,O72,P72,Q72,R72,S72,U72,V72,W72,Y72,Z72,AA72,AB72,AC72,AE72,AF72,AG72)*Valores!$C$54</f>
        <v>0</v>
      </c>
      <c r="AI72" s="15">
        <f t="shared" ref="AI72:AI135" si="19">SUM(G72,I72,K72,M72,N72,O72,P72,Q72,R72,U72,V72,W72,Y72,Z72,AA72,AB72,AC72,AE72,S72,AF72,AG72,AH72)</f>
        <v>25640.953870503497</v>
      </c>
      <c r="AJ72" s="78">
        <f>Valores!$C$35</f>
        <v>216.04</v>
      </c>
      <c r="AK72" s="79">
        <f>Valores!$C$8</f>
        <v>205.50849410000001</v>
      </c>
      <c r="AL72" s="89">
        <v>0</v>
      </c>
      <c r="AM72" s="79">
        <f>IF($G$4="SI",SUM(AK72+AL72),AK72)*Valores!$C$54</f>
        <v>0</v>
      </c>
      <c r="AN72" s="12">
        <f t="shared" si="16"/>
        <v>421.54849409999997</v>
      </c>
      <c r="AO72" s="151">
        <f>AI72*-Valores!$C$56</f>
        <v>-3333.324003165455</v>
      </c>
      <c r="AP72" s="151">
        <f>AI72*-Valores!$C$57</f>
        <v>-128.2047693525175</v>
      </c>
      <c r="AQ72" s="78">
        <f>AI72*-Valores!$C$58</f>
        <v>-1153.8429241726574</v>
      </c>
      <c r="AR72" s="78">
        <f>AI72*-Valores!$C$59</f>
        <v>-692.30575450359447</v>
      </c>
      <c r="AS72" s="78">
        <f>AI72*-Valores!$C$60</f>
        <v>-76.922861611510498</v>
      </c>
      <c r="AT72" s="15">
        <f t="shared" si="17"/>
        <v>21447.130667912868</v>
      </c>
      <c r="AU72" s="15">
        <f t="shared" si="18"/>
        <v>21831.744975970421</v>
      </c>
      <c r="AV72" s="78">
        <f>AI72*Valores!$C$61</f>
        <v>4102.5526192805601</v>
      </c>
      <c r="AW72" s="78">
        <f>AI72*Valores!$C$62</f>
        <v>1153.8429241726574</v>
      </c>
      <c r="AX72" s="78">
        <f>AI72*Valores!$C$64</f>
        <v>256.409538705035</v>
      </c>
      <c r="AY72" s="78">
        <f>AI72*Valores!$C$65</f>
        <v>897.43338546762254</v>
      </c>
      <c r="AZ72" s="78">
        <f>AI72*Valores!$C$66</f>
        <v>153.845723223021</v>
      </c>
      <c r="BA72" s="78">
        <f t="shared" si="8"/>
        <v>1384.6115090071889</v>
      </c>
      <c r="BB72" s="20"/>
      <c r="BC72" s="20">
        <v>30</v>
      </c>
      <c r="BD72" s="9" t="s">
        <v>467</v>
      </c>
    </row>
    <row r="73" spans="1:56" s="9" customFormat="1" ht="11.25" customHeight="1" x14ac:dyDescent="0.15">
      <c r="A73" s="20">
        <v>72</v>
      </c>
      <c r="B73" s="20"/>
      <c r="C73" s="9" t="s">
        <v>128</v>
      </c>
      <c r="E73" s="10" t="s">
        <v>129</v>
      </c>
      <c r="F73" s="123">
        <v>90</v>
      </c>
      <c r="G73" s="7">
        <f>INT((F73*Valores!$C$2*100*1.006901)+0.5)/100</f>
        <v>473.66</v>
      </c>
      <c r="H73" s="113">
        <v>2720</v>
      </c>
      <c r="I73" s="77">
        <f>INT((H73*Valores!$C$2*100*1.006901)+0.5)/100</f>
        <v>14315.01</v>
      </c>
      <c r="J73" s="145">
        <v>0</v>
      </c>
      <c r="K73" s="77">
        <f>INT((J73*Valores!$C$2*100*1.006901)+0.5)/100</f>
        <v>0</v>
      </c>
      <c r="L73" s="120">
        <v>0</v>
      </c>
      <c r="M73" s="77">
        <f>INT((L73*Valores!$C$2*100*1.006901)+0.5)/100</f>
        <v>0</v>
      </c>
      <c r="N73" s="77">
        <f t="shared" si="13"/>
        <v>2730.3474172874999</v>
      </c>
      <c r="O73" s="77">
        <f t="shared" si="14"/>
        <v>0</v>
      </c>
      <c r="P73" s="78">
        <f>Valores!$C$16</f>
        <v>3262.4095850500003</v>
      </c>
      <c r="Q73" s="78">
        <f>Valores!$D$4</f>
        <v>2354.08</v>
      </c>
      <c r="R73" s="77">
        <v>0</v>
      </c>
      <c r="S73" s="79">
        <f>Valores!$C$43</f>
        <v>1146.5480996900001</v>
      </c>
      <c r="T73" s="77">
        <f>Valores!$C$23</f>
        <v>2267.09801556</v>
      </c>
      <c r="U73" s="77">
        <f t="shared" si="12"/>
        <v>2267.09801556</v>
      </c>
      <c r="V73" s="77">
        <v>0</v>
      </c>
      <c r="W73" s="77">
        <v>0</v>
      </c>
      <c r="X73" s="116">
        <v>0</v>
      </c>
      <c r="Y73" s="77">
        <f>X73*Valores!$C$2*1.006901</f>
        <v>0</v>
      </c>
      <c r="Z73" s="77">
        <v>0</v>
      </c>
      <c r="AA73" s="89">
        <f>Valores!$C$29</f>
        <v>132.58872368000002</v>
      </c>
      <c r="AB73" s="77">
        <f t="shared" si="15"/>
        <v>0</v>
      </c>
      <c r="AC73" s="77">
        <f>Valores!$C$30</f>
        <v>132.59</v>
      </c>
      <c r="AD73" s="116">
        <v>0</v>
      </c>
      <c r="AE73" s="77">
        <f>AD73*Valores!$C$2*1.006901</f>
        <v>0</v>
      </c>
      <c r="AF73" s="77">
        <f>Valores!$C$51</f>
        <v>269.71857087000001</v>
      </c>
      <c r="AG73" s="77">
        <f>Valores!$C$52</f>
        <v>77.068202540000016</v>
      </c>
      <c r="AH73" s="77">
        <f>SUM(G73,I73,K73,M73,N73,O73,P73,Q73,R73,S73,U73,V73,W73,Y73,Z73,AA73,AB73,AC73,AE73,AF73,AG73)*Valores!$C$54</f>
        <v>0</v>
      </c>
      <c r="AI73" s="15">
        <f t="shared" si="19"/>
        <v>27161.118614677504</v>
      </c>
      <c r="AJ73" s="78">
        <f>Valores!$C$35</f>
        <v>216.04</v>
      </c>
      <c r="AK73" s="79">
        <f>Valores!$C$9</f>
        <v>308.25267214000002</v>
      </c>
      <c r="AL73" s="89">
        <v>0</v>
      </c>
      <c r="AM73" s="79">
        <f>IF($G$4="SI",SUM(AK73+AL73),AK73)*Valores!$C$54</f>
        <v>0</v>
      </c>
      <c r="AN73" s="12">
        <f t="shared" si="16"/>
        <v>524.29267214000004</v>
      </c>
      <c r="AO73" s="151">
        <f>AI73*-Valores!$C$56</f>
        <v>-3530.9454199080756</v>
      </c>
      <c r="AP73" s="151">
        <f>AI73*-Valores!$C$57</f>
        <v>-135.80559307338751</v>
      </c>
      <c r="AQ73" s="78">
        <f>AI73*-Valores!$C$58</f>
        <v>-1222.2503376604875</v>
      </c>
      <c r="AR73" s="78">
        <f>AI73*-Valores!$C$59</f>
        <v>-733.35020259629266</v>
      </c>
      <c r="AS73" s="78">
        <f>AI73*-Valores!$C$60</f>
        <v>-81.483355844032516</v>
      </c>
      <c r="AT73" s="15">
        <f t="shared" si="17"/>
        <v>22796.409936175554</v>
      </c>
      <c r="AU73" s="15">
        <f t="shared" si="18"/>
        <v>23203.826715395717</v>
      </c>
      <c r="AV73" s="78">
        <f>AI73*Valores!$C$61</f>
        <v>4345.7789783484004</v>
      </c>
      <c r="AW73" s="78">
        <f>AI73*Valores!$C$62</f>
        <v>1222.2503376604875</v>
      </c>
      <c r="AX73" s="78">
        <f>AI73*Valores!$C$64</f>
        <v>271.61118614677503</v>
      </c>
      <c r="AY73" s="78">
        <f>AI73*Valores!$C$65</f>
        <v>950.6391515137127</v>
      </c>
      <c r="AZ73" s="78">
        <f>AI73*Valores!$C$66</f>
        <v>162.96671168806503</v>
      </c>
      <c r="BA73" s="78">
        <f t="shared" ref="BA73:BA136" si="20">AI73*5.4/100</f>
        <v>1466.7004051925853</v>
      </c>
      <c r="BB73" s="20"/>
      <c r="BC73" s="20"/>
      <c r="BD73" s="9" t="s">
        <v>466</v>
      </c>
    </row>
    <row r="74" spans="1:56" s="9" customFormat="1" ht="11.25" customHeight="1" x14ac:dyDescent="0.15">
      <c r="A74" s="20">
        <v>73</v>
      </c>
      <c r="B74" s="20"/>
      <c r="C74" s="9" t="s">
        <v>130</v>
      </c>
      <c r="E74" s="10" t="s">
        <v>131</v>
      </c>
      <c r="F74" s="123">
        <v>78</v>
      </c>
      <c r="G74" s="7">
        <f>INT((F74*Valores!$C$2*100*1.006901)+0.5)/100</f>
        <v>410.5</v>
      </c>
      <c r="H74" s="113">
        <v>1284</v>
      </c>
      <c r="I74" s="77">
        <f>INT((H74*Valores!$C$2*100*1.006901)+0.5)/100</f>
        <v>6757.53</v>
      </c>
      <c r="J74" s="145">
        <v>0</v>
      </c>
      <c r="K74" s="77">
        <f>INT((J74*Valores!$C$2*100*1.006901)+0.5)/100</f>
        <v>0</v>
      </c>
      <c r="L74" s="120">
        <v>0</v>
      </c>
      <c r="M74" s="77">
        <f>INT((L74*Valores!$C$2*100*1.006901)+0.5)/100</f>
        <v>0</v>
      </c>
      <c r="N74" s="77">
        <f t="shared" si="13"/>
        <v>1525.2998194605</v>
      </c>
      <c r="O74" s="77">
        <f t="shared" si="14"/>
        <v>0</v>
      </c>
      <c r="P74" s="78">
        <f>Valores!$C$15</f>
        <v>3241.8587356399998</v>
      </c>
      <c r="Q74" s="78">
        <f>Valores!$D$4</f>
        <v>2354.08</v>
      </c>
      <c r="R74" s="77">
        <f>Valores!$C$26</f>
        <v>2369.1575009200001</v>
      </c>
      <c r="S74" s="79">
        <f>Valores!$C$42</f>
        <v>764.36875613000007</v>
      </c>
      <c r="T74" s="61">
        <f>Valores!$C$24</f>
        <v>2236.2667069399999</v>
      </c>
      <c r="U74" s="77">
        <f t="shared" si="12"/>
        <v>2236.2667069399999</v>
      </c>
      <c r="V74" s="77">
        <v>0</v>
      </c>
      <c r="W74" s="77">
        <v>0</v>
      </c>
      <c r="X74" s="116">
        <v>0</v>
      </c>
      <c r="Y74" s="77">
        <f>X74*Valores!$C$2*1.006901</f>
        <v>0</v>
      </c>
      <c r="Z74" s="77">
        <v>0</v>
      </c>
      <c r="AA74" s="89">
        <f>Valores!$C$29</f>
        <v>132.58872368000002</v>
      </c>
      <c r="AB74" s="77">
        <f t="shared" si="15"/>
        <v>0</v>
      </c>
      <c r="AC74" s="77">
        <f>Valores!$C$30</f>
        <v>132.59</v>
      </c>
      <c r="AD74" s="116">
        <v>0</v>
      </c>
      <c r="AE74" s="77">
        <f>AD74*Valores!$C$2*1.006901</f>
        <v>0</v>
      </c>
      <c r="AF74" s="77">
        <f>Valores!$C$51</f>
        <v>269.71857087000001</v>
      </c>
      <c r="AG74" s="77">
        <f>Valores!$C$52</f>
        <v>77.068202540000016</v>
      </c>
      <c r="AH74" s="77">
        <f>SUM(G74,I74,K74,M74,N74,O74,P74,Q74,R74,S74,U74,V74,W74,Y74,Z74,AA74,AB74,AC74,AE74,AF74,AG74)*Valores!$C$54</f>
        <v>0</v>
      </c>
      <c r="AI74" s="15">
        <f t="shared" si="19"/>
        <v>20271.027016180502</v>
      </c>
      <c r="AJ74" s="78">
        <f>Valores!$C$35</f>
        <v>216.04</v>
      </c>
      <c r="AK74" s="79">
        <f>Valores!$C$8</f>
        <v>205.50849410000001</v>
      </c>
      <c r="AL74" s="89">
        <v>113.02463725000001</v>
      </c>
      <c r="AM74" s="79">
        <f>IF($G$4="SI",SUM(AK74+AL74),AK74)*Valores!$C$54</f>
        <v>0</v>
      </c>
      <c r="AN74" s="12">
        <f t="shared" si="16"/>
        <v>534.57313135000004</v>
      </c>
      <c r="AO74" s="151">
        <f>AI74*-Valores!$C$56</f>
        <v>-2635.2335121034653</v>
      </c>
      <c r="AP74" s="151">
        <f>AI74*-Valores!$C$57</f>
        <v>-101.35513508090251</v>
      </c>
      <c r="AQ74" s="78">
        <f>AI74*-Valores!$C$58</f>
        <v>-912.19621572812252</v>
      </c>
      <c r="AR74" s="78">
        <f>AI74*-Valores!$C$59</f>
        <v>-547.31772943687361</v>
      </c>
      <c r="AS74" s="78">
        <f>AI74*-Valores!$C$60</f>
        <v>-60.813081048541505</v>
      </c>
      <c r="AT74" s="15">
        <f t="shared" si="17"/>
        <v>17156.815284618009</v>
      </c>
      <c r="AU74" s="15">
        <f t="shared" si="18"/>
        <v>17460.880689860718</v>
      </c>
      <c r="AV74" s="78">
        <f>AI74*Valores!$C$61</f>
        <v>3243.3643225888804</v>
      </c>
      <c r="AW74" s="78">
        <f>AI74*Valores!$C$62</f>
        <v>912.19621572812252</v>
      </c>
      <c r="AX74" s="78">
        <f>AI74*Valores!$C$64</f>
        <v>202.71027016180503</v>
      </c>
      <c r="AY74" s="78">
        <f>AI74*Valores!$C$65</f>
        <v>709.48594556631758</v>
      </c>
      <c r="AZ74" s="78">
        <f>AI74*Valores!$C$66</f>
        <v>121.62616209708301</v>
      </c>
      <c r="BA74" s="78">
        <f t="shared" si="20"/>
        <v>1094.6354588737472</v>
      </c>
      <c r="BB74" s="20"/>
      <c r="BC74" s="20">
        <v>30</v>
      </c>
      <c r="BD74" s="9" t="s">
        <v>467</v>
      </c>
    </row>
    <row r="75" spans="1:56" s="9" customFormat="1" ht="11.25" customHeight="1" x14ac:dyDescent="0.15">
      <c r="A75" s="20">
        <v>74</v>
      </c>
      <c r="B75" s="20"/>
      <c r="C75" s="9" t="s">
        <v>132</v>
      </c>
      <c r="E75" s="10" t="s">
        <v>133</v>
      </c>
      <c r="F75" s="123">
        <v>78</v>
      </c>
      <c r="G75" s="7">
        <f>INT((F75*Valores!$C$2*100*1.006901)+0.5)/100</f>
        <v>410.5</v>
      </c>
      <c r="H75" s="113">
        <v>1284</v>
      </c>
      <c r="I75" s="77">
        <f>INT((H75*Valores!$C$2*100*1.006901)+0.5)/100</f>
        <v>6757.53</v>
      </c>
      <c r="J75" s="145">
        <v>0</v>
      </c>
      <c r="K75" s="77">
        <f>INT((J75*Valores!$C$2*100*1.006901)+0.5)/100</f>
        <v>0</v>
      </c>
      <c r="L75" s="120">
        <v>0</v>
      </c>
      <c r="M75" s="77">
        <f>INT((L75*Valores!$C$2*100*1.006901)+0.5)/100</f>
        <v>0</v>
      </c>
      <c r="N75" s="77">
        <f t="shared" si="13"/>
        <v>1525.2998194605</v>
      </c>
      <c r="O75" s="77">
        <f t="shared" si="14"/>
        <v>0</v>
      </c>
      <c r="P75" s="78">
        <f>Valores!$C$15</f>
        <v>3241.8587356399998</v>
      </c>
      <c r="Q75" s="78">
        <f>Valores!$D$4</f>
        <v>2354.08</v>
      </c>
      <c r="R75" s="61">
        <f>Valores!$C$26</f>
        <v>2369.1575009200001</v>
      </c>
      <c r="S75" s="87">
        <f>Valores!$C$42</f>
        <v>764.36875613000007</v>
      </c>
      <c r="T75" s="61">
        <f>Valores!$C$24</f>
        <v>2236.2667069399999</v>
      </c>
      <c r="U75" s="77">
        <f t="shared" si="12"/>
        <v>2236.2667069399999</v>
      </c>
      <c r="V75" s="77">
        <v>0</v>
      </c>
      <c r="W75" s="77">
        <v>0</v>
      </c>
      <c r="X75" s="116">
        <v>0</v>
      </c>
      <c r="Y75" s="77">
        <f>X75*Valores!$C$2*1.006901</f>
        <v>0</v>
      </c>
      <c r="Z75" s="77">
        <v>0</v>
      </c>
      <c r="AA75" s="89">
        <f>Valores!$C$29</f>
        <v>132.58872368000002</v>
      </c>
      <c r="AB75" s="77">
        <f t="shared" si="15"/>
        <v>0</v>
      </c>
      <c r="AC75" s="77">
        <f>Valores!$C$30</f>
        <v>132.59</v>
      </c>
      <c r="AD75" s="116">
        <v>0</v>
      </c>
      <c r="AE75" s="77">
        <f>AD75*Valores!$C$2*1.006901</f>
        <v>0</v>
      </c>
      <c r="AF75" s="77">
        <f>Valores!$C$51</f>
        <v>269.71857087000001</v>
      </c>
      <c r="AG75" s="77">
        <f>Valores!$C$52</f>
        <v>77.068202540000016</v>
      </c>
      <c r="AH75" s="77">
        <f>SUM(G75,I75,K75,M75,N75,O75,P75,Q75,R75,S75,U75,V75,W75,Y75,Z75,AA75,AB75,AC75,AE75,AF75,AG75)*Valores!$C$54</f>
        <v>0</v>
      </c>
      <c r="AI75" s="15">
        <f t="shared" si="19"/>
        <v>20271.027016180502</v>
      </c>
      <c r="AJ75" s="78">
        <f>Valores!$C$35</f>
        <v>216.04</v>
      </c>
      <c r="AK75" s="79">
        <f>Valores!$C$8</f>
        <v>205.50849410000001</v>
      </c>
      <c r="AL75" s="89">
        <v>0</v>
      </c>
      <c r="AM75" s="79">
        <f>IF($G$4="SI",SUM(AK75+AL75),AK75)*Valores!$C$54</f>
        <v>0</v>
      </c>
      <c r="AN75" s="12">
        <f t="shared" si="16"/>
        <v>421.54849409999997</v>
      </c>
      <c r="AO75" s="151">
        <f>AI75*-Valores!$C$56</f>
        <v>-2635.2335121034653</v>
      </c>
      <c r="AP75" s="151">
        <f>AI75*-Valores!$C$57</f>
        <v>-101.35513508090251</v>
      </c>
      <c r="AQ75" s="78">
        <f>AI75*-Valores!$C$58</f>
        <v>-912.19621572812252</v>
      </c>
      <c r="AR75" s="78">
        <f>AI75*-Valores!$C$59</f>
        <v>-547.31772943687361</v>
      </c>
      <c r="AS75" s="78">
        <f>AI75*-Valores!$C$60</f>
        <v>-60.813081048541505</v>
      </c>
      <c r="AT75" s="15">
        <f t="shared" si="17"/>
        <v>17043.790647368009</v>
      </c>
      <c r="AU75" s="15">
        <f t="shared" si="18"/>
        <v>17347.856052610718</v>
      </c>
      <c r="AV75" s="78">
        <f>AI75*Valores!$C$61</f>
        <v>3243.3643225888804</v>
      </c>
      <c r="AW75" s="78">
        <f>AI75*Valores!$C$62</f>
        <v>912.19621572812252</v>
      </c>
      <c r="AX75" s="78">
        <f>AI75*Valores!$C$64</f>
        <v>202.71027016180503</v>
      </c>
      <c r="AY75" s="78">
        <f>AI75*Valores!$C$65</f>
        <v>709.48594556631758</v>
      </c>
      <c r="AZ75" s="78">
        <f>AI75*Valores!$C$66</f>
        <v>121.62616209708301</v>
      </c>
      <c r="BA75" s="78">
        <f t="shared" si="20"/>
        <v>1094.6354588737472</v>
      </c>
      <c r="BB75" s="20"/>
      <c r="BC75" s="20"/>
      <c r="BD75" s="9" t="s">
        <v>466</v>
      </c>
    </row>
    <row r="76" spans="1:56" s="9" customFormat="1" ht="11.25" customHeight="1" x14ac:dyDescent="0.15">
      <c r="A76" s="55">
        <v>75</v>
      </c>
      <c r="B76" s="55" t="s">
        <v>462</v>
      </c>
      <c r="C76" s="52" t="s">
        <v>134</v>
      </c>
      <c r="D76" s="52"/>
      <c r="E76" s="53" t="s">
        <v>135</v>
      </c>
      <c r="F76" s="124">
        <v>78</v>
      </c>
      <c r="G76" s="7">
        <f>INT((F76*Valores!$C$2*100*1.006901)+0.5)/100</f>
        <v>410.5</v>
      </c>
      <c r="H76" s="114">
        <v>1284</v>
      </c>
      <c r="I76" s="77">
        <f>INT((H76*Valores!$C$2*100*1.006901)+0.5)/100</f>
        <v>6757.53</v>
      </c>
      <c r="J76" s="146">
        <v>0</v>
      </c>
      <c r="K76" s="77">
        <f>INT((J76*Valores!$C$2*100*1.006901)+0.5)/100</f>
        <v>0</v>
      </c>
      <c r="L76" s="121">
        <v>0</v>
      </c>
      <c r="M76" s="77">
        <f>INT((L76*Valores!$C$2*100*1.006901)+0.5)/100</f>
        <v>0</v>
      </c>
      <c r="N76" s="80">
        <f t="shared" si="13"/>
        <v>1189.8598134194999</v>
      </c>
      <c r="O76" s="80">
        <f t="shared" si="14"/>
        <v>0</v>
      </c>
      <c r="P76" s="81">
        <f>Valores!$C$20</f>
        <v>3087.7323995700003</v>
      </c>
      <c r="Q76" s="81">
        <f>Valores!$D$4</f>
        <v>2354.08</v>
      </c>
      <c r="R76" s="85">
        <f>Valores!$C$26</f>
        <v>2369.1575009200001</v>
      </c>
      <c r="S76" s="88">
        <f>Valores!$C$42</f>
        <v>764.36875613000007</v>
      </c>
      <c r="T76" s="85">
        <v>0</v>
      </c>
      <c r="U76" s="80">
        <f t="shared" si="12"/>
        <v>0</v>
      </c>
      <c r="V76" s="80">
        <v>0</v>
      </c>
      <c r="W76" s="80">
        <v>0</v>
      </c>
      <c r="X76" s="115">
        <v>0</v>
      </c>
      <c r="Y76" s="77">
        <f>X76*Valores!$C$2*1.006901</f>
        <v>0</v>
      </c>
      <c r="Z76" s="80">
        <v>0</v>
      </c>
      <c r="AA76" s="90">
        <f>Valores!$C$29</f>
        <v>132.58872368000002</v>
      </c>
      <c r="AB76" s="80">
        <f t="shared" si="15"/>
        <v>0</v>
      </c>
      <c r="AC76" s="80">
        <f>Valores!$C$30</f>
        <v>132.59</v>
      </c>
      <c r="AD76" s="115">
        <v>0</v>
      </c>
      <c r="AE76" s="77">
        <f>AD76*Valores!$C$2*1.006901</f>
        <v>0</v>
      </c>
      <c r="AF76" s="80">
        <f>Valores!$C$51</f>
        <v>269.71857087000001</v>
      </c>
      <c r="AG76" s="80">
        <f>Valores!$C$52</f>
        <v>77.068202540000016</v>
      </c>
      <c r="AH76" s="80">
        <f>SUM(G76,I76,K76,M76,N76,O76,P76,Q76,R76,S76,U76,V76,W76,Y76,Z76,AA76,AB76,AC76,AE76,AF76,AG76)*Valores!$C$54</f>
        <v>0</v>
      </c>
      <c r="AI76" s="54">
        <f t="shared" si="19"/>
        <v>17545.1939671295</v>
      </c>
      <c r="AJ76" s="81">
        <f>Valores!$C$35</f>
        <v>216.04</v>
      </c>
      <c r="AK76" s="82">
        <f>Valores!$C$8</f>
        <v>205.50849410000001</v>
      </c>
      <c r="AL76" s="90">
        <v>0</v>
      </c>
      <c r="AM76" s="82">
        <f>IF($G$4="SI",SUM(AK76+AL76),AK76)*Valores!$C$54</f>
        <v>0</v>
      </c>
      <c r="AN76" s="184">
        <f t="shared" si="16"/>
        <v>421.54849409999997</v>
      </c>
      <c r="AO76" s="152">
        <f>AI76*-Valores!$C$56</f>
        <v>-2280.875215726835</v>
      </c>
      <c r="AP76" s="152">
        <f>AI76*-Valores!$C$57</f>
        <v>-87.725969835647504</v>
      </c>
      <c r="AQ76" s="81">
        <f>AI76*-Valores!$C$58</f>
        <v>-789.53372852082748</v>
      </c>
      <c r="AR76" s="81">
        <f>AI76*-Valores!$C$59</f>
        <v>-473.72023711249659</v>
      </c>
      <c r="AS76" s="81">
        <f>AI76*-Valores!$C$60</f>
        <v>-52.635581901388505</v>
      </c>
      <c r="AT76" s="54">
        <f t="shared" si="17"/>
        <v>14808.607547146192</v>
      </c>
      <c r="AU76" s="54">
        <f t="shared" si="18"/>
        <v>15071.785456653135</v>
      </c>
      <c r="AV76" s="81">
        <f>AI76*Valores!$C$61</f>
        <v>2807.2310347407201</v>
      </c>
      <c r="AW76" s="81">
        <f>AI76*Valores!$C$62</f>
        <v>789.53372852082748</v>
      </c>
      <c r="AX76" s="81">
        <f>AI76*Valores!$C$64</f>
        <v>175.45193967129501</v>
      </c>
      <c r="AY76" s="81">
        <f>AI76*Valores!$C$65</f>
        <v>614.08178884953259</v>
      </c>
      <c r="AZ76" s="81">
        <f>AI76*Valores!$C$66</f>
        <v>105.27116380277701</v>
      </c>
      <c r="BA76" s="81">
        <f t="shared" si="20"/>
        <v>947.44047422499307</v>
      </c>
      <c r="BB76" s="55"/>
      <c r="BC76" s="55"/>
      <c r="BD76" s="52" t="s">
        <v>466</v>
      </c>
    </row>
    <row r="77" spans="1:56" s="9" customFormat="1" ht="11.25" customHeight="1" x14ac:dyDescent="0.15">
      <c r="A77" s="20">
        <v>76</v>
      </c>
      <c r="B77" s="20"/>
      <c r="C77" s="9" t="s">
        <v>136</v>
      </c>
      <c r="E77" s="10" t="s">
        <v>137</v>
      </c>
      <c r="F77" s="123">
        <v>82</v>
      </c>
      <c r="G77" s="7">
        <f>INT((F77*Valores!$C$2*100*1.006901)+0.5)/100</f>
        <v>431.56</v>
      </c>
      <c r="H77" s="113">
        <v>2038</v>
      </c>
      <c r="I77" s="77">
        <f>INT((H77*Valores!$C$2*100*1.006901)+0.5)/100</f>
        <v>10725.73</v>
      </c>
      <c r="J77" s="145">
        <v>0</v>
      </c>
      <c r="K77" s="77">
        <f>INT((J77*Valores!$C$2*100*1.006901)+0.5)/100</f>
        <v>0</v>
      </c>
      <c r="L77" s="120">
        <v>0</v>
      </c>
      <c r="M77" s="77">
        <f>INT((L77*Valores!$C$2*100*1.006901)+0.5)/100</f>
        <v>0</v>
      </c>
      <c r="N77" s="77">
        <f t="shared" si="13"/>
        <v>2128.3135157534994</v>
      </c>
      <c r="O77" s="77">
        <f t="shared" si="14"/>
        <v>0</v>
      </c>
      <c r="P77" s="83">
        <f>Valores!$C$16</f>
        <v>3262.4095850500003</v>
      </c>
      <c r="Q77" s="83">
        <f>Valores!$D$4</f>
        <v>2354.08</v>
      </c>
      <c r="R77" s="87">
        <f>Valores!$C$26</f>
        <v>2369.1575009200001</v>
      </c>
      <c r="S77" s="87">
        <f>Valores!$C$42</f>
        <v>764.36875613000007</v>
      </c>
      <c r="T77" s="79">
        <f>Valores!$C$23</f>
        <v>2267.09801556</v>
      </c>
      <c r="U77" s="77">
        <f t="shared" si="12"/>
        <v>2267.09801556</v>
      </c>
      <c r="V77" s="77">
        <v>0</v>
      </c>
      <c r="W77" s="77">
        <v>0</v>
      </c>
      <c r="X77" s="116">
        <v>0</v>
      </c>
      <c r="Y77" s="77">
        <f>X77*Valores!$C$2*1.006901</f>
        <v>0</v>
      </c>
      <c r="Z77" s="77">
        <v>0</v>
      </c>
      <c r="AA77" s="89">
        <f>Valores!$C$29</f>
        <v>132.58872368000002</v>
      </c>
      <c r="AB77" s="77">
        <f t="shared" si="15"/>
        <v>0</v>
      </c>
      <c r="AC77" s="77">
        <f>Valores!$C$30</f>
        <v>132.59</v>
      </c>
      <c r="AD77" s="116">
        <v>0</v>
      </c>
      <c r="AE77" s="77">
        <f>AD77*Valores!$C$2*1.006901</f>
        <v>0</v>
      </c>
      <c r="AF77" s="77">
        <f>Valores!$C$51</f>
        <v>269.71857087000001</v>
      </c>
      <c r="AG77" s="77">
        <f>Valores!$C$52</f>
        <v>77.068202540000016</v>
      </c>
      <c r="AH77" s="77">
        <f>SUM(G77,I77,K77,M77,N77,O77,P77,Q77,R77,S77,U77,V77,W77,Y77,Z77,AA77,AB77,AC77,AE77,AF77,AG77)*Valores!$C$54</f>
        <v>0</v>
      </c>
      <c r="AI77" s="15">
        <f t="shared" si="19"/>
        <v>24914.682870503497</v>
      </c>
      <c r="AJ77" s="78">
        <f>Valores!$C$35</f>
        <v>216.04</v>
      </c>
      <c r="AK77" s="79">
        <f>Valores!$C$8</f>
        <v>205.50849410000001</v>
      </c>
      <c r="AL77" s="89">
        <v>113.02463725000001</v>
      </c>
      <c r="AM77" s="79">
        <f>IF($G$4="SI",SUM(AK77+AL77),AK77)*Valores!$C$54</f>
        <v>0</v>
      </c>
      <c r="AN77" s="12">
        <f t="shared" si="16"/>
        <v>534.57313135000004</v>
      </c>
      <c r="AO77" s="151">
        <f>AI77*-Valores!$C$56</f>
        <v>-3238.9087731654545</v>
      </c>
      <c r="AP77" s="151">
        <f>AI77*-Valores!$C$57</f>
        <v>-124.57341435251749</v>
      </c>
      <c r="AQ77" s="78">
        <f>AI77*-Valores!$C$58</f>
        <v>-1121.1607291726573</v>
      </c>
      <c r="AR77" s="78">
        <f>AI77*-Valores!$C$59</f>
        <v>-672.69643750359444</v>
      </c>
      <c r="AS77" s="78">
        <f>AI77*-Valores!$C$60</f>
        <v>-74.744048611510493</v>
      </c>
      <c r="AT77" s="15">
        <f t="shared" si="17"/>
        <v>20964.613085162866</v>
      </c>
      <c r="AU77" s="15">
        <f t="shared" si="18"/>
        <v>21338.333328220418</v>
      </c>
      <c r="AV77" s="78">
        <f>AI77*Valores!$C$61</f>
        <v>3986.3492592805596</v>
      </c>
      <c r="AW77" s="78">
        <f>AI77*Valores!$C$62</f>
        <v>1121.1607291726573</v>
      </c>
      <c r="AX77" s="78">
        <f>AI77*Valores!$C$64</f>
        <v>249.14682870503498</v>
      </c>
      <c r="AY77" s="78">
        <f>AI77*Valores!$C$65</f>
        <v>872.01390046762242</v>
      </c>
      <c r="AZ77" s="78">
        <f>AI77*Valores!$C$66</f>
        <v>149.48809722302099</v>
      </c>
      <c r="BA77" s="78">
        <f t="shared" si="20"/>
        <v>1345.3928750071891</v>
      </c>
      <c r="BB77" s="20"/>
      <c r="BC77" s="20">
        <v>25</v>
      </c>
      <c r="BD77" s="9" t="s">
        <v>467</v>
      </c>
    </row>
    <row r="78" spans="1:56" s="9" customFormat="1" ht="11.25" customHeight="1" x14ac:dyDescent="0.15">
      <c r="A78" s="20">
        <v>77</v>
      </c>
      <c r="B78" s="20"/>
      <c r="C78" s="9" t="s">
        <v>138</v>
      </c>
      <c r="E78" s="10" t="s">
        <v>139</v>
      </c>
      <c r="F78" s="123">
        <v>78</v>
      </c>
      <c r="G78" s="7">
        <f>INT((F78*Valores!$C$2*100*1.006901)+0.5)/100</f>
        <v>410.5</v>
      </c>
      <c r="H78" s="113">
        <v>2072</v>
      </c>
      <c r="I78" s="77">
        <f>INT((H78*Valores!$C$2*100*1.006901)+0.5)/100</f>
        <v>10904.67</v>
      </c>
      <c r="J78" s="145">
        <v>0</v>
      </c>
      <c r="K78" s="77">
        <f>INT((J78*Valores!$C$2*100*1.006901)+0.5)/100</f>
        <v>0</v>
      </c>
      <c r="L78" s="120">
        <v>0</v>
      </c>
      <c r="M78" s="77">
        <f>INT((L78*Valores!$C$2*100*1.006901)+0.5)/100</f>
        <v>0</v>
      </c>
      <c r="N78" s="77">
        <f t="shared" si="13"/>
        <v>2151.9955157534996</v>
      </c>
      <c r="O78" s="77">
        <f t="shared" si="14"/>
        <v>0</v>
      </c>
      <c r="P78" s="83">
        <f>Valores!$C$16</f>
        <v>3262.4095850500003</v>
      </c>
      <c r="Q78" s="83">
        <f>Valores!$D$4</f>
        <v>2354.08</v>
      </c>
      <c r="R78" s="87">
        <f>Valores!$C$26</f>
        <v>2369.1575009200001</v>
      </c>
      <c r="S78" s="87">
        <f>Valores!$C$42</f>
        <v>764.36875613000007</v>
      </c>
      <c r="T78" s="79">
        <f>Valores!$C$23</f>
        <v>2267.09801556</v>
      </c>
      <c r="U78" s="77">
        <f t="shared" si="12"/>
        <v>2267.09801556</v>
      </c>
      <c r="V78" s="77">
        <v>0</v>
      </c>
      <c r="W78" s="77">
        <v>0</v>
      </c>
      <c r="X78" s="116">
        <v>0</v>
      </c>
      <c r="Y78" s="77">
        <f>X78*Valores!$C$2*1.006901</f>
        <v>0</v>
      </c>
      <c r="Z78" s="77">
        <v>0</v>
      </c>
      <c r="AA78" s="89">
        <f>Valores!$C$29</f>
        <v>132.58872368000002</v>
      </c>
      <c r="AB78" s="77">
        <f t="shared" si="15"/>
        <v>0</v>
      </c>
      <c r="AC78" s="77">
        <f>Valores!$C$30</f>
        <v>132.59</v>
      </c>
      <c r="AD78" s="116">
        <v>0</v>
      </c>
      <c r="AE78" s="77">
        <f>AD78*Valores!$C$2*1.006901</f>
        <v>0</v>
      </c>
      <c r="AF78" s="77">
        <f>Valores!$C$51</f>
        <v>269.71857087000001</v>
      </c>
      <c r="AG78" s="77">
        <f>Valores!$C$52</f>
        <v>77.068202540000016</v>
      </c>
      <c r="AH78" s="77">
        <f>SUM(G78,I78,K78,M78,N78,O78,P78,Q78,R78,S78,U78,V78,W78,Y78,Z78,AA78,AB78,AC78,AE78,AF78,AG78)*Valores!$C$54</f>
        <v>0</v>
      </c>
      <c r="AI78" s="15">
        <f t="shared" si="19"/>
        <v>25096.244870503502</v>
      </c>
      <c r="AJ78" s="78">
        <f>Valores!$C$35</f>
        <v>216.04</v>
      </c>
      <c r="AK78" s="79">
        <f>Valores!$C$8</f>
        <v>205.50849410000001</v>
      </c>
      <c r="AL78" s="89">
        <v>113.02463725000001</v>
      </c>
      <c r="AM78" s="79">
        <f>IF($G$4="SI",SUM(AK78+AL78),AK78)*Valores!$C$54</f>
        <v>0</v>
      </c>
      <c r="AN78" s="12">
        <f t="shared" si="16"/>
        <v>534.57313135000004</v>
      </c>
      <c r="AO78" s="151">
        <f>AI78*-Valores!$C$56</f>
        <v>-3262.5118331654553</v>
      </c>
      <c r="AP78" s="151">
        <f>AI78*-Valores!$C$57</f>
        <v>-125.48122435251751</v>
      </c>
      <c r="AQ78" s="78">
        <f>AI78*-Valores!$C$58</f>
        <v>-1129.3310191726575</v>
      </c>
      <c r="AR78" s="78">
        <f>AI78*-Valores!$C$59</f>
        <v>-677.59861150359461</v>
      </c>
      <c r="AS78" s="78">
        <f>AI78*-Valores!$C$60</f>
        <v>-75.288734611510506</v>
      </c>
      <c r="AT78" s="15">
        <f t="shared" si="17"/>
        <v>21113.493925162875</v>
      </c>
      <c r="AU78" s="15">
        <f t="shared" si="18"/>
        <v>21489.937598220426</v>
      </c>
      <c r="AV78" s="78">
        <f>AI78*Valores!$C$61</f>
        <v>4015.3991792805605</v>
      </c>
      <c r="AW78" s="78">
        <f>AI78*Valores!$C$62</f>
        <v>1129.3310191726575</v>
      </c>
      <c r="AX78" s="78">
        <f>AI78*Valores!$C$64</f>
        <v>250.96244870503503</v>
      </c>
      <c r="AY78" s="78">
        <f>AI78*Valores!$C$65</f>
        <v>878.3685704676227</v>
      </c>
      <c r="AZ78" s="78">
        <f>AI78*Valores!$C$66</f>
        <v>150.57746922302101</v>
      </c>
      <c r="BA78" s="78">
        <f t="shared" si="20"/>
        <v>1355.1972230071892</v>
      </c>
      <c r="BB78" s="20"/>
      <c r="BC78" s="20">
        <v>30</v>
      </c>
      <c r="BD78" s="9" t="s">
        <v>467</v>
      </c>
    </row>
    <row r="79" spans="1:56" s="9" customFormat="1" ht="11.25" customHeight="1" x14ac:dyDescent="0.15">
      <c r="A79" s="20">
        <v>78</v>
      </c>
      <c r="B79" s="20"/>
      <c r="C79" s="9" t="s">
        <v>140</v>
      </c>
      <c r="E79" s="10" t="s">
        <v>141</v>
      </c>
      <c r="F79" s="123">
        <v>78</v>
      </c>
      <c r="G79" s="7">
        <f>INT((F79*Valores!$C$2*100*1.006901)+0.5)/100</f>
        <v>410.5</v>
      </c>
      <c r="H79" s="113">
        <v>1770</v>
      </c>
      <c r="I79" s="77">
        <f>INT((H79*Valores!$C$2*100*1.006901)+0.5)/100</f>
        <v>9315.2800000000007</v>
      </c>
      <c r="J79" s="145">
        <v>0</v>
      </c>
      <c r="K79" s="77">
        <f>INT((J79*Valores!$C$2*100*1.006901)+0.5)/100</f>
        <v>0</v>
      </c>
      <c r="L79" s="120">
        <v>0</v>
      </c>
      <c r="M79" s="77">
        <f>INT((L79*Valores!$C$2*100*1.006901)+0.5)/100</f>
        <v>0</v>
      </c>
      <c r="N79" s="77">
        <f t="shared" si="13"/>
        <v>1913.5870157534998</v>
      </c>
      <c r="O79" s="77">
        <f t="shared" si="14"/>
        <v>0</v>
      </c>
      <c r="P79" s="83">
        <f>Valores!$C$16</f>
        <v>3262.4095850500003</v>
      </c>
      <c r="Q79" s="83">
        <f>Valores!$D$4</f>
        <v>2354.08</v>
      </c>
      <c r="R79" s="79">
        <f>Valores!$C$26</f>
        <v>2369.1575009200001</v>
      </c>
      <c r="S79" s="79">
        <f>Valores!$C$42</f>
        <v>764.36875613000007</v>
      </c>
      <c r="T79" s="79">
        <f>Valores!$C$23</f>
        <v>2267.09801556</v>
      </c>
      <c r="U79" s="77">
        <f t="shared" si="12"/>
        <v>2267.09801556</v>
      </c>
      <c r="V79" s="77">
        <v>0</v>
      </c>
      <c r="W79" s="77">
        <v>0</v>
      </c>
      <c r="X79" s="116">
        <v>0</v>
      </c>
      <c r="Y79" s="77">
        <f>X79*Valores!$C$2*1.006901</f>
        <v>0</v>
      </c>
      <c r="Z79" s="77">
        <v>0</v>
      </c>
      <c r="AA79" s="89">
        <f>Valores!$C$29</f>
        <v>132.58872368000002</v>
      </c>
      <c r="AB79" s="77">
        <f t="shared" si="15"/>
        <v>0</v>
      </c>
      <c r="AC79" s="77">
        <f>Valores!$C$30</f>
        <v>132.59</v>
      </c>
      <c r="AD79" s="116">
        <v>0</v>
      </c>
      <c r="AE79" s="77">
        <f>AD79*Valores!$C$2*1.006901</f>
        <v>0</v>
      </c>
      <c r="AF79" s="77">
        <f>Valores!$C$51</f>
        <v>269.71857087000001</v>
      </c>
      <c r="AG79" s="77">
        <f>Valores!$C$52</f>
        <v>77.068202540000016</v>
      </c>
      <c r="AH79" s="77">
        <f>SUM(G79,I79,K79,M79,N79,O79,P79,Q79,R79,S79,U79,V79,W79,Y79,Z79,AA79,AB79,AC79,AE79,AF79,AG79)*Valores!$C$54</f>
        <v>0</v>
      </c>
      <c r="AI79" s="15">
        <f t="shared" si="19"/>
        <v>23268.446370503498</v>
      </c>
      <c r="AJ79" s="78">
        <f>Valores!$C$35</f>
        <v>216.04</v>
      </c>
      <c r="AK79" s="79">
        <f>Valores!$C$8</f>
        <v>205.50849410000001</v>
      </c>
      <c r="AL79" s="89">
        <v>0</v>
      </c>
      <c r="AM79" s="79">
        <f>IF($G$4="SI",SUM(AK79+AL79),AK79)*Valores!$C$54</f>
        <v>0</v>
      </c>
      <c r="AN79" s="12">
        <f t="shared" si="16"/>
        <v>421.54849409999997</v>
      </c>
      <c r="AO79" s="151">
        <f>AI79*-Valores!$C$56</f>
        <v>-3024.8980281654549</v>
      </c>
      <c r="AP79" s="151">
        <f>AI79*-Valores!$C$57</f>
        <v>-116.34223185251749</v>
      </c>
      <c r="AQ79" s="78">
        <f>AI79*-Valores!$C$58</f>
        <v>-1047.0800866726574</v>
      </c>
      <c r="AR79" s="78">
        <f>AI79*-Valores!$C$59</f>
        <v>-628.24805200359447</v>
      </c>
      <c r="AS79" s="78">
        <f>AI79*-Valores!$C$60</f>
        <v>-69.805339111510492</v>
      </c>
      <c r="AT79" s="15">
        <f t="shared" si="17"/>
        <v>19501.674517912867</v>
      </c>
      <c r="AU79" s="15">
        <f t="shared" si="18"/>
        <v>19850.70121347042</v>
      </c>
      <c r="AV79" s="78">
        <f>AI79*Valores!$C$61</f>
        <v>3722.9514192805595</v>
      </c>
      <c r="AW79" s="78">
        <f>AI79*Valores!$C$62</f>
        <v>1047.0800866726574</v>
      </c>
      <c r="AX79" s="78">
        <f>AI79*Valores!$C$64</f>
        <v>232.68446370503497</v>
      </c>
      <c r="AY79" s="78">
        <f>AI79*Valores!$C$65</f>
        <v>814.39562296762244</v>
      </c>
      <c r="AZ79" s="78">
        <f>AI79*Valores!$C$66</f>
        <v>139.61067822302098</v>
      </c>
      <c r="BA79" s="78">
        <f t="shared" si="20"/>
        <v>1256.4961040071889</v>
      </c>
      <c r="BB79" s="20"/>
      <c r="BC79" s="20"/>
      <c r="BD79" s="9" t="s">
        <v>467</v>
      </c>
    </row>
    <row r="80" spans="1:56" s="9" customFormat="1" ht="11.25" customHeight="1" x14ac:dyDescent="0.15">
      <c r="A80" s="20">
        <v>79</v>
      </c>
      <c r="B80" s="20"/>
      <c r="C80" s="9" t="s">
        <v>142</v>
      </c>
      <c r="E80" s="10" t="s">
        <v>143</v>
      </c>
      <c r="F80" s="123">
        <v>77</v>
      </c>
      <c r="G80" s="7">
        <f>INT((F80*Valores!$C$2*100*1.006901)+0.5)/100</f>
        <v>405.24</v>
      </c>
      <c r="H80" s="113">
        <v>2073</v>
      </c>
      <c r="I80" s="77">
        <f>INT((H80*Valores!$C$2*100*1.006901)+0.5)/100</f>
        <v>10909.93</v>
      </c>
      <c r="J80" s="145">
        <v>0</v>
      </c>
      <c r="K80" s="77">
        <f>INT((J80*Valores!$C$2*100*1.006901)+0.5)/100</f>
        <v>0</v>
      </c>
      <c r="L80" s="120">
        <v>0</v>
      </c>
      <c r="M80" s="77">
        <f>INT((L80*Valores!$C$2*100*1.006901)+0.5)/100</f>
        <v>0</v>
      </c>
      <c r="N80" s="77">
        <f t="shared" si="13"/>
        <v>2151.9955157534996</v>
      </c>
      <c r="O80" s="77">
        <f t="shared" si="14"/>
        <v>0</v>
      </c>
      <c r="P80" s="83">
        <f>Valores!$C$16</f>
        <v>3262.4095850500003</v>
      </c>
      <c r="Q80" s="83">
        <f>Valores!$D$4</f>
        <v>2354.08</v>
      </c>
      <c r="R80" s="87">
        <f>Valores!$C$26</f>
        <v>2369.1575009200001</v>
      </c>
      <c r="S80" s="87">
        <f>Valores!$C$42</f>
        <v>764.36875613000007</v>
      </c>
      <c r="T80" s="79">
        <f>Valores!$C$23</f>
        <v>2267.09801556</v>
      </c>
      <c r="U80" s="77">
        <f t="shared" si="12"/>
        <v>2267.09801556</v>
      </c>
      <c r="V80" s="77">
        <v>0</v>
      </c>
      <c r="W80" s="77">
        <v>0</v>
      </c>
      <c r="X80" s="116">
        <v>0</v>
      </c>
      <c r="Y80" s="77">
        <f>X80*Valores!$C$2*1.006901</f>
        <v>0</v>
      </c>
      <c r="Z80" s="77">
        <v>0</v>
      </c>
      <c r="AA80" s="89">
        <f>Valores!$C$29</f>
        <v>132.58872368000002</v>
      </c>
      <c r="AB80" s="77">
        <f t="shared" si="15"/>
        <v>0</v>
      </c>
      <c r="AC80" s="77">
        <f>Valores!$C$30</f>
        <v>132.59</v>
      </c>
      <c r="AD80" s="116">
        <v>0</v>
      </c>
      <c r="AE80" s="77">
        <f>AD80*Valores!$C$2*1.006901</f>
        <v>0</v>
      </c>
      <c r="AF80" s="77">
        <f>Valores!$C$51</f>
        <v>269.71857087000001</v>
      </c>
      <c r="AG80" s="77">
        <f>Valores!$C$52</f>
        <v>77.068202540000016</v>
      </c>
      <c r="AH80" s="77">
        <f>SUM(G80,I80,K80,M80,N80,O80,P80,Q80,R80,S80,U80,V80,W80,Y80,Z80,AA80,AB80,AC80,AE80,AF80,AG80)*Valores!$C$54</f>
        <v>0</v>
      </c>
      <c r="AI80" s="15">
        <f t="shared" si="19"/>
        <v>25096.244870503502</v>
      </c>
      <c r="AJ80" s="78">
        <f>Valores!$C$35</f>
        <v>216.04</v>
      </c>
      <c r="AK80" s="79">
        <f>Valores!$C$8</f>
        <v>205.50849410000001</v>
      </c>
      <c r="AL80" s="89">
        <v>0</v>
      </c>
      <c r="AM80" s="79">
        <f>IF($G$4="SI",SUM(AK80+AL80),AK80)*Valores!$C$54</f>
        <v>0</v>
      </c>
      <c r="AN80" s="12">
        <f t="shared" si="16"/>
        <v>421.54849409999997</v>
      </c>
      <c r="AO80" s="151">
        <f>AI80*-Valores!$C$56</f>
        <v>-3262.5118331654553</v>
      </c>
      <c r="AP80" s="151">
        <f>AI80*-Valores!$C$57</f>
        <v>-125.48122435251751</v>
      </c>
      <c r="AQ80" s="78">
        <f>AI80*-Valores!$C$58</f>
        <v>-1129.3310191726575</v>
      </c>
      <c r="AR80" s="78">
        <f>AI80*-Valores!$C$59</f>
        <v>-677.59861150359461</v>
      </c>
      <c r="AS80" s="78">
        <f>AI80*-Valores!$C$60</f>
        <v>-75.288734611510506</v>
      </c>
      <c r="AT80" s="15">
        <f t="shared" si="17"/>
        <v>21000.469287912874</v>
      </c>
      <c r="AU80" s="15">
        <f t="shared" si="18"/>
        <v>21376.912960970425</v>
      </c>
      <c r="AV80" s="78">
        <f>AI80*Valores!$C$61</f>
        <v>4015.3991792805605</v>
      </c>
      <c r="AW80" s="78">
        <f>AI80*Valores!$C$62</f>
        <v>1129.3310191726575</v>
      </c>
      <c r="AX80" s="78">
        <f>AI80*Valores!$C$64</f>
        <v>250.96244870503503</v>
      </c>
      <c r="AY80" s="78">
        <f>AI80*Valores!$C$65</f>
        <v>878.3685704676227</v>
      </c>
      <c r="AZ80" s="78">
        <f>AI80*Valores!$C$66</f>
        <v>150.57746922302101</v>
      </c>
      <c r="BA80" s="78">
        <f t="shared" si="20"/>
        <v>1355.1972230071892</v>
      </c>
      <c r="BB80" s="20"/>
      <c r="BC80" s="20">
        <v>25</v>
      </c>
      <c r="BD80" s="9" t="s">
        <v>466</v>
      </c>
    </row>
    <row r="81" spans="1:56" s="9" customFormat="1" ht="11.25" customHeight="1" x14ac:dyDescent="0.15">
      <c r="A81" s="55">
        <v>80</v>
      </c>
      <c r="B81" s="55" t="s">
        <v>462</v>
      </c>
      <c r="C81" s="52" t="s">
        <v>144</v>
      </c>
      <c r="D81" s="52"/>
      <c r="E81" s="53" t="s">
        <v>145</v>
      </c>
      <c r="F81" s="124">
        <v>76</v>
      </c>
      <c r="G81" s="7">
        <f>INT((F81*Valores!$C$2*100*1.006901)+0.5)/100</f>
        <v>399.98</v>
      </c>
      <c r="H81" s="114">
        <v>1872</v>
      </c>
      <c r="I81" s="77">
        <f>INT((H81*Valores!$C$2*100*1.006901)+0.5)/100</f>
        <v>9852.09</v>
      </c>
      <c r="J81" s="146">
        <v>0</v>
      </c>
      <c r="K81" s="77">
        <f>INT((J81*Valores!$C$2*100*1.006901)+0.5)/100</f>
        <v>0</v>
      </c>
      <c r="L81" s="121">
        <v>0</v>
      </c>
      <c r="M81" s="77">
        <f>INT((L81*Valores!$C$2*100*1.006901)+0.5)/100</f>
        <v>0</v>
      </c>
      <c r="N81" s="80">
        <f t="shared" si="13"/>
        <v>1992.5305157534999</v>
      </c>
      <c r="O81" s="80">
        <f t="shared" si="14"/>
        <v>0</v>
      </c>
      <c r="P81" s="84">
        <f>Valores!$C$16</f>
        <v>3262.4095850500003</v>
      </c>
      <c r="Q81" s="84">
        <f>Valores!$D$4</f>
        <v>2354.08</v>
      </c>
      <c r="R81" s="82">
        <v>0</v>
      </c>
      <c r="S81" s="82">
        <f>Valores!$C$42</f>
        <v>764.36875613000007</v>
      </c>
      <c r="T81" s="82">
        <f>Valores!$C$23</f>
        <v>2267.09801556</v>
      </c>
      <c r="U81" s="80">
        <f t="shared" si="12"/>
        <v>2267.09801556</v>
      </c>
      <c r="V81" s="80">
        <v>0</v>
      </c>
      <c r="W81" s="80">
        <v>0</v>
      </c>
      <c r="X81" s="115">
        <v>0</v>
      </c>
      <c r="Y81" s="77">
        <f>X81*Valores!$C$2*1.006901</f>
        <v>0</v>
      </c>
      <c r="Z81" s="80">
        <v>0</v>
      </c>
      <c r="AA81" s="90">
        <f>Valores!$C$29</f>
        <v>132.58872368000002</v>
      </c>
      <c r="AB81" s="80">
        <f t="shared" si="15"/>
        <v>0</v>
      </c>
      <c r="AC81" s="80">
        <f>Valores!$C$30</f>
        <v>132.59</v>
      </c>
      <c r="AD81" s="115">
        <v>0</v>
      </c>
      <c r="AE81" s="77">
        <f>AD81*Valores!$C$2*1.006901</f>
        <v>0</v>
      </c>
      <c r="AF81" s="80">
        <f>Valores!$C$51</f>
        <v>269.71857087000001</v>
      </c>
      <c r="AG81" s="80">
        <f>Valores!$C$52</f>
        <v>77.068202540000016</v>
      </c>
      <c r="AH81" s="80">
        <f>SUM(G81,I81,K81,M81,N81,O81,P81,Q81,R81,S81,U81,V81,W81,Y81,Z81,AA81,AB81,AC81,AE81,AF81,AG81)*Valores!$C$54</f>
        <v>0</v>
      </c>
      <c r="AI81" s="54">
        <f t="shared" si="19"/>
        <v>21504.522369583501</v>
      </c>
      <c r="AJ81" s="81">
        <f>Valores!$C$35</f>
        <v>216.04</v>
      </c>
      <c r="AK81" s="82">
        <f>Valores!$C$8</f>
        <v>205.50849410000001</v>
      </c>
      <c r="AL81" s="90">
        <v>0</v>
      </c>
      <c r="AM81" s="82">
        <f>IF($G$4="SI",SUM(AK81+AL81),AK81)*Valores!$C$54</f>
        <v>0</v>
      </c>
      <c r="AN81" s="184">
        <f t="shared" si="16"/>
        <v>421.54849409999997</v>
      </c>
      <c r="AO81" s="152">
        <f>AI81*-Valores!$C$56</f>
        <v>-2795.5879080458553</v>
      </c>
      <c r="AP81" s="152">
        <f>AI81*-Valores!$C$57</f>
        <v>-107.5226118479175</v>
      </c>
      <c r="AQ81" s="81">
        <f>AI81*-Valores!$C$58</f>
        <v>-967.70350663125748</v>
      </c>
      <c r="AR81" s="81">
        <f>AI81*-Valores!$C$59</f>
        <v>-580.62210397875458</v>
      </c>
      <c r="AS81" s="81">
        <f>AI81*-Valores!$C$60</f>
        <v>-64.513567108750507</v>
      </c>
      <c r="AT81" s="54">
        <f t="shared" si="17"/>
        <v>18055.256837158471</v>
      </c>
      <c r="AU81" s="54">
        <f t="shared" si="18"/>
        <v>18377.82467270222</v>
      </c>
      <c r="AV81" s="81">
        <f>AI81*Valores!$C$61</f>
        <v>3440.7235791333601</v>
      </c>
      <c r="AW81" s="81">
        <f>AI81*Valores!$C$62</f>
        <v>967.70350663125748</v>
      </c>
      <c r="AX81" s="81">
        <f>AI81*Valores!$C$64</f>
        <v>215.04522369583501</v>
      </c>
      <c r="AY81" s="81">
        <f>AI81*Valores!$C$65</f>
        <v>752.65828293542256</v>
      </c>
      <c r="AZ81" s="81">
        <f>AI81*Valores!$C$66</f>
        <v>129.02713421750101</v>
      </c>
      <c r="BA81" s="81">
        <f t="shared" si="20"/>
        <v>1161.2442079575092</v>
      </c>
      <c r="BB81" s="55"/>
      <c r="BC81" s="55">
        <v>30</v>
      </c>
      <c r="BD81" s="52" t="s">
        <v>466</v>
      </c>
    </row>
    <row r="82" spans="1:56" s="9" customFormat="1" ht="11.25" customHeight="1" x14ac:dyDescent="0.15">
      <c r="A82" s="20">
        <v>81</v>
      </c>
      <c r="B82" s="20"/>
      <c r="C82" s="9" t="s">
        <v>146</v>
      </c>
      <c r="E82" s="10" t="s">
        <v>147</v>
      </c>
      <c r="F82" s="123">
        <v>75</v>
      </c>
      <c r="G82" s="7">
        <f>INT((F82*Valores!$C$2*100*1.006901)+0.5)/100</f>
        <v>394.72</v>
      </c>
      <c r="H82" s="113">
        <v>1873</v>
      </c>
      <c r="I82" s="77">
        <f>INT((H82*Valores!$C$2*100*1.006901)+0.5)/100</f>
        <v>9857.36</v>
      </c>
      <c r="J82" s="145">
        <v>0</v>
      </c>
      <c r="K82" s="77">
        <f>INT((J82*Valores!$C$2*100*1.006901)+0.5)/100</f>
        <v>0</v>
      </c>
      <c r="L82" s="120">
        <v>0</v>
      </c>
      <c r="M82" s="77">
        <f>INT((L82*Valores!$C$2*100*1.006901)+0.5)/100</f>
        <v>0</v>
      </c>
      <c r="N82" s="77">
        <f t="shared" si="13"/>
        <v>1992.5320157534998</v>
      </c>
      <c r="O82" s="77">
        <f t="shared" si="14"/>
        <v>0</v>
      </c>
      <c r="P82" s="83">
        <f>Valores!$C$16</f>
        <v>3262.4095850500003</v>
      </c>
      <c r="Q82" s="83">
        <f>Valores!$D$4</f>
        <v>2354.08</v>
      </c>
      <c r="R82" s="87">
        <f>Valores!$C$26</f>
        <v>2369.1575009200001</v>
      </c>
      <c r="S82" s="87">
        <f>Valores!$C$42</f>
        <v>764.36875613000007</v>
      </c>
      <c r="T82" s="79">
        <f>Valores!$C$23</f>
        <v>2267.09801556</v>
      </c>
      <c r="U82" s="77">
        <f t="shared" si="12"/>
        <v>2267.09801556</v>
      </c>
      <c r="V82" s="77">
        <v>0</v>
      </c>
      <c r="W82" s="77">
        <v>0</v>
      </c>
      <c r="X82" s="116">
        <v>0</v>
      </c>
      <c r="Y82" s="77">
        <f>X82*Valores!$C$2*1.006901</f>
        <v>0</v>
      </c>
      <c r="Z82" s="77">
        <v>0</v>
      </c>
      <c r="AA82" s="89">
        <f>Valores!$C$29</f>
        <v>132.58872368000002</v>
      </c>
      <c r="AB82" s="77">
        <f t="shared" si="15"/>
        <v>0</v>
      </c>
      <c r="AC82" s="77">
        <f>Valores!$C$30</f>
        <v>132.59</v>
      </c>
      <c r="AD82" s="116">
        <v>0</v>
      </c>
      <c r="AE82" s="77">
        <f>AD82*Valores!$C$2*1.006901</f>
        <v>0</v>
      </c>
      <c r="AF82" s="77">
        <f>Valores!$C$51</f>
        <v>269.71857087000001</v>
      </c>
      <c r="AG82" s="77">
        <f>Valores!$C$52</f>
        <v>77.068202540000016</v>
      </c>
      <c r="AH82" s="77">
        <f>SUM(G82,I82,K82,M82,N82,O82,P82,Q82,R82,S82,U82,V82,W82,Y82,Z82,AA82,AB82,AC82,AE82,AF82,AG82)*Valores!$C$54</f>
        <v>0</v>
      </c>
      <c r="AI82" s="15">
        <f t="shared" si="19"/>
        <v>23873.6913705035</v>
      </c>
      <c r="AJ82" s="78">
        <f>Valores!$C$35</f>
        <v>216.04</v>
      </c>
      <c r="AK82" s="79">
        <f>Valores!$C$8</f>
        <v>205.50849410000001</v>
      </c>
      <c r="AL82" s="89">
        <v>113.02463725000001</v>
      </c>
      <c r="AM82" s="79">
        <f>IF($G$4="SI",SUM(AK82+AL82),AK82)*Valores!$C$54</f>
        <v>0</v>
      </c>
      <c r="AN82" s="12">
        <f t="shared" si="16"/>
        <v>534.57313135000004</v>
      </c>
      <c r="AO82" s="151">
        <f>AI82*-Valores!$C$56</f>
        <v>-3103.5798781654553</v>
      </c>
      <c r="AP82" s="151">
        <f>AI82*-Valores!$C$57</f>
        <v>-119.36845685251751</v>
      </c>
      <c r="AQ82" s="78">
        <f>AI82*-Valores!$C$58</f>
        <v>-1074.3161116726574</v>
      </c>
      <c r="AR82" s="78">
        <f>AI82*-Valores!$C$59</f>
        <v>-644.58966700359463</v>
      </c>
      <c r="AS82" s="78">
        <f>AI82*-Valores!$C$60</f>
        <v>-71.621074111510509</v>
      </c>
      <c r="AT82" s="15">
        <f t="shared" si="17"/>
        <v>20111.000055162869</v>
      </c>
      <c r="AU82" s="15">
        <f t="shared" si="18"/>
        <v>20469.105425720423</v>
      </c>
      <c r="AV82" s="78">
        <f>AI82*Valores!$C$61</f>
        <v>3819.7906192805603</v>
      </c>
      <c r="AW82" s="78">
        <f>AI82*Valores!$C$62</f>
        <v>1074.3161116726574</v>
      </c>
      <c r="AX82" s="78">
        <f>AI82*Valores!$C$64</f>
        <v>238.73691370503502</v>
      </c>
      <c r="AY82" s="78">
        <f>AI82*Valores!$C$65</f>
        <v>835.57919796762258</v>
      </c>
      <c r="AZ82" s="78">
        <f>AI82*Valores!$C$66</f>
        <v>143.24214822302102</v>
      </c>
      <c r="BA82" s="78">
        <f t="shared" si="20"/>
        <v>1289.1793340071893</v>
      </c>
      <c r="BB82" s="20"/>
      <c r="BC82" s="20">
        <v>25</v>
      </c>
      <c r="BD82" s="9" t="s">
        <v>467</v>
      </c>
    </row>
    <row r="83" spans="1:56" s="9" customFormat="1" ht="11.25" customHeight="1" x14ac:dyDescent="0.15">
      <c r="A83" s="20">
        <v>82</v>
      </c>
      <c r="B83" s="20"/>
      <c r="C83" s="9" t="s">
        <v>148</v>
      </c>
      <c r="E83" s="10" t="s">
        <v>149</v>
      </c>
      <c r="F83" s="123">
        <v>76</v>
      </c>
      <c r="G83" s="7">
        <f>INT((F83*Valores!$C$2*100*1.006901)+0.5)/100</f>
        <v>399.98</v>
      </c>
      <c r="H83" s="113">
        <v>1752</v>
      </c>
      <c r="I83" s="77">
        <f>INT((H83*Valores!$C$2*100*1.006901)+0.5)/100</f>
        <v>9220.5499999999993</v>
      </c>
      <c r="J83" s="145">
        <v>0</v>
      </c>
      <c r="K83" s="77">
        <f>INT((J83*Valores!$C$2*100*1.006901)+0.5)/100</f>
        <v>0</v>
      </c>
      <c r="L83" s="120">
        <v>0</v>
      </c>
      <c r="M83" s="77">
        <f>INT((L83*Valores!$C$2*100*1.006901)+0.5)/100</f>
        <v>0</v>
      </c>
      <c r="N83" s="77">
        <f t="shared" si="13"/>
        <v>1897.7995157534997</v>
      </c>
      <c r="O83" s="77">
        <f t="shared" si="14"/>
        <v>0</v>
      </c>
      <c r="P83" s="83">
        <f>Valores!$C$15</f>
        <v>3241.8587356399998</v>
      </c>
      <c r="Q83" s="83">
        <f>Valores!$D$4</f>
        <v>2354.08</v>
      </c>
      <c r="R83" s="87">
        <f>Valores!$C$26</f>
        <v>2369.1575009200001</v>
      </c>
      <c r="S83" s="87">
        <f>Valores!$C$42</f>
        <v>764.36875613000007</v>
      </c>
      <c r="T83" s="79">
        <f>Valores!$C$23</f>
        <v>2267.09801556</v>
      </c>
      <c r="U83" s="77">
        <f t="shared" si="12"/>
        <v>2267.09801556</v>
      </c>
      <c r="V83" s="77">
        <v>0</v>
      </c>
      <c r="W83" s="77">
        <v>0</v>
      </c>
      <c r="X83" s="116">
        <v>0</v>
      </c>
      <c r="Y83" s="77">
        <f>X83*Valores!$C$2*1.006901</f>
        <v>0</v>
      </c>
      <c r="Z83" s="77">
        <v>0</v>
      </c>
      <c r="AA83" s="89">
        <f>Valores!$C$29</f>
        <v>132.58872368000002</v>
      </c>
      <c r="AB83" s="77">
        <f t="shared" si="15"/>
        <v>0</v>
      </c>
      <c r="AC83" s="77">
        <f>Valores!$C$30</f>
        <v>132.59</v>
      </c>
      <c r="AD83" s="116">
        <v>0</v>
      </c>
      <c r="AE83" s="77">
        <f>AD83*Valores!$C$2*1.006901</f>
        <v>0</v>
      </c>
      <c r="AF83" s="77">
        <f>Valores!$C$51</f>
        <v>269.71857087000001</v>
      </c>
      <c r="AG83" s="77">
        <f>Valores!$C$52</f>
        <v>77.068202540000016</v>
      </c>
      <c r="AH83" s="77">
        <f>SUM(G83,I83,K83,M83,N83,O83,P83,Q83,R83,S83,U83,V83,W83,Y83,Z83,AA83,AB83,AC83,AE83,AF83,AG83)*Valores!$C$54</f>
        <v>0</v>
      </c>
      <c r="AI83" s="15">
        <f t="shared" si="19"/>
        <v>23126.8580210935</v>
      </c>
      <c r="AJ83" s="78">
        <f>Valores!$C$35</f>
        <v>216.04</v>
      </c>
      <c r="AK83" s="79">
        <f>Valores!$C$8</f>
        <v>205.50849410000001</v>
      </c>
      <c r="AL83" s="89">
        <v>0</v>
      </c>
      <c r="AM83" s="79">
        <f>IF($G$4="SI",SUM(AK83+AL83),AK83)*Valores!$C$54</f>
        <v>0</v>
      </c>
      <c r="AN83" s="12">
        <f t="shared" si="16"/>
        <v>421.54849409999997</v>
      </c>
      <c r="AO83" s="151">
        <f>AI83*-Valores!$C$56</f>
        <v>-3006.4915427421552</v>
      </c>
      <c r="AP83" s="151">
        <f>AI83*-Valores!$C$57</f>
        <v>-115.6342901054675</v>
      </c>
      <c r="AQ83" s="78">
        <f>AI83*-Valores!$C$58</f>
        <v>-1040.7086109492075</v>
      </c>
      <c r="AR83" s="78">
        <f>AI83*-Valores!$C$59</f>
        <v>-624.42516656952455</v>
      </c>
      <c r="AS83" s="78">
        <f>AI83*-Valores!$C$60</f>
        <v>-69.380574063280505</v>
      </c>
      <c r="AT83" s="15">
        <f t="shared" si="17"/>
        <v>19385.572071396669</v>
      </c>
      <c r="AU83" s="15">
        <f t="shared" si="18"/>
        <v>19732.474941713073</v>
      </c>
      <c r="AV83" s="78">
        <f>AI83*Valores!$C$61</f>
        <v>3700.29728337496</v>
      </c>
      <c r="AW83" s="78">
        <f>AI83*Valores!$C$62</f>
        <v>1040.7086109492075</v>
      </c>
      <c r="AX83" s="78">
        <f>AI83*Valores!$C$64</f>
        <v>231.268580210935</v>
      </c>
      <c r="AY83" s="78">
        <f>AI83*Valores!$C$65</f>
        <v>809.44003073827253</v>
      </c>
      <c r="AZ83" s="78">
        <f>AI83*Valores!$C$66</f>
        <v>138.76114812656101</v>
      </c>
      <c r="BA83" s="78">
        <f t="shared" si="20"/>
        <v>1248.8503331390491</v>
      </c>
      <c r="BB83" s="20"/>
      <c r="BC83" s="20">
        <v>25</v>
      </c>
      <c r="BD83" s="9" t="s">
        <v>466</v>
      </c>
    </row>
    <row r="84" spans="1:56" s="9" customFormat="1" ht="11.25" customHeight="1" x14ac:dyDescent="0.15">
      <c r="A84" s="20">
        <v>83</v>
      </c>
      <c r="B84" s="20"/>
      <c r="C84" s="9" t="s">
        <v>150</v>
      </c>
      <c r="E84" s="10" t="s">
        <v>151</v>
      </c>
      <c r="F84" s="123">
        <v>78</v>
      </c>
      <c r="G84" s="7">
        <f>INT((F84*Valores!$C$2*100*1.006901)+0.5)/100</f>
        <v>410.5</v>
      </c>
      <c r="H84" s="113">
        <v>1770</v>
      </c>
      <c r="I84" s="77">
        <f>INT((H84*Valores!$C$2*100*1.006901)+0.5)/100</f>
        <v>9315.2800000000007</v>
      </c>
      <c r="J84" s="145">
        <v>0</v>
      </c>
      <c r="K84" s="77">
        <f>INT((J84*Valores!$C$2*100*1.006901)+0.5)/100</f>
        <v>0</v>
      </c>
      <c r="L84" s="120">
        <v>0</v>
      </c>
      <c r="M84" s="77">
        <f>INT((L84*Valores!$C$2*100*1.006901)+0.5)/100</f>
        <v>0</v>
      </c>
      <c r="N84" s="77">
        <f t="shared" si="13"/>
        <v>1899.2552903699998</v>
      </c>
      <c r="O84" s="77">
        <f t="shared" si="14"/>
        <v>0</v>
      </c>
      <c r="P84" s="83">
        <f>Valores!$C$16</f>
        <v>3262.4095850500003</v>
      </c>
      <c r="Q84" s="83">
        <f>Valores!$D$4</f>
        <v>2354.08</v>
      </c>
      <c r="R84" s="86">
        <f>Valores!$C$26</f>
        <v>2369.1575009200001</v>
      </c>
      <c r="S84" s="79">
        <f>Valores!$C$41</f>
        <v>668.82392024000001</v>
      </c>
      <c r="T84" s="87">
        <f>Valores!$C$23</f>
        <v>2267.09801556</v>
      </c>
      <c r="U84" s="77">
        <f t="shared" si="12"/>
        <v>2267.09801556</v>
      </c>
      <c r="V84" s="77">
        <v>0</v>
      </c>
      <c r="W84" s="77">
        <v>0</v>
      </c>
      <c r="X84" s="116">
        <v>0</v>
      </c>
      <c r="Y84" s="77">
        <f>X84*Valores!$C$2*1.006901</f>
        <v>0</v>
      </c>
      <c r="Z84" s="77">
        <v>0</v>
      </c>
      <c r="AA84" s="89">
        <f>Valores!$C$29</f>
        <v>132.58872368000002</v>
      </c>
      <c r="AB84" s="77">
        <f t="shared" si="15"/>
        <v>0</v>
      </c>
      <c r="AC84" s="77">
        <f>Valores!$C$30</f>
        <v>132.59</v>
      </c>
      <c r="AD84" s="116">
        <v>0</v>
      </c>
      <c r="AE84" s="77">
        <f>AD84*Valores!$C$2*1.006901</f>
        <v>0</v>
      </c>
      <c r="AF84" s="77">
        <f>Valores!$C$51</f>
        <v>269.71857087000001</v>
      </c>
      <c r="AG84" s="77">
        <f>Valores!$C$52</f>
        <v>77.068202540000016</v>
      </c>
      <c r="AH84" s="77">
        <f>SUM(G84,I84,K84,M84,N84,O84,P84,Q84,R84,S84,U84,V84,W84,Y84,Z84,AA84,AB84,AC84,AE84,AF84,AG84)*Valores!$C$54</f>
        <v>0</v>
      </c>
      <c r="AI84" s="15">
        <f t="shared" si="19"/>
        <v>23158.569809230001</v>
      </c>
      <c r="AJ84" s="78">
        <f>Valores!$C$35</f>
        <v>216.04</v>
      </c>
      <c r="AK84" s="79">
        <f>Valores!$C$7</f>
        <v>179.82244959000002</v>
      </c>
      <c r="AL84" s="89">
        <v>113.02463725000001</v>
      </c>
      <c r="AM84" s="79">
        <f>IF($G$4="SI",SUM(AK84+AL84),AK84)*Valores!$C$54</f>
        <v>0</v>
      </c>
      <c r="AN84" s="12">
        <f t="shared" si="16"/>
        <v>508.88708683999999</v>
      </c>
      <c r="AO84" s="151">
        <f>AI84*-Valores!$C$56</f>
        <v>-3010.6140751999001</v>
      </c>
      <c r="AP84" s="151">
        <f>AI84*-Valores!$C$57</f>
        <v>-115.79284904615001</v>
      </c>
      <c r="AQ84" s="78">
        <f>AI84*-Valores!$C$58</f>
        <v>-1042.1356414153499</v>
      </c>
      <c r="AR84" s="78">
        <f>AI84*-Valores!$C$59</f>
        <v>-625.2813848492101</v>
      </c>
      <c r="AS84" s="78">
        <f>AI84*-Valores!$C$60</f>
        <v>-69.475709427690006</v>
      </c>
      <c r="AT84" s="15">
        <f t="shared" si="17"/>
        <v>19498.914330408603</v>
      </c>
      <c r="AU84" s="15">
        <f t="shared" si="18"/>
        <v>19846.29287754705</v>
      </c>
      <c r="AV84" s="78">
        <f>AI84*Valores!$C$61</f>
        <v>3705.3711694768003</v>
      </c>
      <c r="AW84" s="78">
        <f>AI84*Valores!$C$62</f>
        <v>1042.1356414153499</v>
      </c>
      <c r="AX84" s="78">
        <f>AI84*Valores!$C$64</f>
        <v>231.58569809230002</v>
      </c>
      <c r="AY84" s="78">
        <f>AI84*Valores!$C$65</f>
        <v>810.54994332305012</v>
      </c>
      <c r="AZ84" s="78">
        <f>AI84*Valores!$C$66</f>
        <v>138.95141885538001</v>
      </c>
      <c r="BA84" s="78">
        <f t="shared" si="20"/>
        <v>1250.5627696984202</v>
      </c>
      <c r="BB84" s="20"/>
      <c r="BC84" s="20">
        <v>27</v>
      </c>
      <c r="BD84" s="9" t="s">
        <v>467</v>
      </c>
    </row>
    <row r="85" spans="1:56" s="9" customFormat="1" ht="11.25" customHeight="1" x14ac:dyDescent="0.15">
      <c r="A85" s="20">
        <v>84</v>
      </c>
      <c r="B85" s="20"/>
      <c r="C85" s="9" t="s">
        <v>152</v>
      </c>
      <c r="E85" s="10" t="s">
        <v>153</v>
      </c>
      <c r="F85" s="123">
        <v>76</v>
      </c>
      <c r="G85" s="7">
        <f>INT((F85*Valores!$C$2*100*1.006901)+0.5)/100</f>
        <v>399.98</v>
      </c>
      <c r="H85" s="113">
        <v>1872</v>
      </c>
      <c r="I85" s="77">
        <f>INT((H85*Valores!$C$2*100*1.006901)+0.5)/100</f>
        <v>9852.09</v>
      </c>
      <c r="J85" s="145">
        <v>0</v>
      </c>
      <c r="K85" s="77">
        <f>INT((J85*Valores!$C$2*100*1.006901)+0.5)/100</f>
        <v>0</v>
      </c>
      <c r="L85" s="120">
        <v>0</v>
      </c>
      <c r="M85" s="77">
        <f>INT((L85*Valores!$C$2*100*1.006901)+0.5)/100</f>
        <v>0</v>
      </c>
      <c r="N85" s="77">
        <f t="shared" si="13"/>
        <v>1978.1987903700001</v>
      </c>
      <c r="O85" s="77">
        <f t="shared" si="14"/>
        <v>0</v>
      </c>
      <c r="P85" s="83">
        <f>Valores!$C$16</f>
        <v>3262.4095850500003</v>
      </c>
      <c r="Q85" s="83">
        <f>Valores!$D$4</f>
        <v>2354.08</v>
      </c>
      <c r="R85" s="79">
        <v>0</v>
      </c>
      <c r="S85" s="79">
        <f>Valores!$C$41</f>
        <v>668.82392024000001</v>
      </c>
      <c r="T85" s="87">
        <f>Valores!$C$23</f>
        <v>2267.09801556</v>
      </c>
      <c r="U85" s="77">
        <f t="shared" si="12"/>
        <v>2267.09801556</v>
      </c>
      <c r="V85" s="77">
        <v>0</v>
      </c>
      <c r="W85" s="77">
        <v>0</v>
      </c>
      <c r="X85" s="116">
        <v>0</v>
      </c>
      <c r="Y85" s="77">
        <f>X85*Valores!$C$2*1.006901</f>
        <v>0</v>
      </c>
      <c r="Z85" s="77">
        <v>0</v>
      </c>
      <c r="AA85" s="89">
        <f>Valores!$C$29</f>
        <v>132.58872368000002</v>
      </c>
      <c r="AB85" s="77">
        <f t="shared" si="15"/>
        <v>0</v>
      </c>
      <c r="AC85" s="77">
        <f>Valores!$C$30</f>
        <v>132.59</v>
      </c>
      <c r="AD85" s="116">
        <v>0</v>
      </c>
      <c r="AE85" s="77">
        <f>AD85*Valores!$C$2*1.006901</f>
        <v>0</v>
      </c>
      <c r="AF85" s="77">
        <f>Valores!$C$51</f>
        <v>269.71857087000001</v>
      </c>
      <c r="AG85" s="77">
        <f>Valores!$C$52</f>
        <v>77.068202540000016</v>
      </c>
      <c r="AH85" s="77">
        <f>SUM(G85,I85,K85,M85,N85,O85,P85,Q85,R85,S85,U85,V85,W85,Y85,Z85,AA85,AB85,AC85,AE85,AF85,AG85)*Valores!$C$54</f>
        <v>0</v>
      </c>
      <c r="AI85" s="15">
        <f t="shared" si="19"/>
        <v>21394.645808310001</v>
      </c>
      <c r="AJ85" s="78">
        <f>Valores!$C$35</f>
        <v>216.04</v>
      </c>
      <c r="AK85" s="79">
        <f>Valores!$C$7</f>
        <v>179.82244959000002</v>
      </c>
      <c r="AL85" s="89">
        <v>113.02463725000001</v>
      </c>
      <c r="AM85" s="79">
        <f>IF($G$4="SI",SUM(AK85+AL85),AK85)*Valores!$C$54</f>
        <v>0</v>
      </c>
      <c r="AN85" s="12">
        <f t="shared" si="16"/>
        <v>508.88708683999999</v>
      </c>
      <c r="AO85" s="151">
        <f>AI85*-Valores!$C$56</f>
        <v>-2781.3039550803001</v>
      </c>
      <c r="AP85" s="151">
        <f>AI85*-Valores!$C$57</f>
        <v>-106.97322904155</v>
      </c>
      <c r="AQ85" s="78">
        <f>AI85*-Valores!$C$58</f>
        <v>-962.75906137394998</v>
      </c>
      <c r="AR85" s="78">
        <f>AI85*-Valores!$C$59</f>
        <v>-577.6554368243701</v>
      </c>
      <c r="AS85" s="78">
        <f>AI85*-Valores!$C$60</f>
        <v>-64.183937424930008</v>
      </c>
      <c r="AT85" s="15">
        <f t="shared" si="17"/>
        <v>18052.496649654204</v>
      </c>
      <c r="AU85" s="15">
        <f t="shared" si="18"/>
        <v>18373.416336778853</v>
      </c>
      <c r="AV85" s="78">
        <f>AI85*Valores!$C$61</f>
        <v>3423.1433293296</v>
      </c>
      <c r="AW85" s="78">
        <f>AI85*Valores!$C$62</f>
        <v>962.75906137394998</v>
      </c>
      <c r="AX85" s="78">
        <f>AI85*Valores!$C$64</f>
        <v>213.9464580831</v>
      </c>
      <c r="AY85" s="78">
        <f>AI85*Valores!$C$65</f>
        <v>748.81260329085012</v>
      </c>
      <c r="AZ85" s="78">
        <f>AI85*Valores!$C$66</f>
        <v>128.36787484986002</v>
      </c>
      <c r="BA85" s="78">
        <f t="shared" si="20"/>
        <v>1155.3108736487402</v>
      </c>
      <c r="BB85" s="20"/>
      <c r="BC85" s="20">
        <v>27</v>
      </c>
      <c r="BD85" s="9" t="s">
        <v>467</v>
      </c>
    </row>
    <row r="86" spans="1:56" s="9" customFormat="1" ht="11.25" customHeight="1" x14ac:dyDescent="0.15">
      <c r="A86" s="55">
        <v>85</v>
      </c>
      <c r="B86" s="55" t="s">
        <v>462</v>
      </c>
      <c r="C86" s="52" t="s">
        <v>154</v>
      </c>
      <c r="D86" s="52"/>
      <c r="E86" s="53" t="s">
        <v>155</v>
      </c>
      <c r="F86" s="124">
        <v>169</v>
      </c>
      <c r="G86" s="7">
        <f>INT((F86*Valores!$C$2*100*1.006901)+0.5)/100</f>
        <v>889.43</v>
      </c>
      <c r="H86" s="114">
        <f>1997</f>
        <v>1997</v>
      </c>
      <c r="I86" s="77">
        <f>INT((H86*Valores!$C$2*100*1.006901)+0.5)/100</f>
        <v>10509.95</v>
      </c>
      <c r="J86" s="146">
        <v>0</v>
      </c>
      <c r="K86" s="77">
        <f>INT((J86*Valores!$C$2*100*1.006901)+0.5)/100</f>
        <v>0</v>
      </c>
      <c r="L86" s="121">
        <v>0</v>
      </c>
      <c r="M86" s="77">
        <f>INT((L86*Valores!$C$2*100*1.006901)+0.5)/100</f>
        <v>0</v>
      </c>
      <c r="N86" s="80">
        <f t="shared" si="13"/>
        <v>2164.6270157535</v>
      </c>
      <c r="O86" s="80">
        <f t="shared" si="14"/>
        <v>0</v>
      </c>
      <c r="P86" s="81">
        <f>Valores!$C$16</f>
        <v>3262.4095850500003</v>
      </c>
      <c r="Q86" s="81">
        <f>Valores!$D$4</f>
        <v>2354.08</v>
      </c>
      <c r="R86" s="85">
        <f>Valores!$C$26</f>
        <v>2369.1575009200001</v>
      </c>
      <c r="S86" s="88">
        <f>Valores!$C$42</f>
        <v>764.36875613000007</v>
      </c>
      <c r="T86" s="80">
        <f>Valores!$C$23</f>
        <v>2267.09801556</v>
      </c>
      <c r="U86" s="80">
        <f t="shared" si="12"/>
        <v>2267.09801556</v>
      </c>
      <c r="V86" s="80">
        <v>0</v>
      </c>
      <c r="W86" s="80">
        <v>0</v>
      </c>
      <c r="X86" s="115">
        <v>0</v>
      </c>
      <c r="Y86" s="77">
        <f>X86*Valores!$C$2*1.006901</f>
        <v>0</v>
      </c>
      <c r="Z86" s="80">
        <v>0</v>
      </c>
      <c r="AA86" s="90">
        <f>Valores!$C$29</f>
        <v>132.58872368000002</v>
      </c>
      <c r="AB86" s="80">
        <f t="shared" si="15"/>
        <v>0</v>
      </c>
      <c r="AC86" s="80">
        <f>Valores!$C$30</f>
        <v>132.59</v>
      </c>
      <c r="AD86" s="115">
        <v>0</v>
      </c>
      <c r="AE86" s="77">
        <f>AD86*Valores!$C$2*1.006901</f>
        <v>0</v>
      </c>
      <c r="AF86" s="80">
        <f>Valores!$C$51</f>
        <v>269.71857087000001</v>
      </c>
      <c r="AG86" s="80">
        <f>Valores!$C$52</f>
        <v>77.068202540000016</v>
      </c>
      <c r="AH86" s="80">
        <f>SUM(G86,I86,K86,M86,N86,O86,P86,Q86,R86,S86,U86,V86,W86,Y86,Z86,AA86,AB86,AC86,AE86,AF86,AG86)*Valores!$C$54</f>
        <v>0</v>
      </c>
      <c r="AI86" s="54">
        <f t="shared" si="19"/>
        <v>25193.086370503504</v>
      </c>
      <c r="AJ86" s="81">
        <f>Valores!$C$35</f>
        <v>216.04</v>
      </c>
      <c r="AK86" s="82">
        <f>Valores!$C$8</f>
        <v>205.50849410000001</v>
      </c>
      <c r="AL86" s="90">
        <v>0</v>
      </c>
      <c r="AM86" s="82">
        <f>IF($G$4="SI",SUM(AK86+AL86),AK86)*Valores!$C$54</f>
        <v>0</v>
      </c>
      <c r="AN86" s="184">
        <f t="shared" si="16"/>
        <v>421.54849409999997</v>
      </c>
      <c r="AO86" s="152">
        <f>AI86*-Valores!$C$56</f>
        <v>-3275.1012281654557</v>
      </c>
      <c r="AP86" s="152">
        <f>AI86*-Valores!$C$57</f>
        <v>-125.96543185251753</v>
      </c>
      <c r="AQ86" s="81">
        <f>AI86*-Valores!$C$58</f>
        <v>-1133.6888866726576</v>
      </c>
      <c r="AR86" s="81">
        <f>AI86*-Valores!$C$59</f>
        <v>-680.2133320035947</v>
      </c>
      <c r="AS86" s="81">
        <f>AI86*-Valores!$C$60</f>
        <v>-75.57925911151051</v>
      </c>
      <c r="AT86" s="54">
        <f t="shared" si="17"/>
        <v>21079.879317912873</v>
      </c>
      <c r="AU86" s="54">
        <f t="shared" si="18"/>
        <v>21457.775613470429</v>
      </c>
      <c r="AV86" s="81">
        <f>AI86*Valores!$C$61</f>
        <v>4030.8938192805608</v>
      </c>
      <c r="AW86" s="81">
        <f>AI86*Valores!$C$62</f>
        <v>1133.6888866726576</v>
      </c>
      <c r="AX86" s="81">
        <f>AI86*Valores!$C$64</f>
        <v>251.93086370503505</v>
      </c>
      <c r="AY86" s="81">
        <f>AI86*Valores!$C$65</f>
        <v>881.75802296762276</v>
      </c>
      <c r="AZ86" s="81">
        <f>AI86*Valores!$C$66</f>
        <v>151.15851822302102</v>
      </c>
      <c r="BA86" s="81">
        <f t="shared" si="20"/>
        <v>1360.4266640071894</v>
      </c>
      <c r="BB86" s="55"/>
      <c r="BC86" s="55">
        <v>25</v>
      </c>
      <c r="BD86" s="52" t="s">
        <v>466</v>
      </c>
    </row>
    <row r="87" spans="1:56" s="9" customFormat="1" ht="11.25" customHeight="1" x14ac:dyDescent="0.15">
      <c r="A87" s="20">
        <v>86</v>
      </c>
      <c r="B87" s="20"/>
      <c r="C87" s="9" t="s">
        <v>156</v>
      </c>
      <c r="E87" s="10" t="s">
        <v>157</v>
      </c>
      <c r="F87" s="123">
        <v>218</v>
      </c>
      <c r="G87" s="7">
        <f>INT((F87*Valores!$C$2*100*1.006901)+0.5)/100</f>
        <v>1147.31</v>
      </c>
      <c r="H87" s="113">
        <f>1997</f>
        <v>1997</v>
      </c>
      <c r="I87" s="77">
        <f>INT((H87*Valores!$C$2*100*1.006901)+0.5)/100</f>
        <v>10509.95</v>
      </c>
      <c r="J87" s="145">
        <v>0</v>
      </c>
      <c r="K87" s="77">
        <f>INT((J87*Valores!$C$2*100*1.006901)+0.5)/100</f>
        <v>0</v>
      </c>
      <c r="L87" s="120">
        <v>0</v>
      </c>
      <c r="M87" s="77">
        <f>INT((L87*Valores!$C$2*100*1.006901)+0.5)/100</f>
        <v>0</v>
      </c>
      <c r="N87" s="77">
        <f t="shared" si="13"/>
        <v>2203.3090157534998</v>
      </c>
      <c r="O87" s="77">
        <f t="shared" si="14"/>
        <v>0</v>
      </c>
      <c r="P87" s="78">
        <f>Valores!$C$16</f>
        <v>3262.4095850500003</v>
      </c>
      <c r="Q87" s="78">
        <f>Valores!$D$4</f>
        <v>2354.08</v>
      </c>
      <c r="R87" s="61">
        <f>Valores!$C$26</f>
        <v>2369.1575009200001</v>
      </c>
      <c r="S87" s="87">
        <f>Valores!$C$42</f>
        <v>764.36875613000007</v>
      </c>
      <c r="T87" s="77">
        <f>Valores!$C$23</f>
        <v>2267.09801556</v>
      </c>
      <c r="U87" s="77">
        <f t="shared" si="12"/>
        <v>2267.09801556</v>
      </c>
      <c r="V87" s="77">
        <v>0</v>
      </c>
      <c r="W87" s="77">
        <v>0</v>
      </c>
      <c r="X87" s="116">
        <v>0</v>
      </c>
      <c r="Y87" s="77">
        <f>X87*Valores!$C$2*1.006901</f>
        <v>0</v>
      </c>
      <c r="Z87" s="77">
        <v>0</v>
      </c>
      <c r="AA87" s="89">
        <f>Valores!$C$29</f>
        <v>132.58872368000002</v>
      </c>
      <c r="AB87" s="77">
        <f t="shared" si="15"/>
        <v>0</v>
      </c>
      <c r="AC87" s="77">
        <f>Valores!$C$30</f>
        <v>132.59</v>
      </c>
      <c r="AD87" s="116">
        <v>0</v>
      </c>
      <c r="AE87" s="77">
        <f>AD87*Valores!$C$2*1.006901</f>
        <v>0</v>
      </c>
      <c r="AF87" s="77">
        <f>Valores!$C$51</f>
        <v>269.71857087000001</v>
      </c>
      <c r="AG87" s="77">
        <f>Valores!$C$52</f>
        <v>77.068202540000016</v>
      </c>
      <c r="AH87" s="77">
        <f>SUM(G87,I87,K87,M87,N87,O87,P87,Q87,R87,S87,U87,V87,W87,Y87,Z87,AA87,AB87,AC87,AE87,AF87,AG87)*Valores!$C$54</f>
        <v>0</v>
      </c>
      <c r="AI87" s="15">
        <f t="shared" si="19"/>
        <v>25489.648370503503</v>
      </c>
      <c r="AJ87" s="78">
        <f>Valores!$C$35</f>
        <v>216.04</v>
      </c>
      <c r="AK87" s="79">
        <f>Valores!$C$8</f>
        <v>205.50849410000001</v>
      </c>
      <c r="AL87" s="89">
        <v>113.02463725000001</v>
      </c>
      <c r="AM87" s="79">
        <f>IF($G$4="SI",SUM(AK87+AL87),AK87)*Valores!$C$54</f>
        <v>0</v>
      </c>
      <c r="AN87" s="12">
        <f t="shared" si="16"/>
        <v>534.57313135000004</v>
      </c>
      <c r="AO87" s="151">
        <f>AI87*-Valores!$C$56</f>
        <v>-3313.6542881654555</v>
      </c>
      <c r="AP87" s="151">
        <f>AI87*-Valores!$C$57</f>
        <v>-127.44824185251751</v>
      </c>
      <c r="AQ87" s="78">
        <f>AI87*-Valores!$C$58</f>
        <v>-1147.0341766726576</v>
      </c>
      <c r="AR87" s="78">
        <f>AI87*-Valores!$C$59</f>
        <v>-688.22050600359466</v>
      </c>
      <c r="AS87" s="78">
        <f>AI87*-Valores!$C$60</f>
        <v>-76.468945111510507</v>
      </c>
      <c r="AT87" s="15">
        <f t="shared" si="17"/>
        <v>21436.084795162871</v>
      </c>
      <c r="AU87" s="15">
        <f t="shared" si="18"/>
        <v>21818.42952072042</v>
      </c>
      <c r="AV87" s="78">
        <f>AI87*Valores!$C$61</f>
        <v>4078.3437392805604</v>
      </c>
      <c r="AW87" s="78">
        <f>AI87*Valores!$C$62</f>
        <v>1147.0341766726576</v>
      </c>
      <c r="AX87" s="78">
        <f>AI87*Valores!$C$64</f>
        <v>254.89648370503502</v>
      </c>
      <c r="AY87" s="78">
        <f>AI87*Valores!$C$65</f>
        <v>892.13769296762268</v>
      </c>
      <c r="AZ87" s="78">
        <f>AI87*Valores!$C$66</f>
        <v>152.93789022302101</v>
      </c>
      <c r="BA87" s="78">
        <f t="shared" si="20"/>
        <v>1376.4410120071893</v>
      </c>
      <c r="BB87" s="20"/>
      <c r="BC87" s="20">
        <v>25</v>
      </c>
      <c r="BD87" s="9" t="s">
        <v>467</v>
      </c>
    </row>
    <row r="88" spans="1:56" s="9" customFormat="1" ht="11.25" customHeight="1" x14ac:dyDescent="0.15">
      <c r="A88" s="20">
        <v>87</v>
      </c>
      <c r="B88" s="20"/>
      <c r="C88" s="9" t="s">
        <v>156</v>
      </c>
      <c r="E88" s="10" t="s">
        <v>515</v>
      </c>
      <c r="F88" s="123">
        <v>218</v>
      </c>
      <c r="G88" s="7">
        <f>INT((F88*Valores!$C$2*100*1.006901)+0.5)/100</f>
        <v>1147.31</v>
      </c>
      <c r="H88" s="113">
        <f>1997</f>
        <v>1997</v>
      </c>
      <c r="I88" s="77">
        <f>INT((H88*Valores!$C$2*100*1.006901)+0.5)/100</f>
        <v>10509.95</v>
      </c>
      <c r="J88" s="145">
        <v>0</v>
      </c>
      <c r="K88" s="77">
        <f>INT((J88*Valores!$C$2*100*1.006901)+0.5)/100</f>
        <v>0</v>
      </c>
      <c r="L88" s="120">
        <v>0</v>
      </c>
      <c r="M88" s="77">
        <f>INT((L88*Valores!$C$2*100*1.006901)+0.5)/100</f>
        <v>0</v>
      </c>
      <c r="N88" s="77">
        <f>IF($I$2=0,IF(C88&lt;&gt;"13-930",(SUM(G88,I88,K88,M88,Y88,T88,S88)*$N$2),0),0)</f>
        <v>2203.3090157534998</v>
      </c>
      <c r="O88" s="77">
        <f>SUM(G88,I88,K88,M88,Y88,S88)*$I$2</f>
        <v>0</v>
      </c>
      <c r="P88" s="78">
        <f>Valores!$C$16</f>
        <v>3262.4095850500003</v>
      </c>
      <c r="Q88" s="78">
        <f>Valores!$D$4</f>
        <v>2354.08</v>
      </c>
      <c r="R88" s="61">
        <f>Valores!$C$26</f>
        <v>2369.1575009200001</v>
      </c>
      <c r="S88" s="87">
        <f>Valores!$C$42</f>
        <v>764.36875613000007</v>
      </c>
      <c r="T88" s="77">
        <f>Valores!$C$23</f>
        <v>2267.09801556</v>
      </c>
      <c r="U88" s="77">
        <f>T88*(1+$I$2)</f>
        <v>2267.09801556</v>
      </c>
      <c r="V88" s="77">
        <v>0</v>
      </c>
      <c r="W88" s="77">
        <v>0</v>
      </c>
      <c r="X88" s="116">
        <v>0</v>
      </c>
      <c r="Y88" s="77">
        <f>X88*Valores!$C$2*1.006901</f>
        <v>0</v>
      </c>
      <c r="Z88" s="77">
        <v>0</v>
      </c>
      <c r="AA88" s="89">
        <f>Valores!$C$29</f>
        <v>132.58872368000002</v>
      </c>
      <c r="AB88" s="77">
        <f t="shared" si="15"/>
        <v>0</v>
      </c>
      <c r="AC88" s="77">
        <f>Valores!$C$30</f>
        <v>132.59</v>
      </c>
      <c r="AD88" s="116">
        <v>19</v>
      </c>
      <c r="AE88" s="77">
        <f>AD88*Valores!$C$2*1.006901</f>
        <v>99.994532789200008</v>
      </c>
      <c r="AF88" s="77">
        <f>Valores!$C$51</f>
        <v>269.71857087000001</v>
      </c>
      <c r="AG88" s="77">
        <f>Valores!$C$52</f>
        <v>77.068202540000016</v>
      </c>
      <c r="AH88" s="77">
        <f>SUM(G88,I88,K88,M88,N88,O88,P88,Q88,R88,S88,U88,V88,W88,Y88,Z88,AA88,AB88,AC88,AE88,AF88,AG88)*Valores!$C$54</f>
        <v>0</v>
      </c>
      <c r="AI88" s="15">
        <f t="shared" si="19"/>
        <v>25589.642903292701</v>
      </c>
      <c r="AJ88" s="78">
        <f>Valores!$C$35</f>
        <v>216.04</v>
      </c>
      <c r="AK88" s="79">
        <f>Valores!$C$8</f>
        <v>205.50849410000001</v>
      </c>
      <c r="AL88" s="89">
        <v>113.02463725000001</v>
      </c>
      <c r="AM88" s="79">
        <f>IF($G$4="SI",SUM(AK88+AL88),AK88)*Valores!$C$54</f>
        <v>0</v>
      </c>
      <c r="AN88" s="12">
        <f t="shared" si="16"/>
        <v>534.57313135000004</v>
      </c>
      <c r="AO88" s="151">
        <f>AI88*-Valores!$C$56</f>
        <v>-3326.653577428051</v>
      </c>
      <c r="AP88" s="151">
        <f>AI88*-Valores!$C$57</f>
        <v>-127.94821451646351</v>
      </c>
      <c r="AQ88" s="78">
        <f>AI88*-Valores!$C$58</f>
        <v>-1151.5339306481715</v>
      </c>
      <c r="AR88" s="78">
        <f>AI88*-Valores!$C$59</f>
        <v>-690.92035838890297</v>
      </c>
      <c r="AS88" s="78">
        <f>AI88*-Valores!$C$60</f>
        <v>-76.768928709878111</v>
      </c>
      <c r="AT88" s="15">
        <f t="shared" si="17"/>
        <v>21518.080312050013</v>
      </c>
      <c r="AU88" s="15">
        <f t="shared" si="18"/>
        <v>21901.92495559941</v>
      </c>
      <c r="AV88" s="78">
        <f>AI88*Valores!$C$61</f>
        <v>4094.3428645268323</v>
      </c>
      <c r="AW88" s="78">
        <f>AI88*Valores!$C$62</f>
        <v>1151.5339306481715</v>
      </c>
      <c r="AX88" s="78">
        <f>AI88*Valores!$C$64</f>
        <v>255.89642903292702</v>
      </c>
      <c r="AY88" s="78">
        <f>AI88*Valores!$C$65</f>
        <v>895.63750161524456</v>
      </c>
      <c r="AZ88" s="78">
        <f>AI88*Valores!$C$66</f>
        <v>153.53785741975622</v>
      </c>
      <c r="BA88" s="78">
        <f t="shared" si="20"/>
        <v>1381.8407167778059</v>
      </c>
      <c r="BB88" s="20"/>
      <c r="BC88" s="20">
        <v>25</v>
      </c>
      <c r="BD88" s="9" t="s">
        <v>467</v>
      </c>
    </row>
    <row r="89" spans="1:56" s="9" customFormat="1" ht="11.25" customHeight="1" x14ac:dyDescent="0.15">
      <c r="A89" s="20">
        <v>88</v>
      </c>
      <c r="B89" s="20"/>
      <c r="C89" s="9" t="s">
        <v>158</v>
      </c>
      <c r="E89" s="10" t="s">
        <v>159</v>
      </c>
      <c r="F89" s="123">
        <f>75+143</f>
        <v>218</v>
      </c>
      <c r="G89" s="7">
        <f>INT((F89*Valores!$C$2*100*1.006901)+0.5)/100</f>
        <v>1147.31</v>
      </c>
      <c r="H89" s="113">
        <v>1997</v>
      </c>
      <c r="I89" s="77">
        <f>INT((H89*Valores!$C$2*100*1.006901)+0.5)/100</f>
        <v>10509.95</v>
      </c>
      <c r="J89" s="145">
        <v>0</v>
      </c>
      <c r="K89" s="77">
        <f>INT((J89*Valores!$C$2*100*1.006901)+0.5)/100</f>
        <v>0</v>
      </c>
      <c r="L89" s="120">
        <v>0</v>
      </c>
      <c r="M89" s="77">
        <f>INT((L89*Valores!$C$2*100*1.006901)+0.5)/100</f>
        <v>0</v>
      </c>
      <c r="N89" s="77">
        <f t="shared" si="13"/>
        <v>2145.9813590437498</v>
      </c>
      <c r="O89" s="77">
        <f t="shared" si="14"/>
        <v>0</v>
      </c>
      <c r="P89" s="78">
        <f>Valores!$C$16</f>
        <v>3262.4095850500003</v>
      </c>
      <c r="Q89" s="78">
        <f>Valores!$D$4</f>
        <v>2354.08</v>
      </c>
      <c r="R89" s="77">
        <f>Valores!$C$26</f>
        <v>2369.1575009200001</v>
      </c>
      <c r="S89" s="79">
        <f>Valores!$C$42/2</f>
        <v>382.18437806500003</v>
      </c>
      <c r="T89" s="77">
        <f>Valores!$C$23</f>
        <v>2267.09801556</v>
      </c>
      <c r="U89" s="77">
        <f t="shared" si="12"/>
        <v>2267.09801556</v>
      </c>
      <c r="V89" s="77">
        <v>0</v>
      </c>
      <c r="W89" s="77">
        <v>0</v>
      </c>
      <c r="X89" s="116">
        <v>0</v>
      </c>
      <c r="Y89" s="77">
        <f>X89*Valores!$C$2*1.006901</f>
        <v>0</v>
      </c>
      <c r="Z89" s="77">
        <v>0</v>
      </c>
      <c r="AA89" s="89">
        <f>Valores!$C$29</f>
        <v>132.58872368000002</v>
      </c>
      <c r="AB89" s="77">
        <f t="shared" si="15"/>
        <v>0</v>
      </c>
      <c r="AC89" s="77">
        <f>Valores!$C$30</f>
        <v>132.59</v>
      </c>
      <c r="AD89" s="116">
        <v>0</v>
      </c>
      <c r="AE89" s="77">
        <f>AD89*Valores!$C$2*1.006901</f>
        <v>0</v>
      </c>
      <c r="AF89" s="77">
        <f>Valores!$C$51</f>
        <v>269.71857087000001</v>
      </c>
      <c r="AG89" s="77">
        <f>Valores!$C$52</f>
        <v>77.068202540000016</v>
      </c>
      <c r="AH89" s="77">
        <f>SUM(G89,I89,K89,M89,N89,O89,P89,Q89,R89,S89,U89,V89,W89,Y89,Z89,AA89,AB89,AC89,AE89,AF89,AG89)*Valores!$C$54</f>
        <v>0</v>
      </c>
      <c r="AI89" s="15">
        <f t="shared" si="19"/>
        <v>25050.136335728756</v>
      </c>
      <c r="AJ89" s="78">
        <f>Valores!$C$35</f>
        <v>216.04</v>
      </c>
      <c r="AK89" s="79">
        <f>Valores!$C$8/2</f>
        <v>102.75424705</v>
      </c>
      <c r="AL89" s="89">
        <v>0</v>
      </c>
      <c r="AM89" s="79">
        <f>IF($G$4="SI",SUM(AK89+AL89),AK89)*Valores!$C$54</f>
        <v>0</v>
      </c>
      <c r="AN89" s="12">
        <f t="shared" si="16"/>
        <v>318.79424704999997</v>
      </c>
      <c r="AO89" s="151">
        <f>AI89*-Valores!$C$56</f>
        <v>-3256.5177236447385</v>
      </c>
      <c r="AP89" s="151">
        <f>AI89*-Valores!$C$57</f>
        <v>-125.25068167864379</v>
      </c>
      <c r="AQ89" s="78">
        <f>AI89*-Valores!$C$58</f>
        <v>-1127.2561351077939</v>
      </c>
      <c r="AR89" s="78">
        <f>AI89*-Valores!$C$59</f>
        <v>-676.35368106467649</v>
      </c>
      <c r="AS89" s="78">
        <f>AI89*-Valores!$C$60</f>
        <v>-75.150409007186269</v>
      </c>
      <c r="AT89" s="15">
        <f t="shared" si="17"/>
        <v>20859.906042347578</v>
      </c>
      <c r="AU89" s="15">
        <f t="shared" si="18"/>
        <v>21235.658087383508</v>
      </c>
      <c r="AV89" s="78">
        <f>AI89*Valores!$C$61</f>
        <v>4008.0218137166012</v>
      </c>
      <c r="AW89" s="78">
        <f>AI89*Valores!$C$62</f>
        <v>1127.2561351077939</v>
      </c>
      <c r="AX89" s="78">
        <f>AI89*Valores!$C$64</f>
        <v>250.50136335728757</v>
      </c>
      <c r="AY89" s="78">
        <f>AI89*Valores!$C$65</f>
        <v>876.75477175050651</v>
      </c>
      <c r="AZ89" s="78">
        <f>AI89*Valores!$C$66</f>
        <v>150.30081801437254</v>
      </c>
      <c r="BA89" s="78">
        <f t="shared" si="20"/>
        <v>1352.707362129353</v>
      </c>
      <c r="BB89" s="20"/>
      <c r="BC89" s="20">
        <v>25</v>
      </c>
      <c r="BD89" s="9" t="s">
        <v>466</v>
      </c>
    </row>
    <row r="90" spans="1:56" s="9" customFormat="1" ht="11.25" customHeight="1" x14ac:dyDescent="0.15">
      <c r="A90" s="20">
        <v>89</v>
      </c>
      <c r="B90" s="20"/>
      <c r="C90" s="9" t="s">
        <v>160</v>
      </c>
      <c r="E90" s="10" t="s">
        <v>161</v>
      </c>
      <c r="F90" s="123">
        <v>187</v>
      </c>
      <c r="G90" s="7">
        <f>INT((F90*Valores!$C$2*100*1.006901)+0.5)/100</f>
        <v>984.16</v>
      </c>
      <c r="H90" s="113">
        <v>1704</v>
      </c>
      <c r="I90" s="77">
        <f>INT((H90*Valores!$C$2*100*1.006901)+0.5)/100</f>
        <v>8967.93</v>
      </c>
      <c r="J90" s="145">
        <v>0</v>
      </c>
      <c r="K90" s="77">
        <f>INT((J90*Valores!$C$2*100*1.006901)+0.5)/100</f>
        <v>0</v>
      </c>
      <c r="L90" s="120">
        <v>0</v>
      </c>
      <c r="M90" s="77">
        <f>INT((L90*Valores!$C$2*100*1.006901)+0.5)/100</f>
        <v>0</v>
      </c>
      <c r="N90" s="77">
        <f t="shared" si="13"/>
        <v>1947.5335157535001</v>
      </c>
      <c r="O90" s="77">
        <f t="shared" si="14"/>
        <v>0</v>
      </c>
      <c r="P90" s="78">
        <f>Valores!$C$16</f>
        <v>3262.4095850500003</v>
      </c>
      <c r="Q90" s="78">
        <f>Valores!$D$4</f>
        <v>2354.08</v>
      </c>
      <c r="R90" s="77">
        <f>Valores!$C$26</f>
        <v>2369.1575009200001</v>
      </c>
      <c r="S90" s="79">
        <f>Valores!$C$42</f>
        <v>764.36875613000007</v>
      </c>
      <c r="T90" s="77">
        <f>Valores!$C$23</f>
        <v>2267.09801556</v>
      </c>
      <c r="U90" s="77">
        <f t="shared" si="12"/>
        <v>2267.09801556</v>
      </c>
      <c r="V90" s="77">
        <v>0</v>
      </c>
      <c r="W90" s="77">
        <v>0</v>
      </c>
      <c r="X90" s="116">
        <v>0</v>
      </c>
      <c r="Y90" s="77">
        <f>X90*Valores!$C$2*1.006901</f>
        <v>0</v>
      </c>
      <c r="Z90" s="77">
        <v>0</v>
      </c>
      <c r="AA90" s="89">
        <f>Valores!$C$29</f>
        <v>132.58872368000002</v>
      </c>
      <c r="AB90" s="77">
        <f t="shared" si="15"/>
        <v>0</v>
      </c>
      <c r="AC90" s="77">
        <f>Valores!$C$30</f>
        <v>132.59</v>
      </c>
      <c r="AD90" s="116">
        <v>0</v>
      </c>
      <c r="AE90" s="77">
        <f>AD90*Valores!$C$2*1.006901</f>
        <v>0</v>
      </c>
      <c r="AF90" s="77">
        <f>Valores!$C$51</f>
        <v>269.71857087000001</v>
      </c>
      <c r="AG90" s="77">
        <f>Valores!$C$52</f>
        <v>77.068202540000016</v>
      </c>
      <c r="AH90" s="77">
        <f>SUM(G90,I90,K90,M90,N90,O90,P90,Q90,R90,S90,U90,V90,W90,Y90,Z90,AA90,AB90,AC90,AE90,AF90,AG90)*Valores!$C$54</f>
        <v>0</v>
      </c>
      <c r="AI90" s="15">
        <f t="shared" si="19"/>
        <v>23528.702870503501</v>
      </c>
      <c r="AJ90" s="78">
        <f>Valores!$C$35</f>
        <v>216.04</v>
      </c>
      <c r="AK90" s="79">
        <f>Valores!$C$8</f>
        <v>205.50849410000001</v>
      </c>
      <c r="AL90" s="89">
        <v>113.02463725000001</v>
      </c>
      <c r="AM90" s="79">
        <f>IF($G$4="SI",SUM(AK90+AL90),AK90)*Valores!$C$54</f>
        <v>0</v>
      </c>
      <c r="AN90" s="12">
        <f t="shared" si="16"/>
        <v>534.57313135000004</v>
      </c>
      <c r="AO90" s="151">
        <f>AI90*-Valores!$C$56</f>
        <v>-3058.7313731654554</v>
      </c>
      <c r="AP90" s="151">
        <f>AI90*-Valores!$C$57</f>
        <v>-117.64351435251751</v>
      </c>
      <c r="AQ90" s="78">
        <f>AI90*-Valores!$C$58</f>
        <v>-1058.7916291726574</v>
      </c>
      <c r="AR90" s="78">
        <f>AI90*-Valores!$C$59</f>
        <v>-635.27497750359464</v>
      </c>
      <c r="AS90" s="78">
        <f>AI90*-Valores!$C$60</f>
        <v>-70.586108611510511</v>
      </c>
      <c r="AT90" s="15">
        <f t="shared" si="17"/>
        <v>19828.109485162873</v>
      </c>
      <c r="AU90" s="15">
        <f t="shared" si="18"/>
        <v>20181.040028220425</v>
      </c>
      <c r="AV90" s="78">
        <f>AI90*Valores!$C$61</f>
        <v>3764.5924592805604</v>
      </c>
      <c r="AW90" s="78">
        <f>AI90*Valores!$C$62</f>
        <v>1058.7916291726574</v>
      </c>
      <c r="AX90" s="78">
        <f>AI90*Valores!$C$64</f>
        <v>235.28702870503503</v>
      </c>
      <c r="AY90" s="78">
        <f>AI90*Valores!$C$65</f>
        <v>823.50460046762259</v>
      </c>
      <c r="AZ90" s="78">
        <f>AI90*Valores!$C$66</f>
        <v>141.17221722302102</v>
      </c>
      <c r="BA90" s="78">
        <f t="shared" si="20"/>
        <v>1270.5499550071891</v>
      </c>
      <c r="BB90" s="20"/>
      <c r="BC90" s="20">
        <v>25</v>
      </c>
      <c r="BD90" s="9" t="s">
        <v>467</v>
      </c>
    </row>
    <row r="91" spans="1:56" s="9" customFormat="1" ht="11.25" customHeight="1" x14ac:dyDescent="0.15">
      <c r="A91" s="55">
        <v>90</v>
      </c>
      <c r="B91" s="55" t="s">
        <v>462</v>
      </c>
      <c r="C91" s="52" t="s">
        <v>160</v>
      </c>
      <c r="D91" s="52"/>
      <c r="E91" s="53" t="s">
        <v>516</v>
      </c>
      <c r="F91" s="124">
        <v>187</v>
      </c>
      <c r="G91" s="7">
        <f>INT((F91*Valores!$C$2*100*1.006901)+0.5)/100</f>
        <v>984.16</v>
      </c>
      <c r="H91" s="114">
        <v>1704</v>
      </c>
      <c r="I91" s="77">
        <f>INT((H91*Valores!$C$2*100*1.006901)+0.5)/100</f>
        <v>8967.93</v>
      </c>
      <c r="J91" s="146">
        <v>0</v>
      </c>
      <c r="K91" s="77">
        <f>INT((J91*Valores!$C$2*100*1.006901)+0.5)/100</f>
        <v>0</v>
      </c>
      <c r="L91" s="121">
        <v>0</v>
      </c>
      <c r="M91" s="77">
        <f>INT((L91*Valores!$C$2*100*1.006901)+0.5)/100</f>
        <v>0</v>
      </c>
      <c r="N91" s="80">
        <f>IF($I$2=0,IF(C91&lt;&gt;"13-930",(SUM(G91,I91,K91,M91,Y91,T91,S91)*$N$2),0),0)</f>
        <v>1947.5335157535001</v>
      </c>
      <c r="O91" s="80">
        <f>SUM(G91,I91,K91,M91,Y91,S91)*$I$2</f>
        <v>0</v>
      </c>
      <c r="P91" s="81">
        <f>Valores!$C$16</f>
        <v>3262.4095850500003</v>
      </c>
      <c r="Q91" s="81">
        <f>Valores!$D$4</f>
        <v>2354.08</v>
      </c>
      <c r="R91" s="80">
        <f>Valores!$C$26</f>
        <v>2369.1575009200001</v>
      </c>
      <c r="S91" s="82">
        <f>Valores!$C$42</f>
        <v>764.36875613000007</v>
      </c>
      <c r="T91" s="80">
        <f>Valores!$C$23</f>
        <v>2267.09801556</v>
      </c>
      <c r="U91" s="80">
        <f>T91*(1+$I$2)</f>
        <v>2267.09801556</v>
      </c>
      <c r="V91" s="80">
        <v>0</v>
      </c>
      <c r="W91" s="80">
        <v>0</v>
      </c>
      <c r="X91" s="115">
        <v>0</v>
      </c>
      <c r="Y91" s="77">
        <f>X91*Valores!$C$2*1.006901</f>
        <v>0</v>
      </c>
      <c r="Z91" s="80">
        <v>0</v>
      </c>
      <c r="AA91" s="90">
        <f>Valores!$C$29</f>
        <v>132.58872368000002</v>
      </c>
      <c r="AB91" s="80">
        <f t="shared" si="15"/>
        <v>0</v>
      </c>
      <c r="AC91" s="80">
        <f>Valores!$C$30</f>
        <v>132.59</v>
      </c>
      <c r="AD91" s="115">
        <v>19</v>
      </c>
      <c r="AE91" s="77">
        <f>AD91*Valores!$C$2*1.006901</f>
        <v>99.994532789200008</v>
      </c>
      <c r="AF91" s="80">
        <f>Valores!$C$51</f>
        <v>269.71857087000001</v>
      </c>
      <c r="AG91" s="80">
        <f>Valores!$C$52</f>
        <v>77.068202540000016</v>
      </c>
      <c r="AH91" s="80">
        <f>SUM(G91,I91,K91,M91,N91,O91,P91,Q91,R91,S91,U91,V91,W91,Y91,Z91,AA91,AB91,AC91,AE91,AF91,AG91)*Valores!$C$54</f>
        <v>0</v>
      </c>
      <c r="AI91" s="54">
        <f t="shared" si="19"/>
        <v>23628.697403292699</v>
      </c>
      <c r="AJ91" s="81">
        <f>Valores!$C$35</f>
        <v>216.04</v>
      </c>
      <c r="AK91" s="82">
        <f>Valores!$C$8</f>
        <v>205.50849410000001</v>
      </c>
      <c r="AL91" s="90">
        <v>113.02463725000001</v>
      </c>
      <c r="AM91" s="82">
        <f>IF($G$4="SI",SUM(AK91+AL91),AK91)*Valores!$C$54</f>
        <v>0</v>
      </c>
      <c r="AN91" s="184">
        <f t="shared" si="16"/>
        <v>534.57313135000004</v>
      </c>
      <c r="AO91" s="152">
        <f>AI91*-Valores!$C$56</f>
        <v>-3071.7306624280509</v>
      </c>
      <c r="AP91" s="152">
        <f>AI91*-Valores!$C$57</f>
        <v>-118.1434870164635</v>
      </c>
      <c r="AQ91" s="81">
        <f>AI91*-Valores!$C$58</f>
        <v>-1063.2913831481715</v>
      </c>
      <c r="AR91" s="81">
        <f>AI91*-Valores!$C$59</f>
        <v>-637.97482988890295</v>
      </c>
      <c r="AS91" s="81">
        <f>AI91*-Valores!$C$60</f>
        <v>-70.8860922098781</v>
      </c>
      <c r="AT91" s="54">
        <f t="shared" si="17"/>
        <v>19910.105002050015</v>
      </c>
      <c r="AU91" s="54">
        <f t="shared" si="18"/>
        <v>20264.535463099404</v>
      </c>
      <c r="AV91" s="81">
        <f>AI91*Valores!$C$61</f>
        <v>3780.5915845268319</v>
      </c>
      <c r="AW91" s="81">
        <f>AI91*Valores!$C$62</f>
        <v>1063.2913831481715</v>
      </c>
      <c r="AX91" s="81">
        <f>AI91*Valores!$C$64</f>
        <v>236.28697403292699</v>
      </c>
      <c r="AY91" s="81">
        <f>AI91*Valores!$C$65</f>
        <v>827.00440911524458</v>
      </c>
      <c r="AZ91" s="81">
        <f>AI91*Valores!$C$66</f>
        <v>141.7721844197562</v>
      </c>
      <c r="BA91" s="81">
        <f t="shared" si="20"/>
        <v>1275.9496597778059</v>
      </c>
      <c r="BB91" s="55"/>
      <c r="BC91" s="55">
        <v>25</v>
      </c>
      <c r="BD91" s="52" t="s">
        <v>467</v>
      </c>
    </row>
    <row r="92" spans="1:56" s="9" customFormat="1" ht="11.25" customHeight="1" x14ac:dyDescent="0.15">
      <c r="A92" s="20">
        <v>91</v>
      </c>
      <c r="B92" s="20"/>
      <c r="C92" s="9" t="s">
        <v>162</v>
      </c>
      <c r="E92" s="10" t="s">
        <v>163</v>
      </c>
      <c r="F92" s="123">
        <v>161</v>
      </c>
      <c r="G92" s="7">
        <f>INT((F92*Valores!$C$2*100*1.006901)+0.5)/100</f>
        <v>847.32</v>
      </c>
      <c r="H92" s="113">
        <f>1480</f>
        <v>1480</v>
      </c>
      <c r="I92" s="77">
        <f>INT((H92*Valores!$C$2*100*1.006901)+0.5)/100</f>
        <v>7789.05</v>
      </c>
      <c r="J92" s="145">
        <v>0</v>
      </c>
      <c r="K92" s="77">
        <f>INT((J92*Valores!$C$2*100*1.006901)+0.5)/100</f>
        <v>0</v>
      </c>
      <c r="L92" s="120">
        <v>0</v>
      </c>
      <c r="M92" s="77">
        <f>INT((L92*Valores!$C$2*100*1.006901)+0.5)/100</f>
        <v>0</v>
      </c>
      <c r="N92" s="77">
        <f t="shared" si="13"/>
        <v>1750.1755157534999</v>
      </c>
      <c r="O92" s="77">
        <f t="shared" si="14"/>
        <v>0</v>
      </c>
      <c r="P92" s="78">
        <f>Valores!$C$16</f>
        <v>3262.4095850500003</v>
      </c>
      <c r="Q92" s="78">
        <f>Valores!$D$4</f>
        <v>2354.08</v>
      </c>
      <c r="R92" s="61">
        <f>Valores!$C$26</f>
        <v>2369.1575009200001</v>
      </c>
      <c r="S92" s="87">
        <f>Valores!$C$42</f>
        <v>764.36875613000007</v>
      </c>
      <c r="T92" s="77">
        <f>Valores!$C$23</f>
        <v>2267.09801556</v>
      </c>
      <c r="U92" s="77">
        <f t="shared" si="12"/>
        <v>2267.09801556</v>
      </c>
      <c r="V92" s="77">
        <v>0</v>
      </c>
      <c r="W92" s="77">
        <v>0</v>
      </c>
      <c r="X92" s="116">
        <v>0</v>
      </c>
      <c r="Y92" s="77">
        <f>X92*Valores!$C$2*1.006901</f>
        <v>0</v>
      </c>
      <c r="Z92" s="77">
        <v>0</v>
      </c>
      <c r="AA92" s="89">
        <f>Valores!$C$29</f>
        <v>132.58872368000002</v>
      </c>
      <c r="AB92" s="77">
        <f t="shared" si="15"/>
        <v>0</v>
      </c>
      <c r="AC92" s="77">
        <f>Valores!$C$30</f>
        <v>132.59</v>
      </c>
      <c r="AD92" s="116">
        <v>0</v>
      </c>
      <c r="AE92" s="77">
        <f>AD92*Valores!$C$2*1.006901</f>
        <v>0</v>
      </c>
      <c r="AF92" s="77">
        <f>Valores!$C$51</f>
        <v>269.71857087000001</v>
      </c>
      <c r="AG92" s="77">
        <f>Valores!$C$52</f>
        <v>77.068202540000016</v>
      </c>
      <c r="AH92" s="77">
        <f>SUM(G92,I92,K92,M92,N92,O92,P92,Q92,R92,S92,U92,V92,W92,Y92,Z92,AA92,AB92,AC92,AE92,AF92,AG92)*Valores!$C$54</f>
        <v>0</v>
      </c>
      <c r="AI92" s="15">
        <f t="shared" si="19"/>
        <v>22015.6248705035</v>
      </c>
      <c r="AJ92" s="78">
        <f>Valores!$C$35</f>
        <v>216.04</v>
      </c>
      <c r="AK92" s="79">
        <f>Valores!$C$8</f>
        <v>205.50849410000001</v>
      </c>
      <c r="AL92" s="89">
        <v>113.02463725000001</v>
      </c>
      <c r="AM92" s="79">
        <f>IF($G$4="SI",SUM(AK92+AL92),AK92)*Valores!$C$54</f>
        <v>0</v>
      </c>
      <c r="AN92" s="12">
        <f t="shared" si="16"/>
        <v>534.57313135000004</v>
      </c>
      <c r="AO92" s="151">
        <f>AI92*-Valores!$C$56</f>
        <v>-2862.031233165455</v>
      </c>
      <c r="AP92" s="151">
        <f>AI92*-Valores!$C$57</f>
        <v>-110.07812435251751</v>
      </c>
      <c r="AQ92" s="78">
        <f>AI92*-Valores!$C$58</f>
        <v>-990.70311917265747</v>
      </c>
      <c r="AR92" s="78">
        <f>AI92*-Valores!$C$59</f>
        <v>-594.4218715035945</v>
      </c>
      <c r="AS92" s="78">
        <f>AI92*-Valores!$C$60</f>
        <v>-66.046874611510503</v>
      </c>
      <c r="AT92" s="15">
        <f t="shared" si="17"/>
        <v>18587.38552516287</v>
      </c>
      <c r="AU92" s="15">
        <f t="shared" si="18"/>
        <v>18917.619898220426</v>
      </c>
      <c r="AV92" s="78">
        <f>AI92*Valores!$C$61</f>
        <v>3522.4999792805602</v>
      </c>
      <c r="AW92" s="78">
        <f>AI92*Valores!$C$62</f>
        <v>990.70311917265747</v>
      </c>
      <c r="AX92" s="78">
        <f>AI92*Valores!$C$64</f>
        <v>220.15624870503501</v>
      </c>
      <c r="AY92" s="78">
        <f>AI92*Valores!$C$65</f>
        <v>770.54687046762251</v>
      </c>
      <c r="AZ92" s="78">
        <f>AI92*Valores!$C$66</f>
        <v>132.09374922302101</v>
      </c>
      <c r="BA92" s="78">
        <f t="shared" si="20"/>
        <v>1188.843743007189</v>
      </c>
      <c r="BB92" s="20"/>
      <c r="BC92" s="20">
        <v>25</v>
      </c>
      <c r="BD92" s="9" t="s">
        <v>467</v>
      </c>
    </row>
    <row r="93" spans="1:56" s="9" customFormat="1" ht="11.25" customHeight="1" x14ac:dyDescent="0.15">
      <c r="A93" s="20">
        <v>92</v>
      </c>
      <c r="B93" s="20"/>
      <c r="C93" s="9" t="s">
        <v>162</v>
      </c>
      <c r="E93" s="10" t="s">
        <v>517</v>
      </c>
      <c r="F93" s="123">
        <v>161</v>
      </c>
      <c r="G93" s="7">
        <f>INT((F93*Valores!$C$2*100*1.006901)+0.5)/100</f>
        <v>847.32</v>
      </c>
      <c r="H93" s="113">
        <f>1480</f>
        <v>1480</v>
      </c>
      <c r="I93" s="77">
        <f>INT((H93*Valores!$C$2*100*1.006901)+0.5)/100</f>
        <v>7789.05</v>
      </c>
      <c r="J93" s="145">
        <v>0</v>
      </c>
      <c r="K93" s="77">
        <f>INT((J93*Valores!$C$2*100*1.006901)+0.5)/100</f>
        <v>0</v>
      </c>
      <c r="L93" s="120">
        <v>0</v>
      </c>
      <c r="M93" s="77">
        <f>INT((L93*Valores!$C$2*100*1.006901)+0.5)/100</f>
        <v>0</v>
      </c>
      <c r="N93" s="77">
        <f>IF($I$2=0,IF(C93&lt;&gt;"13-930",(SUM(G93,I93,K93,M93,Y93,T93,S93)*$N$2),0),0)</f>
        <v>1750.1755157534999</v>
      </c>
      <c r="O93" s="77">
        <f>SUM(G93,I93,K93,M93,Y93,S93)*$I$2</f>
        <v>0</v>
      </c>
      <c r="P93" s="78">
        <f>Valores!$C$16</f>
        <v>3262.4095850500003</v>
      </c>
      <c r="Q93" s="78">
        <f>Valores!$D$4</f>
        <v>2354.08</v>
      </c>
      <c r="R93" s="61">
        <f>Valores!$C$26</f>
        <v>2369.1575009200001</v>
      </c>
      <c r="S93" s="87">
        <f>Valores!$C$42</f>
        <v>764.36875613000007</v>
      </c>
      <c r="T93" s="77">
        <f>Valores!$C$23</f>
        <v>2267.09801556</v>
      </c>
      <c r="U93" s="77">
        <f>T93*(1+$I$2)</f>
        <v>2267.09801556</v>
      </c>
      <c r="V93" s="77">
        <v>0</v>
      </c>
      <c r="W93" s="77">
        <v>0</v>
      </c>
      <c r="X93" s="116">
        <v>0</v>
      </c>
      <c r="Y93" s="77">
        <f>X93*Valores!$C$2*1.006901</f>
        <v>0</v>
      </c>
      <c r="Z93" s="77">
        <v>0</v>
      </c>
      <c r="AA93" s="89">
        <f>Valores!$C$29</f>
        <v>132.58872368000002</v>
      </c>
      <c r="AB93" s="77">
        <f t="shared" si="15"/>
        <v>0</v>
      </c>
      <c r="AC93" s="77">
        <f>Valores!$C$30</f>
        <v>132.59</v>
      </c>
      <c r="AD93" s="116">
        <v>19</v>
      </c>
      <c r="AE93" s="77">
        <f>AD93*Valores!$C$2*1.006901</f>
        <v>99.994532789200008</v>
      </c>
      <c r="AF93" s="77">
        <f>Valores!$C$51</f>
        <v>269.71857087000001</v>
      </c>
      <c r="AG93" s="77">
        <f>Valores!$C$52</f>
        <v>77.068202540000016</v>
      </c>
      <c r="AH93" s="77">
        <f>SUM(G93,I93,K93,M93,N93,O93,P93,Q93,R93,S93,U93,V93,W93,Y93,Z93,AA93,AB93,AC93,AE93,AF93,AG93)*Valores!$C$54</f>
        <v>0</v>
      </c>
      <c r="AI93" s="15">
        <f t="shared" si="19"/>
        <v>22115.619403292698</v>
      </c>
      <c r="AJ93" s="78">
        <f>Valores!$C$35</f>
        <v>216.04</v>
      </c>
      <c r="AK93" s="79">
        <f>Valores!$C$8</f>
        <v>205.50849410000001</v>
      </c>
      <c r="AL93" s="89">
        <v>113.02463725000001</v>
      </c>
      <c r="AM93" s="79">
        <f>IF($G$4="SI",SUM(AK93+AL93),AK93)*Valores!$C$54</f>
        <v>0</v>
      </c>
      <c r="AN93" s="12">
        <f t="shared" si="16"/>
        <v>534.57313135000004</v>
      </c>
      <c r="AO93" s="151">
        <f>AI93*-Valores!$C$56</f>
        <v>-2875.030522428051</v>
      </c>
      <c r="AP93" s="151">
        <f>AI93*-Valores!$C$57</f>
        <v>-110.57809701646349</v>
      </c>
      <c r="AQ93" s="78">
        <f>AI93*-Valores!$C$58</f>
        <v>-995.20287314817142</v>
      </c>
      <c r="AR93" s="78">
        <f>AI93*-Valores!$C$59</f>
        <v>-597.12172388890292</v>
      </c>
      <c r="AS93" s="78">
        <f>AI93*-Valores!$C$60</f>
        <v>-66.346858209878093</v>
      </c>
      <c r="AT93" s="15">
        <f t="shared" si="17"/>
        <v>18669.381042050009</v>
      </c>
      <c r="AU93" s="15">
        <f t="shared" si="18"/>
        <v>19001.115333099398</v>
      </c>
      <c r="AV93" s="78">
        <f>AI93*Valores!$C$61</f>
        <v>3538.4991045268316</v>
      </c>
      <c r="AW93" s="78">
        <f>AI93*Valores!$C$62</f>
        <v>995.20287314817142</v>
      </c>
      <c r="AX93" s="78">
        <f>AI93*Valores!$C$64</f>
        <v>221.15619403292698</v>
      </c>
      <c r="AY93" s="78">
        <f>AI93*Valores!$C$65</f>
        <v>774.0466791152445</v>
      </c>
      <c r="AZ93" s="78">
        <f>AI93*Valores!$C$66</f>
        <v>132.69371641975619</v>
      </c>
      <c r="BA93" s="78">
        <f t="shared" si="20"/>
        <v>1194.2434477778056</v>
      </c>
      <c r="BB93" s="20"/>
      <c r="BC93" s="20">
        <v>25</v>
      </c>
      <c r="BD93" s="9" t="s">
        <v>467</v>
      </c>
    </row>
    <row r="94" spans="1:56" s="9" customFormat="1" ht="11.25" customHeight="1" x14ac:dyDescent="0.15">
      <c r="A94" s="20">
        <v>93</v>
      </c>
      <c r="B94" s="20"/>
      <c r="C94" s="9" t="s">
        <v>164</v>
      </c>
      <c r="E94" s="10" t="s">
        <v>165</v>
      </c>
      <c r="F94" s="123">
        <v>179</v>
      </c>
      <c r="G94" s="7">
        <f>INT((F94*Valores!$C$2*100*1.006901)+0.5)/100</f>
        <v>942.05</v>
      </c>
      <c r="H94" s="113">
        <v>1712</v>
      </c>
      <c r="I94" s="77">
        <f>INT((H94*Valores!$C$2*100*1.006901)+0.5)/100</f>
        <v>9010.0300000000007</v>
      </c>
      <c r="J94" s="145">
        <v>0</v>
      </c>
      <c r="K94" s="77">
        <f>INT((J94*Valores!$C$2*100*1.006901)+0.5)/100</f>
        <v>0</v>
      </c>
      <c r="L94" s="120">
        <v>0</v>
      </c>
      <c r="M94" s="77">
        <f>INT((L94*Valores!$C$2*100*1.006901)+0.5)/100</f>
        <v>0</v>
      </c>
      <c r="N94" s="77">
        <f t="shared" si="13"/>
        <v>1947.5320157534998</v>
      </c>
      <c r="O94" s="77">
        <f t="shared" si="14"/>
        <v>0</v>
      </c>
      <c r="P94" s="78">
        <f>Valores!$C$16</f>
        <v>3262.4095850500003</v>
      </c>
      <c r="Q94" s="78">
        <f>Valores!$D$4</f>
        <v>2354.08</v>
      </c>
      <c r="R94" s="61">
        <f>Valores!$C$26</f>
        <v>2369.1575009200001</v>
      </c>
      <c r="S94" s="87">
        <f>Valores!$C$42</f>
        <v>764.36875613000007</v>
      </c>
      <c r="T94" s="77">
        <f>Valores!$C$23</f>
        <v>2267.09801556</v>
      </c>
      <c r="U94" s="77">
        <f t="shared" si="12"/>
        <v>2267.09801556</v>
      </c>
      <c r="V94" s="77">
        <v>0</v>
      </c>
      <c r="W94" s="77">
        <v>0</v>
      </c>
      <c r="X94" s="116">
        <v>0</v>
      </c>
      <c r="Y94" s="77">
        <f>X94*Valores!$C$2*1.006901</f>
        <v>0</v>
      </c>
      <c r="Z94" s="77">
        <v>0</v>
      </c>
      <c r="AA94" s="89">
        <f>Valores!$C$29</f>
        <v>132.58872368000002</v>
      </c>
      <c r="AB94" s="77">
        <f t="shared" si="15"/>
        <v>0</v>
      </c>
      <c r="AC94" s="77">
        <f>Valores!$C$30</f>
        <v>132.59</v>
      </c>
      <c r="AD94" s="116">
        <v>0</v>
      </c>
      <c r="AE94" s="77">
        <f>AD94*Valores!$C$2*1.006901</f>
        <v>0</v>
      </c>
      <c r="AF94" s="77">
        <f>Valores!$C$51</f>
        <v>269.71857087000001</v>
      </c>
      <c r="AG94" s="77">
        <f>Valores!$C$52</f>
        <v>77.068202540000016</v>
      </c>
      <c r="AH94" s="77">
        <f>SUM(G94,I94,K94,M94,N94,O94,P94,Q94,R94,S94,U94,V94,W94,Y94,Z94,AA94,AB94,AC94,AE94,AF94,AG94)*Valores!$C$54</f>
        <v>0</v>
      </c>
      <c r="AI94" s="15">
        <f t="shared" si="19"/>
        <v>23528.6913705035</v>
      </c>
      <c r="AJ94" s="78">
        <f>Valores!$C$35</f>
        <v>216.04</v>
      </c>
      <c r="AK94" s="79">
        <f>Valores!$C$8</f>
        <v>205.50849410000001</v>
      </c>
      <c r="AL94" s="89">
        <v>113.02463725000001</v>
      </c>
      <c r="AM94" s="79">
        <f>IF($G$4="SI",SUM(AK94+AL94),AK94)*Valores!$C$54</f>
        <v>0</v>
      </c>
      <c r="AN94" s="12">
        <f t="shared" si="16"/>
        <v>534.57313135000004</v>
      </c>
      <c r="AO94" s="151">
        <f>AI94*-Valores!$C$56</f>
        <v>-3058.7298781654554</v>
      </c>
      <c r="AP94" s="151">
        <f>AI94*-Valores!$C$57</f>
        <v>-117.6434568525175</v>
      </c>
      <c r="AQ94" s="78">
        <f>AI94*-Valores!$C$58</f>
        <v>-1058.7911116726575</v>
      </c>
      <c r="AR94" s="78">
        <f>AI94*-Valores!$C$59</f>
        <v>-635.27466700359457</v>
      </c>
      <c r="AS94" s="78">
        <f>AI94*-Valores!$C$60</f>
        <v>-70.586074111510499</v>
      </c>
      <c r="AT94" s="15">
        <f t="shared" si="17"/>
        <v>19828.100055162868</v>
      </c>
      <c r="AU94" s="15">
        <f t="shared" si="18"/>
        <v>20181.030425720419</v>
      </c>
      <c r="AV94" s="78">
        <f>AI94*Valores!$C$61</f>
        <v>3764.5906192805601</v>
      </c>
      <c r="AW94" s="78">
        <f>AI94*Valores!$C$62</f>
        <v>1058.7911116726575</v>
      </c>
      <c r="AX94" s="78">
        <f>AI94*Valores!$C$64</f>
        <v>235.286913705035</v>
      </c>
      <c r="AY94" s="78">
        <f>AI94*Valores!$C$65</f>
        <v>823.50419796762264</v>
      </c>
      <c r="AZ94" s="78">
        <f>AI94*Valores!$C$66</f>
        <v>141.172148223021</v>
      </c>
      <c r="BA94" s="78">
        <f t="shared" si="20"/>
        <v>1270.5493340071891</v>
      </c>
      <c r="BB94" s="20"/>
      <c r="BC94" s="55">
        <v>25</v>
      </c>
      <c r="BD94" s="9" t="s">
        <v>467</v>
      </c>
    </row>
    <row r="95" spans="1:56" s="9" customFormat="1" ht="11.25" customHeight="1" x14ac:dyDescent="0.15">
      <c r="A95" s="20">
        <v>94</v>
      </c>
      <c r="B95" s="20"/>
      <c r="C95" s="9" t="s">
        <v>166</v>
      </c>
      <c r="E95" s="10" t="s">
        <v>167</v>
      </c>
      <c r="F95" s="123">
        <v>64</v>
      </c>
      <c r="G95" s="7">
        <f>INT((F95*Valores!$C$2*100*1.006901)+0.5)/100</f>
        <v>336.82</v>
      </c>
      <c r="H95" s="113">
        <v>2086</v>
      </c>
      <c r="I95" s="77">
        <f>INT((H95*Valores!$C$2*100*1.006901)+0.5)/100</f>
        <v>10978.35</v>
      </c>
      <c r="J95" s="145">
        <v>0</v>
      </c>
      <c r="K95" s="77">
        <f>INT((J95*Valores!$C$2*100*1.006901)+0.5)/100</f>
        <v>0</v>
      </c>
      <c r="L95" s="120">
        <v>0</v>
      </c>
      <c r="M95" s="77">
        <f>INT((L95*Valores!$C$2*100*1.006901)+0.5)/100</f>
        <v>0</v>
      </c>
      <c r="N95" s="77">
        <f t="shared" si="13"/>
        <v>2151.9955157534996</v>
      </c>
      <c r="O95" s="77">
        <f t="shared" si="14"/>
        <v>0</v>
      </c>
      <c r="P95" s="78">
        <f>Valores!$C$16</f>
        <v>3262.4095850500003</v>
      </c>
      <c r="Q95" s="78">
        <f>Valores!$D$4</f>
        <v>2354.08</v>
      </c>
      <c r="R95" s="61">
        <f>Valores!$C$26</f>
        <v>2369.1575009200001</v>
      </c>
      <c r="S95" s="87">
        <f>Valores!$C$42</f>
        <v>764.36875613000007</v>
      </c>
      <c r="T95" s="77">
        <f>Valores!$C$23</f>
        <v>2267.09801556</v>
      </c>
      <c r="U95" s="77">
        <f t="shared" si="12"/>
        <v>2267.09801556</v>
      </c>
      <c r="V95" s="77">
        <v>0</v>
      </c>
      <c r="W95" s="77">
        <v>0</v>
      </c>
      <c r="X95" s="116">
        <v>0</v>
      </c>
      <c r="Y95" s="77">
        <f>X95*Valores!$C$2*1.006901</f>
        <v>0</v>
      </c>
      <c r="Z95" s="77">
        <v>0</v>
      </c>
      <c r="AA95" s="89">
        <f>Valores!$C$29</f>
        <v>132.58872368000002</v>
      </c>
      <c r="AB95" s="77">
        <f t="shared" si="15"/>
        <v>0</v>
      </c>
      <c r="AC95" s="77">
        <f>Valores!$C$30</f>
        <v>132.59</v>
      </c>
      <c r="AD95" s="116">
        <v>0</v>
      </c>
      <c r="AE95" s="77">
        <f>AD95*Valores!$C$2*1.006901</f>
        <v>0</v>
      </c>
      <c r="AF95" s="77">
        <f>Valores!$C$51</f>
        <v>269.71857087000001</v>
      </c>
      <c r="AG95" s="77">
        <f>Valores!$C$52</f>
        <v>77.068202540000016</v>
      </c>
      <c r="AH95" s="77">
        <f>SUM(G95,I95,K95,M95,N95,O95,P95,Q95,R95,S95,U95,V95,W95,Y95,Z95,AA95,AB95,AC95,AE95,AF95,AG95)*Valores!$C$54</f>
        <v>0</v>
      </c>
      <c r="AI95" s="15">
        <f t="shared" si="19"/>
        <v>25096.244870503502</v>
      </c>
      <c r="AJ95" s="78">
        <f>Valores!$C$35</f>
        <v>216.04</v>
      </c>
      <c r="AK95" s="79">
        <f>Valores!$C$8</f>
        <v>205.50849410000001</v>
      </c>
      <c r="AL95" s="89">
        <v>0</v>
      </c>
      <c r="AM95" s="79">
        <f>IF($G$4="SI",SUM(AK95+AL95),AK95)*Valores!$C$54</f>
        <v>0</v>
      </c>
      <c r="AN95" s="12">
        <f t="shared" si="16"/>
        <v>421.54849409999997</v>
      </c>
      <c r="AO95" s="151">
        <f>AI95*-Valores!$C$56</f>
        <v>-3262.5118331654553</v>
      </c>
      <c r="AP95" s="151">
        <f>AI95*-Valores!$C$57</f>
        <v>-125.48122435251751</v>
      </c>
      <c r="AQ95" s="78">
        <f>AI95*-Valores!$C$58</f>
        <v>-1129.3310191726575</v>
      </c>
      <c r="AR95" s="78">
        <f>AI95*-Valores!$C$59</f>
        <v>-677.59861150359461</v>
      </c>
      <c r="AS95" s="78">
        <f>AI95*-Valores!$C$60</f>
        <v>-75.288734611510506</v>
      </c>
      <c r="AT95" s="15">
        <f t="shared" si="17"/>
        <v>21000.469287912874</v>
      </c>
      <c r="AU95" s="15">
        <f t="shared" si="18"/>
        <v>21376.912960970425</v>
      </c>
      <c r="AV95" s="78">
        <f>AI95*Valores!$C$61</f>
        <v>4015.3991792805605</v>
      </c>
      <c r="AW95" s="78">
        <f>AI95*Valores!$C$62</f>
        <v>1129.3310191726575</v>
      </c>
      <c r="AX95" s="78">
        <f>AI95*Valores!$C$64</f>
        <v>250.96244870503503</v>
      </c>
      <c r="AY95" s="78">
        <f>AI95*Valores!$C$65</f>
        <v>878.3685704676227</v>
      </c>
      <c r="AZ95" s="78">
        <f>AI95*Valores!$C$66</f>
        <v>150.57746922302101</v>
      </c>
      <c r="BA95" s="78">
        <f t="shared" si="20"/>
        <v>1355.1972230071892</v>
      </c>
      <c r="BB95" s="20"/>
      <c r="BC95" s="20">
        <v>25</v>
      </c>
      <c r="BD95" s="9" t="s">
        <v>467</v>
      </c>
    </row>
    <row r="96" spans="1:56" s="9" customFormat="1" ht="11.25" customHeight="1" x14ac:dyDescent="0.15">
      <c r="A96" s="55">
        <v>95</v>
      </c>
      <c r="B96" s="55" t="s">
        <v>462</v>
      </c>
      <c r="C96" s="52" t="s">
        <v>168</v>
      </c>
      <c r="D96" s="52"/>
      <c r="E96" s="53" t="s">
        <v>169</v>
      </c>
      <c r="F96" s="124">
        <v>89</v>
      </c>
      <c r="G96" s="7">
        <f>INT((F96*Valores!$C$2*100*1.006901)+0.5)/100</f>
        <v>468.4</v>
      </c>
      <c r="H96" s="114">
        <v>2481</v>
      </c>
      <c r="I96" s="77">
        <f>INT((H96*Valores!$C$2*100*1.006901)+0.5)/100</f>
        <v>13057.18</v>
      </c>
      <c r="J96" s="146">
        <v>0</v>
      </c>
      <c r="K96" s="77">
        <f>INT((J96*Valores!$C$2*100*1.006901)+0.5)/100</f>
        <v>0</v>
      </c>
      <c r="L96" s="121">
        <v>0</v>
      </c>
      <c r="M96" s="77">
        <f>INT((L96*Valores!$C$2*100*1.006901)+0.5)/100</f>
        <v>0</v>
      </c>
      <c r="N96" s="80">
        <f t="shared" si="13"/>
        <v>2483.5570157534999</v>
      </c>
      <c r="O96" s="80">
        <f t="shared" si="14"/>
        <v>0</v>
      </c>
      <c r="P96" s="81">
        <f>Valores!$C$15</f>
        <v>3241.8587356399998</v>
      </c>
      <c r="Q96" s="81">
        <f>Valores!$D$4</f>
        <v>2354.08</v>
      </c>
      <c r="R96" s="80">
        <v>0</v>
      </c>
      <c r="S96" s="82">
        <f>Valores!$C$42</f>
        <v>764.36875613000007</v>
      </c>
      <c r="T96" s="80">
        <f>Valores!$C$23</f>
        <v>2267.09801556</v>
      </c>
      <c r="U96" s="80">
        <f t="shared" si="12"/>
        <v>2267.09801556</v>
      </c>
      <c r="V96" s="80">
        <v>0</v>
      </c>
      <c r="W96" s="80">
        <v>0</v>
      </c>
      <c r="X96" s="115">
        <v>0</v>
      </c>
      <c r="Y96" s="77">
        <f>X96*Valores!$C$2*1.006901</f>
        <v>0</v>
      </c>
      <c r="Z96" s="80">
        <v>0</v>
      </c>
      <c r="AA96" s="90">
        <f>Valores!$C$29</f>
        <v>132.58872368000002</v>
      </c>
      <c r="AB96" s="80">
        <f t="shared" si="15"/>
        <v>0</v>
      </c>
      <c r="AC96" s="80">
        <f>Valores!$C$30</f>
        <v>132.59</v>
      </c>
      <c r="AD96" s="115">
        <v>0</v>
      </c>
      <c r="AE96" s="77">
        <f>AD96*Valores!$C$2*1.006901</f>
        <v>0</v>
      </c>
      <c r="AF96" s="80">
        <f>Valores!$C$51</f>
        <v>269.71857087000001</v>
      </c>
      <c r="AG96" s="80">
        <f>Valores!$C$52</f>
        <v>77.068202540000016</v>
      </c>
      <c r="AH96" s="80">
        <f>SUM(G96,I96,K96,M96,N96,O96,P96,Q96,R96,S96,U96,V96,W96,Y96,Z96,AA96,AB96,AC96,AE96,AF96,AG96)*Valores!$C$54</f>
        <v>0</v>
      </c>
      <c r="AI96" s="54">
        <f t="shared" si="19"/>
        <v>25248.508020173504</v>
      </c>
      <c r="AJ96" s="81">
        <f>Valores!$C$35</f>
        <v>216.04</v>
      </c>
      <c r="AK96" s="82">
        <f>Valores!$C$8</f>
        <v>205.50849410000001</v>
      </c>
      <c r="AL96" s="90">
        <v>0</v>
      </c>
      <c r="AM96" s="82">
        <f>IF($G$4="SI",SUM(AK96+AL96),AK96)*Valores!$C$54</f>
        <v>0</v>
      </c>
      <c r="AN96" s="184">
        <f t="shared" si="16"/>
        <v>421.54849409999997</v>
      </c>
      <c r="AO96" s="152">
        <f>AI96*-Valores!$C$56</f>
        <v>-3282.3060426225557</v>
      </c>
      <c r="AP96" s="152">
        <f>AI96*-Valores!$C$57</f>
        <v>-126.24254010086752</v>
      </c>
      <c r="AQ96" s="81">
        <f>AI96*-Valores!$C$58</f>
        <v>-1136.1828609078077</v>
      </c>
      <c r="AR96" s="81">
        <f>AI96*-Valores!$C$59</f>
        <v>-681.70971654468462</v>
      </c>
      <c r="AS96" s="81">
        <f>AI96*-Valores!$C$60</f>
        <v>-75.745524060520509</v>
      </c>
      <c r="AT96" s="54">
        <f t="shared" si="17"/>
        <v>21125.325070642273</v>
      </c>
      <c r="AU96" s="54">
        <f t="shared" si="18"/>
        <v>21504.052690944878</v>
      </c>
      <c r="AV96" s="81">
        <f>AI96*Valores!$C$61</f>
        <v>4039.7612832277605</v>
      </c>
      <c r="AW96" s="81">
        <f>AI96*Valores!$C$62</f>
        <v>1136.1828609078077</v>
      </c>
      <c r="AX96" s="81">
        <f>AI96*Valores!$C$64</f>
        <v>252.48508020173503</v>
      </c>
      <c r="AY96" s="81">
        <f>AI96*Valores!$C$65</f>
        <v>883.69778070607276</v>
      </c>
      <c r="AZ96" s="81">
        <f>AI96*Valores!$C$66</f>
        <v>151.49104812104102</v>
      </c>
      <c r="BA96" s="81">
        <f t="shared" si="20"/>
        <v>1363.4194330893692</v>
      </c>
      <c r="BB96" s="55"/>
      <c r="BC96" s="55">
        <v>25</v>
      </c>
      <c r="BD96" s="52" t="s">
        <v>466</v>
      </c>
    </row>
    <row r="97" spans="1:56" s="9" customFormat="1" ht="11.25" customHeight="1" x14ac:dyDescent="0.15">
      <c r="A97" s="20">
        <v>96</v>
      </c>
      <c r="B97" s="20"/>
      <c r="C97" s="9" t="s">
        <v>170</v>
      </c>
      <c r="E97" s="10" t="s">
        <v>171</v>
      </c>
      <c r="F97" s="123">
        <v>89</v>
      </c>
      <c r="G97" s="7">
        <f>INT((F97*Valores!$C$2*100*1.006901)+0.5)/100</f>
        <v>468.4</v>
      </c>
      <c r="H97" s="113">
        <v>2381</v>
      </c>
      <c r="I97" s="77">
        <f>INT((H97*Valores!$C$2*100*1.006901)+0.5)/100</f>
        <v>12530.89</v>
      </c>
      <c r="J97" s="145">
        <v>0</v>
      </c>
      <c r="K97" s="77">
        <f>INT((J97*Valores!$C$2*100*1.006901)+0.5)/100</f>
        <v>0</v>
      </c>
      <c r="L97" s="120">
        <v>0</v>
      </c>
      <c r="M97" s="77">
        <f>INT((L97*Valores!$C$2*100*1.006901)+0.5)/100</f>
        <v>0</v>
      </c>
      <c r="N97" s="77">
        <f t="shared" si="13"/>
        <v>2404.6135157534995</v>
      </c>
      <c r="O97" s="77">
        <f t="shared" si="14"/>
        <v>0</v>
      </c>
      <c r="P97" s="78">
        <f>Valores!$C$20</f>
        <v>3087.7323995700003</v>
      </c>
      <c r="Q97" s="78">
        <f>Valores!$D$4</f>
        <v>2354.08</v>
      </c>
      <c r="R97" s="77">
        <f>Valores!$C$26</f>
        <v>2369.1575009200001</v>
      </c>
      <c r="S97" s="79">
        <f>Valores!$C$42</f>
        <v>764.36875613000007</v>
      </c>
      <c r="T97" s="77">
        <f>Valores!$C$23</f>
        <v>2267.09801556</v>
      </c>
      <c r="U97" s="77">
        <f t="shared" si="12"/>
        <v>2267.09801556</v>
      </c>
      <c r="V97" s="77">
        <v>0</v>
      </c>
      <c r="W97" s="77">
        <v>0</v>
      </c>
      <c r="X97" s="116">
        <v>0</v>
      </c>
      <c r="Y97" s="77">
        <f>X97*Valores!$C$2*1.006901</f>
        <v>0</v>
      </c>
      <c r="Z97" s="77">
        <v>0</v>
      </c>
      <c r="AA97" s="89">
        <f>Valores!$C$29</f>
        <v>132.58872368000002</v>
      </c>
      <c r="AB97" s="77">
        <f t="shared" si="15"/>
        <v>0</v>
      </c>
      <c r="AC97" s="77">
        <f>Valores!$C$30</f>
        <v>132.59</v>
      </c>
      <c r="AD97" s="116">
        <v>0</v>
      </c>
      <c r="AE97" s="77">
        <f>AD97*Valores!$C$2*1.006901</f>
        <v>0</v>
      </c>
      <c r="AF97" s="77">
        <f>Valores!$C$51</f>
        <v>269.71857087000001</v>
      </c>
      <c r="AG97" s="77">
        <f>Valores!$C$52</f>
        <v>77.068202540000016</v>
      </c>
      <c r="AH97" s="77">
        <f>SUM(G97,I97,K97,M97,N97,O97,P97,Q97,R97,S97,U97,V97,W97,Y97,Z97,AA97,AB97,AC97,AE97,AF97,AG97)*Valores!$C$54</f>
        <v>0</v>
      </c>
      <c r="AI97" s="15">
        <f t="shared" si="19"/>
        <v>26858.305685023497</v>
      </c>
      <c r="AJ97" s="78">
        <f>Valores!$C$35</f>
        <v>216.04</v>
      </c>
      <c r="AK97" s="79">
        <f>Valores!$C$8</f>
        <v>205.50849410000001</v>
      </c>
      <c r="AL97" s="89">
        <v>0</v>
      </c>
      <c r="AM97" s="79">
        <f>IF($G$4="SI",SUM(AK97+AL97),AK97)*Valores!$C$54</f>
        <v>0</v>
      </c>
      <c r="AN97" s="12">
        <f t="shared" si="16"/>
        <v>421.54849409999997</v>
      </c>
      <c r="AO97" s="151">
        <f>AI97*-Valores!$C$56</f>
        <v>-3491.5797390530547</v>
      </c>
      <c r="AP97" s="151">
        <f>AI97*-Valores!$C$57</f>
        <v>-134.29152842511749</v>
      </c>
      <c r="AQ97" s="78">
        <f>AI97*-Valores!$C$58</f>
        <v>-1208.6237558260573</v>
      </c>
      <c r="AR97" s="78">
        <f>AI97*-Valores!$C$59</f>
        <v>-725.1742534956345</v>
      </c>
      <c r="AS97" s="78">
        <f>AI97*-Valores!$C$60</f>
        <v>-80.574917055070486</v>
      </c>
      <c r="AT97" s="15">
        <f t="shared" si="17"/>
        <v>22445.359155819267</v>
      </c>
      <c r="AU97" s="15">
        <f t="shared" si="18"/>
        <v>22848.23374109462</v>
      </c>
      <c r="AV97" s="78">
        <f>AI97*Valores!$C$61</f>
        <v>4297.3289096037597</v>
      </c>
      <c r="AW97" s="78">
        <f>AI97*Valores!$C$62</f>
        <v>1208.6237558260573</v>
      </c>
      <c r="AX97" s="78">
        <f>AI97*Valores!$C$64</f>
        <v>268.58305685023498</v>
      </c>
      <c r="AY97" s="78">
        <f>AI97*Valores!$C$65</f>
        <v>940.04069897582247</v>
      </c>
      <c r="AZ97" s="78">
        <f>AI97*Valores!$C$66</f>
        <v>161.14983411014097</v>
      </c>
      <c r="BA97" s="78">
        <f t="shared" si="20"/>
        <v>1450.348506991269</v>
      </c>
      <c r="BB97" s="20"/>
      <c r="BC97" s="20">
        <v>25</v>
      </c>
      <c r="BD97" s="9" t="s">
        <v>467</v>
      </c>
    </row>
    <row r="98" spans="1:56" s="9" customFormat="1" ht="11.25" customHeight="1" x14ac:dyDescent="0.15">
      <c r="A98" s="20">
        <v>97</v>
      </c>
      <c r="B98" s="20"/>
      <c r="C98" s="9" t="s">
        <v>172</v>
      </c>
      <c r="E98" s="10" t="s">
        <v>173</v>
      </c>
      <c r="F98" s="123">
        <v>89</v>
      </c>
      <c r="G98" s="7">
        <f>INT((F98*Valores!$C$2*100*1.006901)+0.5)/100</f>
        <v>468.4</v>
      </c>
      <c r="H98" s="113">
        <v>1768</v>
      </c>
      <c r="I98" s="77">
        <f>INT((H98*Valores!$C$2*100*1.006901)+0.5)/100</f>
        <v>9304.75</v>
      </c>
      <c r="J98" s="145">
        <v>0</v>
      </c>
      <c r="K98" s="77">
        <f>INT((J98*Valores!$C$2*100*1.006901)+0.5)/100</f>
        <v>0</v>
      </c>
      <c r="L98" s="120">
        <v>0</v>
      </c>
      <c r="M98" s="77">
        <f>INT((L98*Valores!$C$2*100*1.006901)+0.5)/100</f>
        <v>0</v>
      </c>
      <c r="N98" s="77">
        <f t="shared" si="13"/>
        <v>1920.6925157534997</v>
      </c>
      <c r="O98" s="77">
        <f t="shared" si="14"/>
        <v>0</v>
      </c>
      <c r="P98" s="78">
        <f>Valores!$C$20</f>
        <v>3087.7323995700003</v>
      </c>
      <c r="Q98" s="78">
        <f>Valores!$D$4</f>
        <v>2354.08</v>
      </c>
      <c r="R98" s="61">
        <f>Valores!$C$26</f>
        <v>2369.1575009200001</v>
      </c>
      <c r="S98" s="87">
        <f>Valores!$C$42</f>
        <v>764.36875613000007</v>
      </c>
      <c r="T98" s="77">
        <f>Valores!$C$23</f>
        <v>2267.09801556</v>
      </c>
      <c r="U98" s="77">
        <f t="shared" si="12"/>
        <v>2267.09801556</v>
      </c>
      <c r="V98" s="77">
        <v>0</v>
      </c>
      <c r="W98" s="77">
        <v>0</v>
      </c>
      <c r="X98" s="116">
        <v>0</v>
      </c>
      <c r="Y98" s="77">
        <f>X98*Valores!$C$2*1.006901</f>
        <v>0</v>
      </c>
      <c r="Z98" s="77">
        <v>0</v>
      </c>
      <c r="AA98" s="89">
        <f>Valores!$C$29</f>
        <v>132.58872368000002</v>
      </c>
      <c r="AB98" s="77">
        <f t="shared" si="15"/>
        <v>0</v>
      </c>
      <c r="AC98" s="77">
        <f>Valores!$C$30</f>
        <v>132.59</v>
      </c>
      <c r="AD98" s="116">
        <v>0</v>
      </c>
      <c r="AE98" s="77">
        <f>AD98*Valores!$C$2*1.006901</f>
        <v>0</v>
      </c>
      <c r="AF98" s="77">
        <f>Valores!$C$51</f>
        <v>269.71857087000001</v>
      </c>
      <c r="AG98" s="77">
        <f>Valores!$C$52</f>
        <v>77.068202540000016</v>
      </c>
      <c r="AH98" s="77">
        <f>SUM(G98,I98,K98,M98,N98,O98,P98,Q98,R98,S98,U98,V98,W98,Y98,Z98,AA98,AB98,AC98,AE98,AF98,AG98)*Valores!$C$54</f>
        <v>0</v>
      </c>
      <c r="AI98" s="15">
        <f t="shared" si="19"/>
        <v>23148.244685023499</v>
      </c>
      <c r="AJ98" s="78">
        <f>Valores!$C$35</f>
        <v>216.04</v>
      </c>
      <c r="AK98" s="79">
        <f>Valores!$C$8</f>
        <v>205.50849410000001</v>
      </c>
      <c r="AL98" s="89">
        <v>0</v>
      </c>
      <c r="AM98" s="79">
        <f>IF($G$4="SI",SUM(AK98+AL98),AK98)*Valores!$C$54</f>
        <v>0</v>
      </c>
      <c r="AN98" s="12">
        <f t="shared" si="16"/>
        <v>421.54849409999997</v>
      </c>
      <c r="AO98" s="151">
        <f>AI98*-Valores!$C$56</f>
        <v>-3009.2718090530552</v>
      </c>
      <c r="AP98" s="151">
        <f>AI98*-Valores!$C$57</f>
        <v>-115.7412234251175</v>
      </c>
      <c r="AQ98" s="78">
        <f>AI98*-Valores!$C$58</f>
        <v>-1041.6710108260575</v>
      </c>
      <c r="AR98" s="78">
        <f>AI98*-Valores!$C$59</f>
        <v>-625.0026064956345</v>
      </c>
      <c r="AS98" s="78">
        <f>AI98*-Valores!$C$60</f>
        <v>-69.444734055070498</v>
      </c>
      <c r="AT98" s="15">
        <f t="shared" si="17"/>
        <v>19403.109135819272</v>
      </c>
      <c r="AU98" s="15">
        <f t="shared" si="18"/>
        <v>19750.332806094626</v>
      </c>
      <c r="AV98" s="78">
        <f>AI98*Valores!$C$61</f>
        <v>3703.7191496037599</v>
      </c>
      <c r="AW98" s="78">
        <f>AI98*Valores!$C$62</f>
        <v>1041.6710108260575</v>
      </c>
      <c r="AX98" s="78">
        <f>AI98*Valores!$C$64</f>
        <v>231.48244685023499</v>
      </c>
      <c r="AY98" s="78">
        <f>AI98*Valores!$C$65</f>
        <v>810.1885639758226</v>
      </c>
      <c r="AZ98" s="78">
        <f>AI98*Valores!$C$66</f>
        <v>138.889468110141</v>
      </c>
      <c r="BA98" s="78">
        <f t="shared" si="20"/>
        <v>1250.005212991269</v>
      </c>
      <c r="BB98" s="20"/>
      <c r="BC98" s="20">
        <v>25</v>
      </c>
      <c r="BD98" s="9" t="s">
        <v>467</v>
      </c>
    </row>
    <row r="99" spans="1:56" s="9" customFormat="1" ht="11.25" customHeight="1" x14ac:dyDescent="0.15">
      <c r="A99" s="20">
        <v>98</v>
      </c>
      <c r="B99" s="20"/>
      <c r="C99" s="9" t="s">
        <v>174</v>
      </c>
      <c r="E99" s="10" t="s">
        <v>175</v>
      </c>
      <c r="F99" s="123">
        <v>89</v>
      </c>
      <c r="G99" s="7">
        <f>INT((F99*Valores!$C$2*100*1.006901)+0.5)/100</f>
        <v>468.4</v>
      </c>
      <c r="H99" s="113">
        <v>1768</v>
      </c>
      <c r="I99" s="77">
        <f>INT((H99*Valores!$C$2*100*1.006901)+0.5)/100</f>
        <v>9304.75</v>
      </c>
      <c r="J99" s="145">
        <v>0</v>
      </c>
      <c r="K99" s="77">
        <f>INT((J99*Valores!$C$2*100*1.006901)+0.5)/100</f>
        <v>0</v>
      </c>
      <c r="L99" s="120">
        <v>0</v>
      </c>
      <c r="M99" s="77">
        <f>INT((L99*Valores!$C$2*100*1.006901)+0.5)/100</f>
        <v>0</v>
      </c>
      <c r="N99" s="77">
        <f t="shared" si="13"/>
        <v>1920.6925157534997</v>
      </c>
      <c r="O99" s="77">
        <f t="shared" si="14"/>
        <v>0</v>
      </c>
      <c r="P99" s="78">
        <f>Valores!$C$15</f>
        <v>3241.8587356399998</v>
      </c>
      <c r="Q99" s="78">
        <f>Valores!$D$4</f>
        <v>2354.08</v>
      </c>
      <c r="R99" s="61">
        <f>Valores!$C$26</f>
        <v>2369.1575009200001</v>
      </c>
      <c r="S99" s="87">
        <f>Valores!$C$42</f>
        <v>764.36875613000007</v>
      </c>
      <c r="T99" s="77">
        <f>Valores!$C$23</f>
        <v>2267.09801556</v>
      </c>
      <c r="U99" s="77">
        <f t="shared" si="12"/>
        <v>2267.09801556</v>
      </c>
      <c r="V99" s="77">
        <v>0</v>
      </c>
      <c r="W99" s="77">
        <v>0</v>
      </c>
      <c r="X99" s="116">
        <v>0</v>
      </c>
      <c r="Y99" s="77">
        <f>X99*Valores!$C$2*1.006901</f>
        <v>0</v>
      </c>
      <c r="Z99" s="77">
        <v>0</v>
      </c>
      <c r="AA99" s="89">
        <f>Valores!$C$29</f>
        <v>132.58872368000002</v>
      </c>
      <c r="AB99" s="77">
        <f t="shared" si="15"/>
        <v>0</v>
      </c>
      <c r="AC99" s="77">
        <f>Valores!$C$30</f>
        <v>132.59</v>
      </c>
      <c r="AD99" s="116">
        <v>0</v>
      </c>
      <c r="AE99" s="77">
        <f>AD99*Valores!$C$2*1.006901</f>
        <v>0</v>
      </c>
      <c r="AF99" s="77">
        <f>Valores!$C$51</f>
        <v>269.71857087000001</v>
      </c>
      <c r="AG99" s="77">
        <f>Valores!$C$52</f>
        <v>77.068202540000016</v>
      </c>
      <c r="AH99" s="77">
        <f>SUM(G99,I99,K99,M99,N99,O99,P99,Q99,R99,S99,U99,V99,W99,Y99,Z99,AA99,AB99,AC99,AE99,AF99,AG99)*Valores!$C$54</f>
        <v>0</v>
      </c>
      <c r="AI99" s="15">
        <f t="shared" si="19"/>
        <v>23302.371021093499</v>
      </c>
      <c r="AJ99" s="78">
        <f>Valores!$C$35</f>
        <v>216.04</v>
      </c>
      <c r="AK99" s="79">
        <f>Valores!$C$8</f>
        <v>205.50849410000001</v>
      </c>
      <c r="AL99" s="89">
        <v>113.02463725000001</v>
      </c>
      <c r="AM99" s="79">
        <f>IF($G$4="SI",SUM(AK99+AL99),AK99)*Valores!$C$54</f>
        <v>0</v>
      </c>
      <c r="AN99" s="12">
        <f t="shared" si="16"/>
        <v>534.57313135000004</v>
      </c>
      <c r="AO99" s="151">
        <f>AI99*-Valores!$C$56</f>
        <v>-3029.3082327421548</v>
      </c>
      <c r="AP99" s="151">
        <f>AI99*-Valores!$C$57</f>
        <v>-116.51185510546749</v>
      </c>
      <c r="AQ99" s="78">
        <f>AI99*-Valores!$C$58</f>
        <v>-1048.6066959492075</v>
      </c>
      <c r="AR99" s="78">
        <f>AI99*-Valores!$C$59</f>
        <v>-629.1640175695245</v>
      </c>
      <c r="AS99" s="78">
        <f>AI99*-Valores!$C$60</f>
        <v>-69.907113063280491</v>
      </c>
      <c r="AT99" s="15">
        <f t="shared" si="17"/>
        <v>19642.517368646666</v>
      </c>
      <c r="AU99" s="15">
        <f t="shared" si="18"/>
        <v>19992.05293396307</v>
      </c>
      <c r="AV99" s="78">
        <f>AI99*Valores!$C$61</f>
        <v>3728.3793633749597</v>
      </c>
      <c r="AW99" s="78">
        <f>AI99*Valores!$C$62</f>
        <v>1048.6066959492075</v>
      </c>
      <c r="AX99" s="78">
        <f>AI99*Valores!$C$64</f>
        <v>233.02371021093498</v>
      </c>
      <c r="AY99" s="78">
        <f>AI99*Valores!$C$65</f>
        <v>815.58298573827255</v>
      </c>
      <c r="AZ99" s="78">
        <f>AI99*Valores!$C$66</f>
        <v>139.81422612656098</v>
      </c>
      <c r="BA99" s="78">
        <f t="shared" si="20"/>
        <v>1258.328035139049</v>
      </c>
      <c r="BB99" s="20"/>
      <c r="BC99" s="55"/>
      <c r="BD99" s="9" t="s">
        <v>467</v>
      </c>
    </row>
    <row r="100" spans="1:56" s="9" customFormat="1" ht="11.25" customHeight="1" x14ac:dyDescent="0.15">
      <c r="A100" s="20">
        <v>99</v>
      </c>
      <c r="B100" s="20"/>
      <c r="C100" s="9" t="s">
        <v>176</v>
      </c>
      <c r="E100" s="10" t="s">
        <v>177</v>
      </c>
      <c r="F100" s="123">
        <v>89</v>
      </c>
      <c r="G100" s="7">
        <f>INT((F100*Valores!$C$2*100*1.006901)+0.5)/100</f>
        <v>468.4</v>
      </c>
      <c r="H100" s="113">
        <v>2211</v>
      </c>
      <c r="I100" s="77">
        <f>INT((H100*Valores!$C$2*100*1.006901)+0.5)/100</f>
        <v>11636.21</v>
      </c>
      <c r="J100" s="145">
        <v>0</v>
      </c>
      <c r="K100" s="77">
        <f>INT((J100*Valores!$C$2*100*1.006901)+0.5)/100</f>
        <v>0</v>
      </c>
      <c r="L100" s="120">
        <v>0</v>
      </c>
      <c r="M100" s="77">
        <f>INT((L100*Valores!$C$2*100*1.006901)+0.5)/100</f>
        <v>0</v>
      </c>
      <c r="N100" s="77">
        <f t="shared" si="13"/>
        <v>2270.4115157534993</v>
      </c>
      <c r="O100" s="77">
        <f t="shared" si="14"/>
        <v>0</v>
      </c>
      <c r="P100" s="78">
        <f>Valores!$C$15</f>
        <v>3241.8587356399998</v>
      </c>
      <c r="Q100" s="78">
        <f>Valores!$D$4</f>
        <v>2354.08</v>
      </c>
      <c r="R100" s="61">
        <f>Valores!$C$26</f>
        <v>2369.1575009200001</v>
      </c>
      <c r="S100" s="87">
        <f>Valores!$C$42</f>
        <v>764.36875613000007</v>
      </c>
      <c r="T100" s="77">
        <f>Valores!$C$23</f>
        <v>2267.09801556</v>
      </c>
      <c r="U100" s="77">
        <f t="shared" si="12"/>
        <v>2267.09801556</v>
      </c>
      <c r="V100" s="77">
        <v>0</v>
      </c>
      <c r="W100" s="77">
        <v>0</v>
      </c>
      <c r="X100" s="116">
        <v>0</v>
      </c>
      <c r="Y100" s="77">
        <f>X100*Valores!$C$2*1.006901</f>
        <v>0</v>
      </c>
      <c r="Z100" s="77">
        <v>0</v>
      </c>
      <c r="AA100" s="89">
        <f>Valores!$C$29</f>
        <v>132.58872368000002</v>
      </c>
      <c r="AB100" s="77">
        <f t="shared" si="15"/>
        <v>0</v>
      </c>
      <c r="AC100" s="77">
        <f>Valores!$C$30</f>
        <v>132.59</v>
      </c>
      <c r="AD100" s="116">
        <v>0</v>
      </c>
      <c r="AE100" s="77">
        <f>AD100*Valores!$C$2*1.006901</f>
        <v>0</v>
      </c>
      <c r="AF100" s="77">
        <f>Valores!$C$51</f>
        <v>269.71857087000001</v>
      </c>
      <c r="AG100" s="77">
        <f>Valores!$C$52</f>
        <v>77.068202540000016</v>
      </c>
      <c r="AH100" s="77">
        <f>SUM(G100,I100,K100,M100,N100,O100,P100,Q100,R100,S100,U100,V100,W100,Y100,Z100,AA100,AB100,AC100,AE100,AF100,AG100)*Valores!$C$54</f>
        <v>0</v>
      </c>
      <c r="AI100" s="15">
        <f t="shared" si="19"/>
        <v>25983.550021093495</v>
      </c>
      <c r="AJ100" s="78">
        <f>Valores!$C$35</f>
        <v>216.04</v>
      </c>
      <c r="AK100" s="79">
        <f>Valores!$C$8</f>
        <v>205.50849410000001</v>
      </c>
      <c r="AL100" s="89">
        <v>0</v>
      </c>
      <c r="AM100" s="79">
        <f>IF($G$4="SI",SUM(AK100+AL100),AK100)*Valores!$C$54</f>
        <v>0</v>
      </c>
      <c r="AN100" s="12">
        <f t="shared" si="16"/>
        <v>421.54849409999997</v>
      </c>
      <c r="AO100" s="151">
        <f>AI100*-Valores!$C$56</f>
        <v>-3377.8615027421547</v>
      </c>
      <c r="AP100" s="151">
        <f>AI100*-Valores!$C$57</f>
        <v>-129.91775010546749</v>
      </c>
      <c r="AQ100" s="78">
        <f>AI100*-Valores!$C$58</f>
        <v>-1169.2597509492073</v>
      </c>
      <c r="AR100" s="78">
        <f>AI100*-Valores!$C$59</f>
        <v>-701.55585056952441</v>
      </c>
      <c r="AS100" s="78">
        <f>AI100*-Valores!$C$60</f>
        <v>-77.950650063280492</v>
      </c>
      <c r="AT100" s="15">
        <f t="shared" si="17"/>
        <v>21728.059511396663</v>
      </c>
      <c r="AU100" s="15">
        <f t="shared" si="18"/>
        <v>22117.812761713063</v>
      </c>
      <c r="AV100" s="78">
        <f>AI100*Valores!$C$61</f>
        <v>4157.3680033749597</v>
      </c>
      <c r="AW100" s="78">
        <f>AI100*Valores!$C$62</f>
        <v>1169.2597509492073</v>
      </c>
      <c r="AX100" s="78">
        <f>AI100*Valores!$C$64</f>
        <v>259.83550021093498</v>
      </c>
      <c r="AY100" s="78">
        <f>AI100*Valores!$C$65</f>
        <v>909.42425073827246</v>
      </c>
      <c r="AZ100" s="78">
        <f>AI100*Valores!$C$66</f>
        <v>155.90130012656098</v>
      </c>
      <c r="BA100" s="78">
        <f t="shared" si="20"/>
        <v>1403.111701139049</v>
      </c>
      <c r="BB100" s="20"/>
      <c r="BC100" s="20"/>
      <c r="BD100" s="9" t="s">
        <v>467</v>
      </c>
    </row>
    <row r="101" spans="1:56" s="9" customFormat="1" ht="11.25" customHeight="1" x14ac:dyDescent="0.15">
      <c r="A101" s="55">
        <v>100</v>
      </c>
      <c r="B101" s="55" t="s">
        <v>462</v>
      </c>
      <c r="C101" s="52" t="s">
        <v>178</v>
      </c>
      <c r="D101" s="52"/>
      <c r="E101" s="53" t="s">
        <v>179</v>
      </c>
      <c r="F101" s="124">
        <v>89</v>
      </c>
      <c r="G101" s="7">
        <f>INT((F101*Valores!$C$2*100*1.006901)+0.5)/100</f>
        <v>468.4</v>
      </c>
      <c r="H101" s="114">
        <v>1956</v>
      </c>
      <c r="I101" s="77">
        <f>INT((H101*Valores!$C$2*100*1.006901)+0.5)/100</f>
        <v>10294.17</v>
      </c>
      <c r="J101" s="146">
        <v>0</v>
      </c>
      <c r="K101" s="77">
        <f>INT((J101*Valores!$C$2*100*1.006901)+0.5)/100</f>
        <v>0</v>
      </c>
      <c r="L101" s="121">
        <v>0</v>
      </c>
      <c r="M101" s="77">
        <f>INT((L101*Valores!$C$2*100*1.006901)+0.5)/100</f>
        <v>0</v>
      </c>
      <c r="N101" s="80">
        <f t="shared" si="13"/>
        <v>2069.1055157534997</v>
      </c>
      <c r="O101" s="80">
        <f t="shared" si="14"/>
        <v>0</v>
      </c>
      <c r="P101" s="81">
        <f>Valores!$C$20</f>
        <v>3087.7323995700003</v>
      </c>
      <c r="Q101" s="81">
        <f>Valores!$D$4</f>
        <v>2354.08</v>
      </c>
      <c r="R101" s="80">
        <v>0</v>
      </c>
      <c r="S101" s="82">
        <f>Valores!$C$42</f>
        <v>764.36875613000007</v>
      </c>
      <c r="T101" s="80">
        <f>Valores!$C$23</f>
        <v>2267.09801556</v>
      </c>
      <c r="U101" s="80">
        <f t="shared" si="12"/>
        <v>2267.09801556</v>
      </c>
      <c r="V101" s="80">
        <v>0</v>
      </c>
      <c r="W101" s="80">
        <v>0</v>
      </c>
      <c r="X101" s="115">
        <v>0</v>
      </c>
      <c r="Y101" s="77">
        <f>X101*Valores!$C$2*1.006901</f>
        <v>0</v>
      </c>
      <c r="Z101" s="80">
        <v>0</v>
      </c>
      <c r="AA101" s="90">
        <f>Valores!$C$29</f>
        <v>132.58872368000002</v>
      </c>
      <c r="AB101" s="80">
        <f t="shared" si="15"/>
        <v>0</v>
      </c>
      <c r="AC101" s="80">
        <f>Valores!$C$30</f>
        <v>132.59</v>
      </c>
      <c r="AD101" s="115">
        <v>0</v>
      </c>
      <c r="AE101" s="77">
        <f>AD101*Valores!$C$2*1.006901</f>
        <v>0</v>
      </c>
      <c r="AF101" s="80">
        <f>Valores!$C$51</f>
        <v>269.71857087000001</v>
      </c>
      <c r="AG101" s="80">
        <f>Valores!$C$52</f>
        <v>77.068202540000016</v>
      </c>
      <c r="AH101" s="80">
        <f>SUM(G101,I101,K101,M101,N101,O101,P101,Q101,R101,S101,U101,V101,W101,Y101,Z101,AA101,AB101,AC101,AE101,AF101,AG101)*Valores!$C$54</f>
        <v>0</v>
      </c>
      <c r="AI101" s="54">
        <f t="shared" si="19"/>
        <v>21916.920184103503</v>
      </c>
      <c r="AJ101" s="81">
        <f>Valores!$C$35</f>
        <v>216.04</v>
      </c>
      <c r="AK101" s="82">
        <f>Valores!$C$8</f>
        <v>205.50849410000001</v>
      </c>
      <c r="AL101" s="90">
        <v>0</v>
      </c>
      <c r="AM101" s="82">
        <f>IF($G$4="SI",SUM(AK101+AL101),AK101)*Valores!$C$54</f>
        <v>0</v>
      </c>
      <c r="AN101" s="184">
        <f t="shared" si="16"/>
        <v>421.54849409999997</v>
      </c>
      <c r="AO101" s="152">
        <f>AI101*-Valores!$C$56</f>
        <v>-2849.1996239334553</v>
      </c>
      <c r="AP101" s="152">
        <f>AI101*-Valores!$C$57</f>
        <v>-109.58460092051752</v>
      </c>
      <c r="AQ101" s="81">
        <f>AI101*-Valores!$C$58</f>
        <v>-986.26140828465759</v>
      </c>
      <c r="AR101" s="81">
        <f>AI101*-Valores!$C$59</f>
        <v>-591.75684497079465</v>
      </c>
      <c r="AS101" s="81">
        <f>AI101*-Valores!$C$60</f>
        <v>-65.75076055231051</v>
      </c>
      <c r="AT101" s="54">
        <f t="shared" si="17"/>
        <v>18393.423045064876</v>
      </c>
      <c r="AU101" s="54">
        <f t="shared" si="18"/>
        <v>18722.176847826428</v>
      </c>
      <c r="AV101" s="81">
        <f>AI101*Valores!$C$61</f>
        <v>3506.7072294565605</v>
      </c>
      <c r="AW101" s="81">
        <f>AI101*Valores!$C$62</f>
        <v>986.26140828465759</v>
      </c>
      <c r="AX101" s="81">
        <f>AI101*Valores!$C$64</f>
        <v>219.16920184103503</v>
      </c>
      <c r="AY101" s="81">
        <f>AI101*Valores!$C$65</f>
        <v>767.09220644362267</v>
      </c>
      <c r="AZ101" s="81">
        <f>AI101*Valores!$C$66</f>
        <v>131.50152110462102</v>
      </c>
      <c r="BA101" s="81">
        <f t="shared" si="20"/>
        <v>1183.5136899415893</v>
      </c>
      <c r="BB101" s="55"/>
      <c r="BC101" s="55"/>
      <c r="BD101" s="52" t="s">
        <v>466</v>
      </c>
    </row>
    <row r="102" spans="1:56" s="9" customFormat="1" ht="11.25" customHeight="1" x14ac:dyDescent="0.15">
      <c r="A102" s="20">
        <v>101</v>
      </c>
      <c r="B102" s="20"/>
      <c r="C102" s="9" t="s">
        <v>180</v>
      </c>
      <c r="E102" s="10" t="s">
        <v>181</v>
      </c>
      <c r="F102" s="123">
        <v>89</v>
      </c>
      <c r="G102" s="7">
        <f>INT((F102*Valores!$C$2*100*1.006901)+0.5)/100</f>
        <v>468.4</v>
      </c>
      <c r="H102" s="113">
        <v>1267</v>
      </c>
      <c r="I102" s="77">
        <f>INT((H102*Valores!$C$2*100*1.006901)+0.5)/100</f>
        <v>6668.06</v>
      </c>
      <c r="J102" s="145">
        <v>0</v>
      </c>
      <c r="K102" s="77">
        <f>INT((J102*Valores!$C$2*100*1.006901)+0.5)/100</f>
        <v>0</v>
      </c>
      <c r="L102" s="120">
        <v>0</v>
      </c>
      <c r="M102" s="77">
        <f>INT((L102*Valores!$C$2*100*1.006901)+0.5)/100</f>
        <v>0</v>
      </c>
      <c r="N102" s="77">
        <f t="shared" si="13"/>
        <v>1525.1890157534999</v>
      </c>
      <c r="O102" s="77">
        <f t="shared" si="14"/>
        <v>0</v>
      </c>
      <c r="P102" s="78">
        <f>Valores!$C$20</f>
        <v>3087.7323995700003</v>
      </c>
      <c r="Q102" s="78">
        <f>Valores!$D$4</f>
        <v>2354.08</v>
      </c>
      <c r="R102" s="77">
        <v>0</v>
      </c>
      <c r="S102" s="79">
        <f>Valores!$C$42</f>
        <v>764.36875613000007</v>
      </c>
      <c r="T102" s="77">
        <f>Valores!$C$23</f>
        <v>2267.09801556</v>
      </c>
      <c r="U102" s="77">
        <f t="shared" si="12"/>
        <v>2267.09801556</v>
      </c>
      <c r="V102" s="77">
        <v>0</v>
      </c>
      <c r="W102" s="77">
        <v>0</v>
      </c>
      <c r="X102" s="116">
        <v>0</v>
      </c>
      <c r="Y102" s="77">
        <f>X102*Valores!$C$2*1.006901</f>
        <v>0</v>
      </c>
      <c r="Z102" s="77">
        <v>0</v>
      </c>
      <c r="AA102" s="89">
        <f>Valores!$C$29</f>
        <v>132.58872368000002</v>
      </c>
      <c r="AB102" s="77">
        <f t="shared" si="15"/>
        <v>0</v>
      </c>
      <c r="AC102" s="77">
        <f>Valores!$C$30</f>
        <v>132.59</v>
      </c>
      <c r="AD102" s="116">
        <v>0</v>
      </c>
      <c r="AE102" s="77">
        <f>AD102*Valores!$C$2*1.006901</f>
        <v>0</v>
      </c>
      <c r="AF102" s="77">
        <f>Valores!$C$51</f>
        <v>269.71857087000001</v>
      </c>
      <c r="AG102" s="77">
        <f>Valores!$C$52</f>
        <v>77.068202540000016</v>
      </c>
      <c r="AH102" s="77">
        <f>SUM(G102,I102,K102,M102,N102,O102,P102,Q102,R102,S102,U102,V102,W102,Y102,Z102,AA102,AB102,AC102,AE102,AF102,AG102)*Valores!$C$54</f>
        <v>0</v>
      </c>
      <c r="AI102" s="15">
        <f t="shared" si="19"/>
        <v>17746.893684103503</v>
      </c>
      <c r="AJ102" s="78">
        <f>Valores!$C$35</f>
        <v>216.04</v>
      </c>
      <c r="AK102" s="79">
        <f>Valores!$C$8</f>
        <v>205.50849410000001</v>
      </c>
      <c r="AL102" s="89">
        <v>0</v>
      </c>
      <c r="AM102" s="79">
        <f>IF($G$4="SI",SUM(AK102+AL102),AK102)*Valores!$C$54</f>
        <v>0</v>
      </c>
      <c r="AN102" s="12">
        <f t="shared" si="16"/>
        <v>421.54849409999997</v>
      </c>
      <c r="AO102" s="151">
        <f>AI102*-Valores!$C$56</f>
        <v>-2307.0961789334556</v>
      </c>
      <c r="AP102" s="151">
        <f>AI102*-Valores!$C$57</f>
        <v>-88.734468420517516</v>
      </c>
      <c r="AQ102" s="78">
        <f>AI102*-Valores!$C$58</f>
        <v>-798.61021578465761</v>
      </c>
      <c r="AR102" s="78">
        <f>AI102*-Valores!$C$59</f>
        <v>-479.16612947079466</v>
      </c>
      <c r="AS102" s="78">
        <f>AI102*-Valores!$C$60</f>
        <v>-53.240681052310507</v>
      </c>
      <c r="AT102" s="15">
        <f t="shared" si="17"/>
        <v>14974.001315064872</v>
      </c>
      <c r="AU102" s="15">
        <f t="shared" si="18"/>
        <v>15240.204720326425</v>
      </c>
      <c r="AV102" s="78">
        <f>AI102*Valores!$C$61</f>
        <v>2839.5029894565605</v>
      </c>
      <c r="AW102" s="78">
        <f>AI102*Valores!$C$62</f>
        <v>798.61021578465761</v>
      </c>
      <c r="AX102" s="78">
        <f>AI102*Valores!$C$64</f>
        <v>177.46893684103503</v>
      </c>
      <c r="AY102" s="78">
        <f>AI102*Valores!$C$65</f>
        <v>621.14127894362264</v>
      </c>
      <c r="AZ102" s="78">
        <f>AI102*Valores!$C$66</f>
        <v>106.48136210462101</v>
      </c>
      <c r="BA102" s="78">
        <f t="shared" si="20"/>
        <v>958.3322589415892</v>
      </c>
      <c r="BB102" s="20"/>
      <c r="BC102" s="20"/>
      <c r="BD102" s="9" t="s">
        <v>466</v>
      </c>
    </row>
    <row r="103" spans="1:56" s="9" customFormat="1" ht="11.25" customHeight="1" x14ac:dyDescent="0.15">
      <c r="A103" s="20">
        <v>102</v>
      </c>
      <c r="B103" s="20"/>
      <c r="C103" s="9" t="s">
        <v>182</v>
      </c>
      <c r="E103" s="10" t="s">
        <v>183</v>
      </c>
      <c r="F103" s="123">
        <v>67</v>
      </c>
      <c r="G103" s="7">
        <f>INT((F103*Valores!$C$2*100*1.006901)+0.5)/100</f>
        <v>352.61</v>
      </c>
      <c r="H103" s="113">
        <v>2108</v>
      </c>
      <c r="I103" s="77">
        <f>INT((H103*Valores!$C$2*100*1.006901)+0.5)/100</f>
        <v>11094.13</v>
      </c>
      <c r="J103" s="145">
        <v>0</v>
      </c>
      <c r="K103" s="77">
        <f>INT((J103*Valores!$C$2*100*1.006901)+0.5)/100</f>
        <v>0</v>
      </c>
      <c r="L103" s="120">
        <v>0</v>
      </c>
      <c r="M103" s="77">
        <f>INT((L103*Valores!$C$2*100*1.006901)+0.5)/100</f>
        <v>0</v>
      </c>
      <c r="N103" s="77">
        <f t="shared" si="13"/>
        <v>2138.4413583419996</v>
      </c>
      <c r="O103" s="77">
        <f t="shared" si="14"/>
        <v>0</v>
      </c>
      <c r="P103" s="78">
        <f>Valores!$C$20</f>
        <v>3087.7323995700003</v>
      </c>
      <c r="Q103" s="78">
        <f>Valores!$D$4</f>
        <v>2354.08</v>
      </c>
      <c r="R103" s="77">
        <v>0</v>
      </c>
      <c r="S103" s="79">
        <f>Valores!$C$40</f>
        <v>573.26901534000001</v>
      </c>
      <c r="T103" s="61">
        <f>Valores!$C$24</f>
        <v>2236.2667069399999</v>
      </c>
      <c r="U103" s="77">
        <f t="shared" si="12"/>
        <v>2236.2667069399999</v>
      </c>
      <c r="V103" s="77">
        <v>0</v>
      </c>
      <c r="W103" s="77">
        <v>0</v>
      </c>
      <c r="X103" s="116">
        <v>0</v>
      </c>
      <c r="Y103" s="77">
        <f>X103*Valores!$C$2*1.006901</f>
        <v>0</v>
      </c>
      <c r="Z103" s="77">
        <v>0</v>
      </c>
      <c r="AA103" s="89">
        <f>Valores!$C$29</f>
        <v>132.58872368000002</v>
      </c>
      <c r="AB103" s="77">
        <f t="shared" si="15"/>
        <v>0</v>
      </c>
      <c r="AC103" s="77">
        <f>Valores!$C$30</f>
        <v>132.59</v>
      </c>
      <c r="AD103" s="116">
        <v>0</v>
      </c>
      <c r="AE103" s="77">
        <f>AD103*Valores!$C$2*1.006901</f>
        <v>0</v>
      </c>
      <c r="AF103" s="77">
        <f>Valores!$C$51</f>
        <v>269.71857087000001</v>
      </c>
      <c r="AG103" s="77">
        <f>Valores!$C$52</f>
        <v>77.068202540000016</v>
      </c>
      <c r="AH103" s="77">
        <f>SUM(G103,I103,K103,M103,N103,O103,P103,Q103,R103,S103,U103,V103,W103,Y103,Z103,AA103,AB103,AC103,AE103,AF103,AG103)*Valores!$C$54</f>
        <v>0</v>
      </c>
      <c r="AI103" s="15">
        <f t="shared" si="19"/>
        <v>22448.494977282004</v>
      </c>
      <c r="AJ103" s="78">
        <f>Valores!$C$35</f>
        <v>216.04</v>
      </c>
      <c r="AK103" s="79">
        <f>Valores!$C$6</f>
        <v>154.12633607000001</v>
      </c>
      <c r="AL103" s="89">
        <v>113.02463725000001</v>
      </c>
      <c r="AM103" s="79">
        <f>IF($G$4="SI",SUM(AK103+AL103),AK103)*Valores!$C$54</f>
        <v>0</v>
      </c>
      <c r="AN103" s="12">
        <f t="shared" si="16"/>
        <v>483.19097332000001</v>
      </c>
      <c r="AO103" s="151">
        <f>AI103*-Valores!$C$56</f>
        <v>-2918.3043470466605</v>
      </c>
      <c r="AP103" s="151">
        <f>AI103*-Valores!$C$57</f>
        <v>-112.24247488641002</v>
      </c>
      <c r="AQ103" s="78">
        <f>AI103*-Valores!$C$58</f>
        <v>-1010.1822739776901</v>
      </c>
      <c r="AR103" s="78">
        <f>AI103*-Valores!$C$59</f>
        <v>-606.10936438661417</v>
      </c>
      <c r="AS103" s="78">
        <f>AI103*-Valores!$C$60</f>
        <v>-67.345484931846016</v>
      </c>
      <c r="AT103" s="15">
        <f t="shared" si="17"/>
        <v>18890.956854691241</v>
      </c>
      <c r="AU103" s="15">
        <f t="shared" si="18"/>
        <v>19227.684279350469</v>
      </c>
      <c r="AV103" s="78">
        <f>AI103*Valores!$C$61</f>
        <v>3591.7591963651207</v>
      </c>
      <c r="AW103" s="78">
        <f>AI103*Valores!$C$62</f>
        <v>1010.1822739776901</v>
      </c>
      <c r="AX103" s="78">
        <f>AI103*Valores!$C$64</f>
        <v>224.48494977282004</v>
      </c>
      <c r="AY103" s="78">
        <f>AI103*Valores!$C$65</f>
        <v>785.69732420487026</v>
      </c>
      <c r="AZ103" s="78">
        <f>AI103*Valores!$C$66</f>
        <v>134.69096986369203</v>
      </c>
      <c r="BA103" s="78">
        <f t="shared" si="20"/>
        <v>1212.2187287732281</v>
      </c>
      <c r="BB103" s="20"/>
      <c r="BC103" s="20">
        <v>30</v>
      </c>
      <c r="BD103" s="9" t="s">
        <v>467</v>
      </c>
    </row>
    <row r="104" spans="1:56" s="9" customFormat="1" ht="11.25" customHeight="1" x14ac:dyDescent="0.15">
      <c r="A104" s="20">
        <v>103</v>
      </c>
      <c r="B104" s="20"/>
      <c r="C104" s="9" t="s">
        <v>184</v>
      </c>
      <c r="E104" s="10" t="s">
        <v>185</v>
      </c>
      <c r="F104" s="123">
        <v>45</v>
      </c>
      <c r="G104" s="7">
        <f>INT((F104*Valores!$C$2*100*1.006901)+0.5)/100</f>
        <v>236.83</v>
      </c>
      <c r="H104" s="113">
        <v>1502</v>
      </c>
      <c r="I104" s="77">
        <f>INT((H104*Valores!$C$2*100*1.006901)+0.5)/100</f>
        <v>7904.83</v>
      </c>
      <c r="J104" s="145">
        <v>0</v>
      </c>
      <c r="K104" s="77">
        <f>INT((J104*Valores!$C$2*100*1.006901)+0.5)/100</f>
        <v>0</v>
      </c>
      <c r="L104" s="120">
        <v>0</v>
      </c>
      <c r="M104" s="77">
        <f>INT((L104*Valores!$C$2*100*1.006901)+0.5)/100</f>
        <v>0</v>
      </c>
      <c r="N104" s="77">
        <f t="shared" si="13"/>
        <v>1642.6793583419999</v>
      </c>
      <c r="O104" s="77">
        <f t="shared" si="14"/>
        <v>0</v>
      </c>
      <c r="P104" s="78">
        <f>Valores!$C$20</f>
        <v>3087.7323995700003</v>
      </c>
      <c r="Q104" s="78">
        <f>Valores!$D$4</f>
        <v>2354.08</v>
      </c>
      <c r="R104" s="77">
        <v>0</v>
      </c>
      <c r="S104" s="79">
        <f>Valores!$C$40</f>
        <v>573.26901534000001</v>
      </c>
      <c r="T104" s="61">
        <f>Valores!$C$24</f>
        <v>2236.2667069399999</v>
      </c>
      <c r="U104" s="77">
        <f t="shared" si="12"/>
        <v>2236.2667069399999</v>
      </c>
      <c r="V104" s="77">
        <v>0</v>
      </c>
      <c r="W104" s="77">
        <v>0</v>
      </c>
      <c r="X104" s="116">
        <v>0</v>
      </c>
      <c r="Y104" s="77">
        <f>X104*Valores!$C$2*1.006901</f>
        <v>0</v>
      </c>
      <c r="Z104" s="77">
        <v>0</v>
      </c>
      <c r="AA104" s="89">
        <f>Valores!$C$29</f>
        <v>132.58872368000002</v>
      </c>
      <c r="AB104" s="77">
        <f t="shared" si="15"/>
        <v>0</v>
      </c>
      <c r="AC104" s="77">
        <f>Valores!$C$30</f>
        <v>132.59</v>
      </c>
      <c r="AD104" s="116">
        <v>0</v>
      </c>
      <c r="AE104" s="77">
        <f>AD104*Valores!$C$2*1.006901</f>
        <v>0</v>
      </c>
      <c r="AF104" s="77">
        <f>Valores!$C$51</f>
        <v>269.71857087000001</v>
      </c>
      <c r="AG104" s="77">
        <f>Valores!$C$52</f>
        <v>77.068202540000016</v>
      </c>
      <c r="AH104" s="77">
        <f>SUM(G104,I104,K104,M104,N104,O104,P104,Q104,R104,S104,U104,V104,W104,Y104,Z104,AA104,AB104,AC104,AE104,AF104,AG104)*Valores!$C$54</f>
        <v>0</v>
      </c>
      <c r="AI104" s="15">
        <f t="shared" si="19"/>
        <v>18647.652977282003</v>
      </c>
      <c r="AJ104" s="78">
        <f>Valores!$C$35</f>
        <v>216.04</v>
      </c>
      <c r="AK104" s="79">
        <f>Valores!$C$6</f>
        <v>154.12633607000001</v>
      </c>
      <c r="AL104" s="89">
        <v>113.02463725000001</v>
      </c>
      <c r="AM104" s="79">
        <f>IF($G$4="SI",SUM(AK104+AL104),AK104)*Valores!$C$54</f>
        <v>0</v>
      </c>
      <c r="AN104" s="12">
        <f t="shared" si="16"/>
        <v>483.19097332000001</v>
      </c>
      <c r="AO104" s="151">
        <f>AI104*-Valores!$C$56</f>
        <v>-2424.1948870466604</v>
      </c>
      <c r="AP104" s="151">
        <f>AI104*-Valores!$C$57</f>
        <v>-93.238264886410022</v>
      </c>
      <c r="AQ104" s="78">
        <f>AI104*-Valores!$C$58</f>
        <v>-839.14438397769015</v>
      </c>
      <c r="AR104" s="78">
        <f>AI104*-Valores!$C$59</f>
        <v>-503.48663038661414</v>
      </c>
      <c r="AS104" s="78">
        <f>AI104*-Valores!$C$60</f>
        <v>-55.942958931846007</v>
      </c>
      <c r="AT104" s="15">
        <f t="shared" si="17"/>
        <v>15774.266414691241</v>
      </c>
      <c r="AU104" s="15">
        <f t="shared" si="18"/>
        <v>16053.981209350472</v>
      </c>
      <c r="AV104" s="78">
        <f>AI104*Valores!$C$61</f>
        <v>2983.6244763651207</v>
      </c>
      <c r="AW104" s="78">
        <f>AI104*Valores!$C$62</f>
        <v>839.14438397769015</v>
      </c>
      <c r="AX104" s="78">
        <f>AI104*Valores!$C$64</f>
        <v>186.47652977282004</v>
      </c>
      <c r="AY104" s="78">
        <f>AI104*Valores!$C$65</f>
        <v>652.6678542048702</v>
      </c>
      <c r="AZ104" s="78">
        <f>AI104*Valores!$C$66</f>
        <v>111.88591786369201</v>
      </c>
      <c r="BA104" s="78">
        <f t="shared" si="20"/>
        <v>1006.9732607732283</v>
      </c>
      <c r="BB104" s="20"/>
      <c r="BC104" s="55"/>
      <c r="BD104" s="9" t="s">
        <v>467</v>
      </c>
    </row>
    <row r="105" spans="1:56" s="9" customFormat="1" ht="11.25" customHeight="1" x14ac:dyDescent="0.15">
      <c r="A105" s="20">
        <v>104</v>
      </c>
      <c r="B105" s="20"/>
      <c r="C105" s="9" t="s">
        <v>186</v>
      </c>
      <c r="E105" s="10" t="s">
        <v>187</v>
      </c>
      <c r="F105" s="123">
        <v>61</v>
      </c>
      <c r="G105" s="7">
        <f>INT((F105*Valores!$C$2*100*1.006901)+0.5)/100</f>
        <v>321.04000000000002</v>
      </c>
      <c r="H105" s="113">
        <v>2114</v>
      </c>
      <c r="I105" s="77">
        <f>INT((H105*Valores!$C$2*100*1.006901)+0.5)/100</f>
        <v>11125.71</v>
      </c>
      <c r="J105" s="145">
        <v>0</v>
      </c>
      <c r="K105" s="77">
        <f>INT((J105*Valores!$C$2*100*1.006901)+0.5)/100</f>
        <v>0</v>
      </c>
      <c r="L105" s="120">
        <v>0</v>
      </c>
      <c r="M105" s="77">
        <f>INT((L105*Valores!$C$2*100*1.006901)+0.5)/100</f>
        <v>0</v>
      </c>
      <c r="N105" s="77">
        <f t="shared" si="13"/>
        <v>2138.4428583419999</v>
      </c>
      <c r="O105" s="77">
        <f t="shared" si="14"/>
        <v>0</v>
      </c>
      <c r="P105" s="78">
        <f>Valores!$C$20</f>
        <v>3087.7323995700003</v>
      </c>
      <c r="Q105" s="78">
        <f>Valores!$D$4</f>
        <v>2354.08</v>
      </c>
      <c r="R105" s="77">
        <v>0</v>
      </c>
      <c r="S105" s="79">
        <f>Valores!$C$40</f>
        <v>573.26901534000001</v>
      </c>
      <c r="T105" s="61">
        <f>Valores!$C$24</f>
        <v>2236.2667069399999</v>
      </c>
      <c r="U105" s="77">
        <f t="shared" si="12"/>
        <v>2236.2667069399999</v>
      </c>
      <c r="V105" s="77">
        <v>0</v>
      </c>
      <c r="W105" s="77">
        <v>0</v>
      </c>
      <c r="X105" s="116">
        <v>0</v>
      </c>
      <c r="Y105" s="77">
        <f>X105*Valores!$C$2*1.006901</f>
        <v>0</v>
      </c>
      <c r="Z105" s="77">
        <v>0</v>
      </c>
      <c r="AA105" s="89">
        <f>Valores!$C$29</f>
        <v>132.58872368000002</v>
      </c>
      <c r="AB105" s="77">
        <f t="shared" si="15"/>
        <v>0</v>
      </c>
      <c r="AC105" s="77">
        <f>Valores!$C$30</f>
        <v>132.59</v>
      </c>
      <c r="AD105" s="116">
        <v>0</v>
      </c>
      <c r="AE105" s="77">
        <f>AD105*Valores!$C$2*1.006901</f>
        <v>0</v>
      </c>
      <c r="AF105" s="77">
        <f>Valores!$C$51</f>
        <v>269.71857087000001</v>
      </c>
      <c r="AG105" s="77">
        <f>Valores!$C$52</f>
        <v>77.068202540000016</v>
      </c>
      <c r="AH105" s="77">
        <f>SUM(G105,I105,K105,M105,N105,O105,P105,Q105,R105,S105,U105,V105,W105,Y105,Z105,AA105,AB105,AC105,AE105,AF105,AG105)*Valores!$C$54</f>
        <v>0</v>
      </c>
      <c r="AI105" s="15">
        <f t="shared" si="19"/>
        <v>22448.506477282004</v>
      </c>
      <c r="AJ105" s="78">
        <f>Valores!$C$35</f>
        <v>216.04</v>
      </c>
      <c r="AK105" s="79">
        <f>Valores!$C$6</f>
        <v>154.12633607000001</v>
      </c>
      <c r="AL105" s="89">
        <v>113.02463725000001</v>
      </c>
      <c r="AM105" s="79">
        <f>IF($G$4="SI",SUM(AK105+AL105),AK105)*Valores!$C$54</f>
        <v>0</v>
      </c>
      <c r="AN105" s="12">
        <f t="shared" si="16"/>
        <v>483.19097332000001</v>
      </c>
      <c r="AO105" s="151">
        <f>AI105*-Valores!$C$56</f>
        <v>-2918.3058420466605</v>
      </c>
      <c r="AP105" s="151">
        <f>AI105*-Valores!$C$57</f>
        <v>-112.24253238641002</v>
      </c>
      <c r="AQ105" s="78">
        <f>AI105*-Valores!$C$58</f>
        <v>-1010.1827914776901</v>
      </c>
      <c r="AR105" s="78">
        <f>AI105*-Valores!$C$59</f>
        <v>-606.10967488661413</v>
      </c>
      <c r="AS105" s="78">
        <f>AI105*-Valores!$C$60</f>
        <v>-67.345519431846014</v>
      </c>
      <c r="AT105" s="15">
        <f t="shared" si="17"/>
        <v>18890.96628469124</v>
      </c>
      <c r="AU105" s="15">
        <f t="shared" si="18"/>
        <v>19227.693881850471</v>
      </c>
      <c r="AV105" s="78">
        <f>AI105*Valores!$C$61</f>
        <v>3591.7610363651206</v>
      </c>
      <c r="AW105" s="78">
        <f>AI105*Valores!$C$62</f>
        <v>1010.1827914776901</v>
      </c>
      <c r="AX105" s="78">
        <f>AI105*Valores!$C$64</f>
        <v>224.48506477282004</v>
      </c>
      <c r="AY105" s="78">
        <f>AI105*Valores!$C$65</f>
        <v>785.69772670487021</v>
      </c>
      <c r="AZ105" s="78">
        <f>AI105*Valores!$C$66</f>
        <v>134.69103886369203</v>
      </c>
      <c r="BA105" s="78">
        <f t="shared" si="20"/>
        <v>1212.2193497732283</v>
      </c>
      <c r="BB105" s="20"/>
      <c r="BC105" s="20">
        <v>30</v>
      </c>
      <c r="BD105" s="9" t="s">
        <v>467</v>
      </c>
    </row>
    <row r="106" spans="1:56" s="9" customFormat="1" ht="11.25" customHeight="1" x14ac:dyDescent="0.15">
      <c r="A106" s="55">
        <v>105</v>
      </c>
      <c r="B106" s="55" t="s">
        <v>462</v>
      </c>
      <c r="C106" s="52" t="s">
        <v>188</v>
      </c>
      <c r="D106" s="52"/>
      <c r="E106" s="53" t="s">
        <v>189</v>
      </c>
      <c r="F106" s="124">
        <v>59</v>
      </c>
      <c r="G106" s="7">
        <f>INT((F106*Valores!$C$2*100*1.006901)+0.5)/100</f>
        <v>310.51</v>
      </c>
      <c r="H106" s="114">
        <v>2013</v>
      </c>
      <c r="I106" s="77">
        <f>INT((H106*Valores!$C$2*100*1.006901)+0.5)/100</f>
        <v>10594.16</v>
      </c>
      <c r="J106" s="146">
        <v>0</v>
      </c>
      <c r="K106" s="77">
        <f>INT((J106*Valores!$C$2*100*1.006901)+0.5)/100</f>
        <v>0</v>
      </c>
      <c r="L106" s="121">
        <v>0</v>
      </c>
      <c r="M106" s="77">
        <f>INT((L106*Valores!$C$2*100*1.006901)+0.5)/100</f>
        <v>0</v>
      </c>
      <c r="N106" s="80">
        <f t="shared" si="13"/>
        <v>2057.130858342</v>
      </c>
      <c r="O106" s="80">
        <f t="shared" si="14"/>
        <v>0</v>
      </c>
      <c r="P106" s="81">
        <f>Valores!$C$20</f>
        <v>3087.7323995700003</v>
      </c>
      <c r="Q106" s="81">
        <f>Valores!$D$4</f>
        <v>2354.08</v>
      </c>
      <c r="R106" s="80">
        <v>0</v>
      </c>
      <c r="S106" s="82">
        <f>Valores!$C$40</f>
        <v>573.26901534000001</v>
      </c>
      <c r="T106" s="85">
        <f>Valores!$C$24</f>
        <v>2236.2667069399999</v>
      </c>
      <c r="U106" s="80">
        <f t="shared" si="12"/>
        <v>2236.2667069399999</v>
      </c>
      <c r="V106" s="80">
        <v>0</v>
      </c>
      <c r="W106" s="80">
        <v>0</v>
      </c>
      <c r="X106" s="115">
        <v>0</v>
      </c>
      <c r="Y106" s="77">
        <f>X106*Valores!$C$2*1.006901</f>
        <v>0</v>
      </c>
      <c r="Z106" s="80">
        <v>0</v>
      </c>
      <c r="AA106" s="90">
        <f>Valores!$C$29</f>
        <v>132.58872368000002</v>
      </c>
      <c r="AB106" s="80">
        <f t="shared" si="15"/>
        <v>0</v>
      </c>
      <c r="AC106" s="80">
        <f>Valores!$C$30</f>
        <v>132.59</v>
      </c>
      <c r="AD106" s="115">
        <v>0</v>
      </c>
      <c r="AE106" s="77">
        <f>AD106*Valores!$C$2*1.006901</f>
        <v>0</v>
      </c>
      <c r="AF106" s="80">
        <f>Valores!$C$51</f>
        <v>269.71857087000001</v>
      </c>
      <c r="AG106" s="80">
        <f>Valores!$C$52</f>
        <v>77.068202540000016</v>
      </c>
      <c r="AH106" s="80">
        <f>SUM(G106,I106,K106,M106,N106,O106,P106,Q106,R106,S106,U106,V106,W106,Y106,Z106,AA106,AB106,AC106,AE106,AF106,AG106)*Valores!$C$54</f>
        <v>0</v>
      </c>
      <c r="AI106" s="54">
        <f t="shared" si="19"/>
        <v>21825.114477282004</v>
      </c>
      <c r="AJ106" s="81">
        <f>Valores!$C$35</f>
        <v>216.04</v>
      </c>
      <c r="AK106" s="82">
        <f>Valores!$C$6</f>
        <v>154.12633607000001</v>
      </c>
      <c r="AL106" s="90">
        <v>113.02463725000001</v>
      </c>
      <c r="AM106" s="82">
        <f>IF($G$4="SI",SUM(AK106+AL106),AK106)*Valores!$C$54</f>
        <v>0</v>
      </c>
      <c r="AN106" s="184">
        <f t="shared" si="16"/>
        <v>483.19097332000001</v>
      </c>
      <c r="AO106" s="152">
        <f>AI106*-Valores!$C$56</f>
        <v>-2837.2648820466607</v>
      </c>
      <c r="AP106" s="152">
        <f>AI106*-Valores!$C$57</f>
        <v>-109.12557238641003</v>
      </c>
      <c r="AQ106" s="81">
        <f>AI106*-Valores!$C$58</f>
        <v>-982.13015147769011</v>
      </c>
      <c r="AR106" s="81">
        <f>AI106*-Valores!$C$59</f>
        <v>-589.27809088661422</v>
      </c>
      <c r="AS106" s="81">
        <f>AI106*-Valores!$C$60</f>
        <v>-65.475343431846014</v>
      </c>
      <c r="AT106" s="54">
        <f t="shared" si="17"/>
        <v>18379.784844691247</v>
      </c>
      <c r="AU106" s="54">
        <f t="shared" si="18"/>
        <v>18707.161561850477</v>
      </c>
      <c r="AV106" s="81">
        <f>AI106*Valores!$C$61</f>
        <v>3492.0183163651209</v>
      </c>
      <c r="AW106" s="81">
        <f>AI106*Valores!$C$62</f>
        <v>982.13015147769011</v>
      </c>
      <c r="AX106" s="81">
        <f>AI106*Valores!$C$64</f>
        <v>218.25114477282006</v>
      </c>
      <c r="AY106" s="81">
        <f>AI106*Valores!$C$65</f>
        <v>763.87900670487022</v>
      </c>
      <c r="AZ106" s="81">
        <f>AI106*Valores!$C$66</f>
        <v>130.95068686369203</v>
      </c>
      <c r="BA106" s="81">
        <f t="shared" si="20"/>
        <v>1178.5561817732282</v>
      </c>
      <c r="BB106" s="55"/>
      <c r="BC106" s="55">
        <v>30</v>
      </c>
      <c r="BD106" s="52" t="s">
        <v>467</v>
      </c>
    </row>
    <row r="107" spans="1:56" s="9" customFormat="1" ht="11.25" customHeight="1" x14ac:dyDescent="0.15">
      <c r="A107" s="20">
        <v>106</v>
      </c>
      <c r="B107" s="20"/>
      <c r="C107" s="9" t="s">
        <v>190</v>
      </c>
      <c r="E107" s="10" t="s">
        <v>191</v>
      </c>
      <c r="F107" s="123">
        <v>56</v>
      </c>
      <c r="G107" s="7">
        <f>INT((F107*Valores!$C$2*100*1.006901)+0.5)/100</f>
        <v>294.72000000000003</v>
      </c>
      <c r="H107" s="113">
        <v>1720</v>
      </c>
      <c r="I107" s="77">
        <f>INT((H107*Valores!$C$2*100*1.006901)+0.5)/100</f>
        <v>9052.14</v>
      </c>
      <c r="J107" s="145">
        <v>0</v>
      </c>
      <c r="K107" s="77">
        <f>INT((J107*Valores!$C$2*100*1.006901)+0.5)/100</f>
        <v>0</v>
      </c>
      <c r="L107" s="120">
        <v>0</v>
      </c>
      <c r="M107" s="77">
        <f>INT((L107*Valores!$C$2*100*1.006901)+0.5)/100</f>
        <v>0</v>
      </c>
      <c r="N107" s="77">
        <f t="shared" si="13"/>
        <v>1823.4593583419996</v>
      </c>
      <c r="O107" s="77">
        <f t="shared" si="14"/>
        <v>0</v>
      </c>
      <c r="P107" s="78">
        <f>Valores!$C$20</f>
        <v>3087.7323995700003</v>
      </c>
      <c r="Q107" s="78">
        <f>Valores!$D$4</f>
        <v>2354.08</v>
      </c>
      <c r="R107" s="77">
        <v>0</v>
      </c>
      <c r="S107" s="79">
        <f>Valores!$C$40</f>
        <v>573.26901534000001</v>
      </c>
      <c r="T107" s="61">
        <f>Valores!$C$24</f>
        <v>2236.2667069399999</v>
      </c>
      <c r="U107" s="77">
        <f t="shared" si="12"/>
        <v>2236.2667069399999</v>
      </c>
      <c r="V107" s="77">
        <v>0</v>
      </c>
      <c r="W107" s="77">
        <v>0</v>
      </c>
      <c r="X107" s="116">
        <v>0</v>
      </c>
      <c r="Y107" s="77">
        <f>X107*Valores!$C$2*1.006901</f>
        <v>0</v>
      </c>
      <c r="Z107" s="77">
        <v>0</v>
      </c>
      <c r="AA107" s="89">
        <f>Valores!$C$29</f>
        <v>132.58872368000002</v>
      </c>
      <c r="AB107" s="77">
        <f t="shared" si="15"/>
        <v>0</v>
      </c>
      <c r="AC107" s="77">
        <f>Valores!$C$30</f>
        <v>132.59</v>
      </c>
      <c r="AD107" s="116">
        <v>0</v>
      </c>
      <c r="AE107" s="77">
        <f>AD107*Valores!$C$2*1.006901</f>
        <v>0</v>
      </c>
      <c r="AF107" s="77">
        <f>Valores!$C$51</f>
        <v>269.71857087000001</v>
      </c>
      <c r="AG107" s="77">
        <f>Valores!$C$52</f>
        <v>77.068202540000016</v>
      </c>
      <c r="AH107" s="77">
        <f>SUM(G107,I107,K107,M107,N107,O107,P107,Q107,R107,S107,U107,V107,W107,Y107,Z107,AA107,AB107,AC107,AE107,AF107,AG107)*Valores!$C$54</f>
        <v>0</v>
      </c>
      <c r="AI107" s="15">
        <f t="shared" si="19"/>
        <v>20033.632977282003</v>
      </c>
      <c r="AJ107" s="78">
        <f>Valores!$C$35</f>
        <v>216.04</v>
      </c>
      <c r="AK107" s="79">
        <f>Valores!$C$6</f>
        <v>154.12633607000001</v>
      </c>
      <c r="AL107" s="89">
        <v>113.02463725000001</v>
      </c>
      <c r="AM107" s="79">
        <f>IF($G$4="SI",SUM(AK107+AL107),AK107)*Valores!$C$54</f>
        <v>0</v>
      </c>
      <c r="AN107" s="12">
        <f t="shared" si="16"/>
        <v>483.19097332000001</v>
      </c>
      <c r="AO107" s="151">
        <f>AI107*-Valores!$C$56</f>
        <v>-2604.3722870466604</v>
      </c>
      <c r="AP107" s="151">
        <f>AI107*-Valores!$C$57</f>
        <v>-100.16816488641001</v>
      </c>
      <c r="AQ107" s="78">
        <f>AI107*-Valores!$C$58</f>
        <v>-901.51348397769004</v>
      </c>
      <c r="AR107" s="78">
        <f>AI107*-Valores!$C$59</f>
        <v>-540.90809038661416</v>
      </c>
      <c r="AS107" s="78">
        <f>AI107*-Valores!$C$60</f>
        <v>-60.100898931846011</v>
      </c>
      <c r="AT107" s="15">
        <f t="shared" si="17"/>
        <v>16910.770014691243</v>
      </c>
      <c r="AU107" s="15">
        <f t="shared" si="18"/>
        <v>17211.274509350475</v>
      </c>
      <c r="AV107" s="78">
        <f>AI107*Valores!$C$61</f>
        <v>3205.3812763651204</v>
      </c>
      <c r="AW107" s="78">
        <f>AI107*Valores!$C$62</f>
        <v>901.51348397769004</v>
      </c>
      <c r="AX107" s="78">
        <f>AI107*Valores!$C$64</f>
        <v>200.33632977282002</v>
      </c>
      <c r="AY107" s="78">
        <f>AI107*Valores!$C$65</f>
        <v>701.17715420487013</v>
      </c>
      <c r="AZ107" s="78">
        <f>AI107*Valores!$C$66</f>
        <v>120.20179786369202</v>
      </c>
      <c r="BA107" s="78">
        <f t="shared" si="20"/>
        <v>1081.8161807732283</v>
      </c>
      <c r="BB107" s="20"/>
      <c r="BC107" s="20">
        <v>30</v>
      </c>
      <c r="BD107" s="9" t="s">
        <v>467</v>
      </c>
    </row>
    <row r="108" spans="1:56" s="9" customFormat="1" ht="11.25" customHeight="1" x14ac:dyDescent="0.15">
      <c r="A108" s="20">
        <v>107</v>
      </c>
      <c r="B108" s="20"/>
      <c r="C108" s="9" t="s">
        <v>192</v>
      </c>
      <c r="E108" s="10" t="s">
        <v>193</v>
      </c>
      <c r="F108" s="123">
        <v>45</v>
      </c>
      <c r="G108" s="7">
        <f>INT((F108*Valores!$C$2*100*1.006901)+0.5)/100</f>
        <v>236.83</v>
      </c>
      <c r="H108" s="113">
        <v>1502</v>
      </c>
      <c r="I108" s="77">
        <f>INT((H108*Valores!$C$2*100*1.006901)+0.5)/100</f>
        <v>7904.83</v>
      </c>
      <c r="J108" s="145">
        <v>0</v>
      </c>
      <c r="K108" s="77">
        <f>INT((J108*Valores!$C$2*100*1.006901)+0.5)/100</f>
        <v>0</v>
      </c>
      <c r="L108" s="120">
        <v>0</v>
      </c>
      <c r="M108" s="77">
        <f>INT((L108*Valores!$C$2*100*1.006901)+0.5)/100</f>
        <v>0</v>
      </c>
      <c r="N108" s="77">
        <f t="shared" si="13"/>
        <v>1642.6793583419999</v>
      </c>
      <c r="O108" s="77">
        <f t="shared" si="14"/>
        <v>0</v>
      </c>
      <c r="P108" s="78">
        <f>Valores!$C$20</f>
        <v>3087.7323995700003</v>
      </c>
      <c r="Q108" s="78">
        <f>Valores!$D$4</f>
        <v>2354.08</v>
      </c>
      <c r="R108" s="77">
        <v>0</v>
      </c>
      <c r="S108" s="79">
        <f>Valores!$C$40</f>
        <v>573.26901534000001</v>
      </c>
      <c r="T108" s="61">
        <f>Valores!$C$24</f>
        <v>2236.2667069399999</v>
      </c>
      <c r="U108" s="77">
        <f t="shared" si="12"/>
        <v>2236.2667069399999</v>
      </c>
      <c r="V108" s="77">
        <v>0</v>
      </c>
      <c r="W108" s="77">
        <v>0</v>
      </c>
      <c r="X108" s="116">
        <v>0</v>
      </c>
      <c r="Y108" s="77">
        <f>X108*Valores!$C$2*1.006901</f>
        <v>0</v>
      </c>
      <c r="Z108" s="77">
        <v>0</v>
      </c>
      <c r="AA108" s="89">
        <f>Valores!$C$29</f>
        <v>132.58872368000002</v>
      </c>
      <c r="AB108" s="77">
        <f t="shared" si="15"/>
        <v>0</v>
      </c>
      <c r="AC108" s="77">
        <f>Valores!$C$30</f>
        <v>132.59</v>
      </c>
      <c r="AD108" s="116">
        <v>0</v>
      </c>
      <c r="AE108" s="77">
        <f>AD108*Valores!$C$2*1.006901</f>
        <v>0</v>
      </c>
      <c r="AF108" s="77">
        <f>Valores!$C$51</f>
        <v>269.71857087000001</v>
      </c>
      <c r="AG108" s="77">
        <f>Valores!$C$52</f>
        <v>77.068202540000016</v>
      </c>
      <c r="AH108" s="77">
        <f>SUM(G108,I108,K108,M108,N108,O108,P108,Q108,R108,S108,U108,V108,W108,Y108,Z108,AA108,AB108,AC108,AE108,AF108,AG108)*Valores!$C$54</f>
        <v>0</v>
      </c>
      <c r="AI108" s="15">
        <f t="shared" si="19"/>
        <v>18647.652977282003</v>
      </c>
      <c r="AJ108" s="78">
        <f>Valores!$C$35</f>
        <v>216.04</v>
      </c>
      <c r="AK108" s="79">
        <f>Valores!$C$6</f>
        <v>154.12633607000001</v>
      </c>
      <c r="AL108" s="89">
        <v>113.02463725000001</v>
      </c>
      <c r="AM108" s="79">
        <f>IF($G$4="SI",SUM(AK108+AL108),AK108)*Valores!$C$54</f>
        <v>0</v>
      </c>
      <c r="AN108" s="12">
        <f t="shared" si="16"/>
        <v>483.19097332000001</v>
      </c>
      <c r="AO108" s="151">
        <f>AI108*-Valores!$C$56</f>
        <v>-2424.1948870466604</v>
      </c>
      <c r="AP108" s="151">
        <f>AI108*-Valores!$C$57</f>
        <v>-93.238264886410022</v>
      </c>
      <c r="AQ108" s="78">
        <f>AI108*-Valores!$C$58</f>
        <v>-839.14438397769015</v>
      </c>
      <c r="AR108" s="78">
        <f>AI108*-Valores!$C$59</f>
        <v>-503.48663038661414</v>
      </c>
      <c r="AS108" s="78">
        <f>AI108*-Valores!$C$60</f>
        <v>-55.942958931846007</v>
      </c>
      <c r="AT108" s="15">
        <f t="shared" si="17"/>
        <v>15774.266414691241</v>
      </c>
      <c r="AU108" s="15">
        <f t="shared" si="18"/>
        <v>16053.981209350472</v>
      </c>
      <c r="AV108" s="78">
        <f>AI108*Valores!$C$61</f>
        <v>2983.6244763651207</v>
      </c>
      <c r="AW108" s="78">
        <f>AI108*Valores!$C$62</f>
        <v>839.14438397769015</v>
      </c>
      <c r="AX108" s="78">
        <f>AI108*Valores!$C$64</f>
        <v>186.47652977282004</v>
      </c>
      <c r="AY108" s="78">
        <f>AI108*Valores!$C$65</f>
        <v>652.6678542048702</v>
      </c>
      <c r="AZ108" s="78">
        <f>AI108*Valores!$C$66</f>
        <v>111.88591786369201</v>
      </c>
      <c r="BA108" s="78">
        <f t="shared" si="20"/>
        <v>1006.9732607732283</v>
      </c>
      <c r="BB108" s="20"/>
      <c r="BC108" s="20">
        <v>30</v>
      </c>
      <c r="BD108" s="9" t="s">
        <v>467</v>
      </c>
    </row>
    <row r="109" spans="1:56" s="9" customFormat="1" ht="11.25" customHeight="1" x14ac:dyDescent="0.15">
      <c r="A109" s="20">
        <v>108</v>
      </c>
      <c r="B109" s="20"/>
      <c r="C109" s="9" t="s">
        <v>194</v>
      </c>
      <c r="E109" s="10" t="s">
        <v>195</v>
      </c>
      <c r="F109" s="123">
        <v>45</v>
      </c>
      <c r="G109" s="7">
        <f>INT((F109*Valores!$C$2*100*1.006901)+0.5)/100</f>
        <v>236.83</v>
      </c>
      <c r="H109" s="113">
        <v>1139</v>
      </c>
      <c r="I109" s="77">
        <f>INT((H109*Valores!$C$2*100*1.006901)+0.5)/100</f>
        <v>5994.41</v>
      </c>
      <c r="J109" s="145">
        <v>0</v>
      </c>
      <c r="K109" s="77">
        <f>INT((J109*Valores!$C$2*100*1.006901)+0.5)/100</f>
        <v>0</v>
      </c>
      <c r="L109" s="120">
        <v>0</v>
      </c>
      <c r="M109" s="77">
        <f>INT((L109*Valores!$C$2*100*1.006901)+0.5)/100</f>
        <v>0</v>
      </c>
      <c r="N109" s="77">
        <f t="shared" si="13"/>
        <v>1356.1163583419998</v>
      </c>
      <c r="O109" s="77">
        <f t="shared" si="14"/>
        <v>0</v>
      </c>
      <c r="P109" s="78">
        <f>Valores!$C$20</f>
        <v>3087.7323995700003</v>
      </c>
      <c r="Q109" s="78">
        <f>Valores!$D$4</f>
        <v>2354.08</v>
      </c>
      <c r="R109" s="77">
        <v>0</v>
      </c>
      <c r="S109" s="79">
        <f>Valores!$C$40</f>
        <v>573.26901534000001</v>
      </c>
      <c r="T109" s="61">
        <f>Valores!$C$24</f>
        <v>2236.2667069399999</v>
      </c>
      <c r="U109" s="77">
        <f t="shared" si="12"/>
        <v>2236.2667069399999</v>
      </c>
      <c r="V109" s="77">
        <v>0</v>
      </c>
      <c r="W109" s="77">
        <v>0</v>
      </c>
      <c r="X109" s="116">
        <v>0</v>
      </c>
      <c r="Y109" s="77">
        <f>X109*Valores!$C$2*1.006901</f>
        <v>0</v>
      </c>
      <c r="Z109" s="77">
        <v>0</v>
      </c>
      <c r="AA109" s="89">
        <f>Valores!$C$29</f>
        <v>132.58872368000002</v>
      </c>
      <c r="AB109" s="77">
        <f t="shared" si="15"/>
        <v>0</v>
      </c>
      <c r="AC109" s="77">
        <f>Valores!$C$30</f>
        <v>132.59</v>
      </c>
      <c r="AD109" s="116">
        <v>0</v>
      </c>
      <c r="AE109" s="77">
        <f>AD109*Valores!$C$2*1.006901</f>
        <v>0</v>
      </c>
      <c r="AF109" s="77">
        <f>Valores!$C$51</f>
        <v>269.71857087000001</v>
      </c>
      <c r="AG109" s="77">
        <f>Valores!$C$52</f>
        <v>77.068202540000016</v>
      </c>
      <c r="AH109" s="77">
        <f>SUM(G109,I109,K109,M109,N109,O109,P109,Q109,R109,S109,U109,V109,W109,Y109,Z109,AA109,AB109,AC109,AE109,AF109,AG109)*Valores!$C$54</f>
        <v>0</v>
      </c>
      <c r="AI109" s="15">
        <f t="shared" si="19"/>
        <v>16450.669977281999</v>
      </c>
      <c r="AJ109" s="78">
        <f>Valores!$C$35</f>
        <v>216.04</v>
      </c>
      <c r="AK109" s="79">
        <f>Valores!$C$6</f>
        <v>154.12633607000001</v>
      </c>
      <c r="AL109" s="89">
        <v>113.02463725000001</v>
      </c>
      <c r="AM109" s="79">
        <f>IF($G$4="SI",SUM(AK109+AL109),AK109)*Valores!$C$54</f>
        <v>0</v>
      </c>
      <c r="AN109" s="12">
        <f t="shared" si="16"/>
        <v>483.19097332000001</v>
      </c>
      <c r="AO109" s="151">
        <f>AI109*-Valores!$C$56</f>
        <v>-2138.5870970466599</v>
      </c>
      <c r="AP109" s="151">
        <f>AI109*-Valores!$C$57</f>
        <v>-82.253349886409993</v>
      </c>
      <c r="AQ109" s="78">
        <f>AI109*-Valores!$C$58</f>
        <v>-740.28014897768992</v>
      </c>
      <c r="AR109" s="78">
        <f>AI109*-Valores!$C$59</f>
        <v>-444.16808938661404</v>
      </c>
      <c r="AS109" s="78">
        <f>AI109*-Valores!$C$60</f>
        <v>-49.352009931845998</v>
      </c>
      <c r="AT109" s="15">
        <f t="shared" si="17"/>
        <v>13972.740354691239</v>
      </c>
      <c r="AU109" s="15">
        <f t="shared" si="18"/>
        <v>14219.500404350469</v>
      </c>
      <c r="AV109" s="78">
        <f>AI109*Valores!$C$61</f>
        <v>2632.1071963651198</v>
      </c>
      <c r="AW109" s="78">
        <f>AI109*Valores!$C$62</f>
        <v>740.28014897768992</v>
      </c>
      <c r="AX109" s="78">
        <f>AI109*Valores!$C$64</f>
        <v>164.50669977281999</v>
      </c>
      <c r="AY109" s="78">
        <f>AI109*Valores!$C$65</f>
        <v>575.77344920487008</v>
      </c>
      <c r="AZ109" s="78">
        <f>AI109*Valores!$C$66</f>
        <v>98.704019863691997</v>
      </c>
      <c r="BA109" s="78">
        <f t="shared" si="20"/>
        <v>888.33617877322797</v>
      </c>
      <c r="BB109" s="20"/>
      <c r="BC109" s="55">
        <v>30</v>
      </c>
      <c r="BD109" s="9" t="s">
        <v>467</v>
      </c>
    </row>
    <row r="110" spans="1:56" s="9" customFormat="1" ht="11.25" customHeight="1" x14ac:dyDescent="0.15">
      <c r="A110" s="20">
        <v>109</v>
      </c>
      <c r="B110" s="20"/>
      <c r="C110" s="9" t="s">
        <v>196</v>
      </c>
      <c r="E110" s="10" t="s">
        <v>197</v>
      </c>
      <c r="F110" s="123">
        <v>46</v>
      </c>
      <c r="G110" s="7">
        <f>INT((F110*Valores!$C$2*100*1.006901)+0.5)/100</f>
        <v>242.09</v>
      </c>
      <c r="H110" s="113">
        <v>1102</v>
      </c>
      <c r="I110" s="77">
        <f>INT((H110*Valores!$C$2*100*1.006901)+0.5)/100</f>
        <v>5799.68</v>
      </c>
      <c r="J110" s="145">
        <v>0</v>
      </c>
      <c r="K110" s="77">
        <f>INT((J110*Valores!$C$2*100*1.006901)+0.5)/100</f>
        <v>0</v>
      </c>
      <c r="L110" s="120">
        <v>0</v>
      </c>
      <c r="M110" s="77">
        <f>INT((L110*Valores!$C$2*100*1.006901)+0.5)/100</f>
        <v>0</v>
      </c>
      <c r="N110" s="77">
        <f t="shared" si="13"/>
        <v>1327.6958583419998</v>
      </c>
      <c r="O110" s="77">
        <f t="shared" si="14"/>
        <v>0</v>
      </c>
      <c r="P110" s="78">
        <f>Valores!$C$20</f>
        <v>3087.7323995700003</v>
      </c>
      <c r="Q110" s="78">
        <f>Valores!$D$4</f>
        <v>2354.08</v>
      </c>
      <c r="R110" s="77">
        <v>0</v>
      </c>
      <c r="S110" s="79">
        <f>Valores!$C$40</f>
        <v>573.26901534000001</v>
      </c>
      <c r="T110" s="61">
        <f>Valores!$C$24</f>
        <v>2236.2667069399999</v>
      </c>
      <c r="U110" s="77">
        <f t="shared" si="12"/>
        <v>2236.2667069399999</v>
      </c>
      <c r="V110" s="77">
        <v>0</v>
      </c>
      <c r="W110" s="77">
        <v>0</v>
      </c>
      <c r="X110" s="116">
        <v>0</v>
      </c>
      <c r="Y110" s="77">
        <f>X110*Valores!$C$2*1.006901</f>
        <v>0</v>
      </c>
      <c r="Z110" s="77">
        <v>0</v>
      </c>
      <c r="AA110" s="89">
        <f>Valores!$C$29</f>
        <v>132.58872368000002</v>
      </c>
      <c r="AB110" s="77">
        <f t="shared" si="15"/>
        <v>0</v>
      </c>
      <c r="AC110" s="77">
        <f>Valores!$C$30</f>
        <v>132.59</v>
      </c>
      <c r="AD110" s="116">
        <v>0</v>
      </c>
      <c r="AE110" s="77">
        <f>AD110*Valores!$C$2*1.006901</f>
        <v>0</v>
      </c>
      <c r="AF110" s="77">
        <f>Valores!$C$51</f>
        <v>269.71857087000001</v>
      </c>
      <c r="AG110" s="77">
        <f>Valores!$C$52</f>
        <v>77.068202540000016</v>
      </c>
      <c r="AH110" s="77">
        <f>SUM(G110,I110,K110,M110,N110,O110,P110,Q110,R110,S110,U110,V110,W110,Y110,Z110,AA110,AB110,AC110,AE110,AF110,AG110)*Valores!$C$54</f>
        <v>0</v>
      </c>
      <c r="AI110" s="15">
        <f t="shared" si="19"/>
        <v>16232.779477282002</v>
      </c>
      <c r="AJ110" s="78">
        <f>Valores!$C$35</f>
        <v>216.04</v>
      </c>
      <c r="AK110" s="79">
        <f>Valores!$C$6</f>
        <v>154.12633607000001</v>
      </c>
      <c r="AL110" s="89">
        <v>113.02463725000001</v>
      </c>
      <c r="AM110" s="79">
        <f>IF($G$4="SI",SUM(AK110+AL110),AK110)*Valores!$C$54</f>
        <v>0</v>
      </c>
      <c r="AN110" s="12">
        <f t="shared" si="16"/>
        <v>483.19097332000001</v>
      </c>
      <c r="AO110" s="151">
        <f>AI110*-Valores!$C$56</f>
        <v>-2110.2613320466603</v>
      </c>
      <c r="AP110" s="151">
        <f>AI110*-Valores!$C$57</f>
        <v>-81.163897386410014</v>
      </c>
      <c r="AQ110" s="78">
        <f>AI110*-Valores!$C$58</f>
        <v>-730.4750764776901</v>
      </c>
      <c r="AR110" s="78">
        <f>AI110*-Valores!$C$59</f>
        <v>-438.28504588661411</v>
      </c>
      <c r="AS110" s="78">
        <f>AI110*-Valores!$C$60</f>
        <v>-48.698338431846004</v>
      </c>
      <c r="AT110" s="15">
        <f t="shared" si="17"/>
        <v>13794.070144691241</v>
      </c>
      <c r="AU110" s="15">
        <f t="shared" si="18"/>
        <v>14037.561836850471</v>
      </c>
      <c r="AV110" s="78">
        <f>AI110*Valores!$C$61</f>
        <v>2597.2447163651204</v>
      </c>
      <c r="AW110" s="78">
        <f>AI110*Valores!$C$62</f>
        <v>730.4750764776901</v>
      </c>
      <c r="AX110" s="78">
        <f>AI110*Valores!$C$64</f>
        <v>162.32779477282003</v>
      </c>
      <c r="AY110" s="78">
        <f>AI110*Valores!$C$65</f>
        <v>568.14728170487012</v>
      </c>
      <c r="AZ110" s="78">
        <f>AI110*Valores!$C$66</f>
        <v>97.396676863692008</v>
      </c>
      <c r="BA110" s="78">
        <f t="shared" si="20"/>
        <v>876.57009177322823</v>
      </c>
      <c r="BB110" s="20"/>
      <c r="BC110" s="20">
        <v>30</v>
      </c>
      <c r="BD110" s="9" t="s">
        <v>467</v>
      </c>
    </row>
    <row r="111" spans="1:56" s="9" customFormat="1" ht="11.25" customHeight="1" x14ac:dyDescent="0.15">
      <c r="A111" s="55">
        <v>110</v>
      </c>
      <c r="B111" s="55" t="s">
        <v>462</v>
      </c>
      <c r="C111" s="52" t="s">
        <v>198</v>
      </c>
      <c r="D111" s="52"/>
      <c r="E111" s="53" t="s">
        <v>199</v>
      </c>
      <c r="F111" s="124">
        <v>66</v>
      </c>
      <c r="G111" s="7">
        <f>INT((F111*Valores!$C$2*100*1.006901)+0.5)/100</f>
        <v>347.35</v>
      </c>
      <c r="H111" s="114">
        <v>1911</v>
      </c>
      <c r="I111" s="77">
        <f>INT((H111*Valores!$C$2*100*1.006901)+0.5)/100</f>
        <v>10057.34</v>
      </c>
      <c r="J111" s="146">
        <v>0</v>
      </c>
      <c r="K111" s="77">
        <f>INT((J111*Valores!$C$2*100*1.006901)+0.5)/100</f>
        <v>0</v>
      </c>
      <c r="L111" s="121">
        <v>0</v>
      </c>
      <c r="M111" s="77">
        <f>INT((L111*Valores!$C$2*100*1.006901)+0.5)/100</f>
        <v>0</v>
      </c>
      <c r="N111" s="80">
        <f t="shared" si="13"/>
        <v>1982.1338583419999</v>
      </c>
      <c r="O111" s="80">
        <f t="shared" si="14"/>
        <v>0</v>
      </c>
      <c r="P111" s="81">
        <f>Valores!$C$20</f>
        <v>3087.7323995700003</v>
      </c>
      <c r="Q111" s="81">
        <f>Valores!$D$4</f>
        <v>2354.08</v>
      </c>
      <c r="R111" s="85">
        <f>Valores!$C$26</f>
        <v>2369.1575009200001</v>
      </c>
      <c r="S111" s="88">
        <f>Valores!$C$40</f>
        <v>573.26901534000001</v>
      </c>
      <c r="T111" s="85">
        <f>Valores!$C$24</f>
        <v>2236.2667069399999</v>
      </c>
      <c r="U111" s="80">
        <f t="shared" si="12"/>
        <v>2236.2667069399999</v>
      </c>
      <c r="V111" s="80">
        <v>0</v>
      </c>
      <c r="W111" s="80">
        <v>0</v>
      </c>
      <c r="X111" s="115">
        <v>0</v>
      </c>
      <c r="Y111" s="77">
        <f>X111*Valores!$C$2*1.006901</f>
        <v>0</v>
      </c>
      <c r="Z111" s="80">
        <v>0</v>
      </c>
      <c r="AA111" s="90">
        <f>Valores!$C$29</f>
        <v>132.58872368000002</v>
      </c>
      <c r="AB111" s="80">
        <f t="shared" si="15"/>
        <v>0</v>
      </c>
      <c r="AC111" s="80">
        <f>Valores!$C$30</f>
        <v>132.59</v>
      </c>
      <c r="AD111" s="115">
        <v>94</v>
      </c>
      <c r="AE111" s="77">
        <f>AD111*Valores!$C$2*1.006901</f>
        <v>494.70979379919999</v>
      </c>
      <c r="AF111" s="80">
        <f>Valores!$C$51</f>
        <v>269.71857087000001</v>
      </c>
      <c r="AG111" s="80">
        <f>Valores!$C$52</f>
        <v>77.068202540000016</v>
      </c>
      <c r="AH111" s="80">
        <f>SUM(G111,I111,K111,M111,N111,O111,P111,Q111,R111,S111,U111,V111,W111,Y111,Z111,AA111,AB111,AC111,AE111,AF111,AG111)*Valores!$C$54</f>
        <v>0</v>
      </c>
      <c r="AI111" s="54">
        <f t="shared" si="19"/>
        <v>24114.004772001204</v>
      </c>
      <c r="AJ111" s="81">
        <f>Valores!$C$35</f>
        <v>216.04</v>
      </c>
      <c r="AK111" s="82">
        <f>Valores!$C$6</f>
        <v>154.12633607000001</v>
      </c>
      <c r="AL111" s="90">
        <v>113.02463725000001</v>
      </c>
      <c r="AM111" s="82">
        <f>IF($G$4="SI",SUM(AK111+AL111),AK111)*Valores!$C$54</f>
        <v>0</v>
      </c>
      <c r="AN111" s="184">
        <f t="shared" si="16"/>
        <v>483.19097332000001</v>
      </c>
      <c r="AO111" s="152">
        <f>AI111*-Valores!$C$56</f>
        <v>-3134.8206203601567</v>
      </c>
      <c r="AP111" s="152">
        <f>AI111*-Valores!$C$57</f>
        <v>-120.57002386000602</v>
      </c>
      <c r="AQ111" s="81">
        <f>AI111*-Valores!$C$58</f>
        <v>-1085.1302147400543</v>
      </c>
      <c r="AR111" s="81">
        <f>AI111*-Valores!$C$59</f>
        <v>-651.07812884403256</v>
      </c>
      <c r="AS111" s="81">
        <f>AI111*-Valores!$C$60</f>
        <v>-72.342014316003613</v>
      </c>
      <c r="AT111" s="54">
        <f t="shared" si="17"/>
        <v>20256.67488636099</v>
      </c>
      <c r="AU111" s="54">
        <f t="shared" si="18"/>
        <v>20618.384957941002</v>
      </c>
      <c r="AV111" s="81">
        <f>AI111*Valores!$C$61</f>
        <v>3858.2407635201926</v>
      </c>
      <c r="AW111" s="81">
        <f>AI111*Valores!$C$62</f>
        <v>1085.1302147400543</v>
      </c>
      <c r="AX111" s="81">
        <f>AI111*Valores!$C$64</f>
        <v>241.14004772001203</v>
      </c>
      <c r="AY111" s="81">
        <f>AI111*Valores!$C$65</f>
        <v>843.99016702004224</v>
      </c>
      <c r="AZ111" s="81">
        <f>AI111*Valores!$C$66</f>
        <v>144.68402863200723</v>
      </c>
      <c r="BA111" s="81">
        <f t="shared" si="20"/>
        <v>1302.1562576880651</v>
      </c>
      <c r="BB111" s="55"/>
      <c r="BC111" s="55">
        <v>25</v>
      </c>
      <c r="BD111" s="52" t="s">
        <v>467</v>
      </c>
    </row>
    <row r="112" spans="1:56" s="9" customFormat="1" ht="11.25" customHeight="1" x14ac:dyDescent="0.15">
      <c r="A112" s="20">
        <v>111</v>
      </c>
      <c r="B112" s="20"/>
      <c r="C112" s="9" t="s">
        <v>200</v>
      </c>
      <c r="E112" s="10" t="s">
        <v>201</v>
      </c>
      <c r="F112" s="123">
        <v>61</v>
      </c>
      <c r="G112" s="7">
        <f>INT((F112*Valores!$C$2*100*1.006901)+0.5)/100</f>
        <v>321.04000000000002</v>
      </c>
      <c r="H112" s="113">
        <v>1545</v>
      </c>
      <c r="I112" s="77">
        <f>INT((H112*Valores!$C$2*100*1.006901)+0.5)/100</f>
        <v>8131.13</v>
      </c>
      <c r="J112" s="145">
        <v>0</v>
      </c>
      <c r="K112" s="77">
        <f>INT((J112*Valores!$C$2*100*1.006901)+0.5)/100</f>
        <v>0</v>
      </c>
      <c r="L112" s="120">
        <v>0</v>
      </c>
      <c r="M112" s="77">
        <f>INT((L112*Valores!$C$2*100*1.006901)+0.5)/100</f>
        <v>0</v>
      </c>
      <c r="N112" s="77">
        <f t="shared" si="13"/>
        <v>1689.2558583419998</v>
      </c>
      <c r="O112" s="77">
        <f t="shared" si="14"/>
        <v>0</v>
      </c>
      <c r="P112" s="78">
        <f>Valores!$C$20</f>
        <v>3087.7323995700003</v>
      </c>
      <c r="Q112" s="78">
        <f>Valores!$D$4</f>
        <v>2354.08</v>
      </c>
      <c r="R112" s="77">
        <f>Valores!$C$26</f>
        <v>2369.1575009200001</v>
      </c>
      <c r="S112" s="79">
        <f>Valores!$C$40</f>
        <v>573.26901534000001</v>
      </c>
      <c r="T112" s="61">
        <f>Valores!$C$24</f>
        <v>2236.2667069399999</v>
      </c>
      <c r="U112" s="77">
        <f t="shared" si="12"/>
        <v>2236.2667069399999</v>
      </c>
      <c r="V112" s="77">
        <v>0</v>
      </c>
      <c r="W112" s="77">
        <v>0</v>
      </c>
      <c r="X112" s="116">
        <v>0</v>
      </c>
      <c r="Y112" s="77">
        <f>X112*Valores!$C$2*1.006901</f>
        <v>0</v>
      </c>
      <c r="Z112" s="77">
        <v>0</v>
      </c>
      <c r="AA112" s="89">
        <f>Valores!$C$29</f>
        <v>132.58872368000002</v>
      </c>
      <c r="AB112" s="77">
        <f t="shared" si="15"/>
        <v>0</v>
      </c>
      <c r="AC112" s="77">
        <f>Valores!$C$30</f>
        <v>132.59</v>
      </c>
      <c r="AD112" s="116">
        <v>94</v>
      </c>
      <c r="AE112" s="77">
        <f>AD112*Valores!$C$2*1.006901</f>
        <v>494.70979379919999</v>
      </c>
      <c r="AF112" s="77">
        <f>Valores!$C$51</f>
        <v>269.71857087000001</v>
      </c>
      <c r="AG112" s="77">
        <f>Valores!$C$52</f>
        <v>77.068202540000016</v>
      </c>
      <c r="AH112" s="77">
        <f>SUM(G112,I112,K112,M112,N112,O112,P112,Q112,R112,S112,U112,V112,W112,Y112,Z112,AA112,AB112,AC112,AE112,AF112,AG112)*Valores!$C$54</f>
        <v>0</v>
      </c>
      <c r="AI112" s="15">
        <f t="shared" si="19"/>
        <v>21868.606772001203</v>
      </c>
      <c r="AJ112" s="78">
        <f>Valores!$C$35</f>
        <v>216.04</v>
      </c>
      <c r="AK112" s="79">
        <f>Valores!$C$6</f>
        <v>154.12633607000001</v>
      </c>
      <c r="AL112" s="89">
        <v>0</v>
      </c>
      <c r="AM112" s="79">
        <f>IF($G$4="SI",SUM(AK112+AL112),AK112)*Valores!$C$54</f>
        <v>0</v>
      </c>
      <c r="AN112" s="12">
        <f t="shared" si="16"/>
        <v>370.16633607</v>
      </c>
      <c r="AO112" s="151">
        <f>AI112*-Valores!$C$56</f>
        <v>-2842.9188803601564</v>
      </c>
      <c r="AP112" s="151">
        <f>AI112*-Valores!$C$57</f>
        <v>-109.34303386000602</v>
      </c>
      <c r="AQ112" s="78">
        <f>AI112*-Valores!$C$58</f>
        <v>-984.08730474005415</v>
      </c>
      <c r="AR112" s="78">
        <f>AI112*-Valores!$C$59</f>
        <v>-590.45238284403251</v>
      </c>
      <c r="AS112" s="78">
        <f>AI112*-Valores!$C$60</f>
        <v>-65.605820316003616</v>
      </c>
      <c r="AT112" s="15">
        <f t="shared" si="17"/>
        <v>18302.423889110989</v>
      </c>
      <c r="AU112" s="15">
        <f t="shared" si="18"/>
        <v>18630.452990691007</v>
      </c>
      <c r="AV112" s="78">
        <f>AI112*Valores!$C$61</f>
        <v>3498.9770835201925</v>
      </c>
      <c r="AW112" s="78">
        <f>AI112*Valores!$C$62</f>
        <v>984.08730474005415</v>
      </c>
      <c r="AX112" s="78">
        <f>AI112*Valores!$C$64</f>
        <v>218.68606772001203</v>
      </c>
      <c r="AY112" s="78">
        <f>AI112*Valores!$C$65</f>
        <v>765.40123702004223</v>
      </c>
      <c r="AZ112" s="78">
        <f>AI112*Valores!$C$66</f>
        <v>131.21164063200723</v>
      </c>
      <c r="BA112" s="78">
        <f t="shared" si="20"/>
        <v>1180.904765688065</v>
      </c>
      <c r="BB112" s="20"/>
      <c r="BC112" s="20">
        <v>25</v>
      </c>
      <c r="BD112" s="9" t="s">
        <v>466</v>
      </c>
    </row>
    <row r="113" spans="1:56" s="9" customFormat="1" ht="11.25" customHeight="1" x14ac:dyDescent="0.15">
      <c r="A113" s="20">
        <v>112</v>
      </c>
      <c r="B113" s="20"/>
      <c r="C113" s="9" t="s">
        <v>202</v>
      </c>
      <c r="E113" s="10" t="s">
        <v>203</v>
      </c>
      <c r="F113" s="123">
        <f>75+143</f>
        <v>218</v>
      </c>
      <c r="G113" s="7">
        <f>INT((F113*Valores!$C$2*100*1.006901)+0.5)/100</f>
        <v>1147.31</v>
      </c>
      <c r="H113" s="113">
        <v>2100</v>
      </c>
      <c r="I113" s="77">
        <f>INT((H113*Valores!$C$2*100*1.006901)+0.5)/100</f>
        <v>11052.03</v>
      </c>
      <c r="J113" s="145">
        <v>0</v>
      </c>
      <c r="K113" s="77">
        <f>INT((J113*Valores!$C$2*100*1.006901)+0.5)/100</f>
        <v>0</v>
      </c>
      <c r="L113" s="120">
        <v>0</v>
      </c>
      <c r="M113" s="77">
        <f>INT((L113*Valores!$C$2*100*1.006901)+0.5)/100</f>
        <v>0</v>
      </c>
      <c r="N113" s="77">
        <f t="shared" si="13"/>
        <v>2251.3313583419999</v>
      </c>
      <c r="O113" s="77">
        <f t="shared" si="14"/>
        <v>0</v>
      </c>
      <c r="P113" s="78">
        <f>Valores!$C$20</f>
        <v>3087.7323995700003</v>
      </c>
      <c r="Q113" s="78">
        <f>Valores!$D$4</f>
        <v>2354.08</v>
      </c>
      <c r="R113" s="61">
        <f>Valores!$C$26</f>
        <v>2369.1575009200001</v>
      </c>
      <c r="S113" s="87">
        <f>Valores!$C$40</f>
        <v>573.26901534000001</v>
      </c>
      <c r="T113" s="61">
        <f>Valores!$C$24</f>
        <v>2236.2667069399999</v>
      </c>
      <c r="U113" s="77">
        <f t="shared" ref="U113:U176" si="21">T113*(1+$I$2)</f>
        <v>2236.2667069399999</v>
      </c>
      <c r="V113" s="77">
        <v>0</v>
      </c>
      <c r="W113" s="77">
        <v>0</v>
      </c>
      <c r="X113" s="116">
        <v>0</v>
      </c>
      <c r="Y113" s="77">
        <f>X113*Valores!$C$2*1.006901</f>
        <v>0</v>
      </c>
      <c r="Z113" s="77">
        <v>0</v>
      </c>
      <c r="AA113" s="89">
        <f>Valores!$C$29</f>
        <v>132.58872368000002</v>
      </c>
      <c r="AB113" s="77">
        <f t="shared" si="15"/>
        <v>0</v>
      </c>
      <c r="AC113" s="77">
        <f>Valores!$C$30</f>
        <v>132.59</v>
      </c>
      <c r="AD113" s="116">
        <v>0</v>
      </c>
      <c r="AE113" s="77">
        <f>AD113*Valores!$C$2*1.006901</f>
        <v>0</v>
      </c>
      <c r="AF113" s="77">
        <f>Valores!$C$51</f>
        <v>269.71857087000001</v>
      </c>
      <c r="AG113" s="77">
        <f>Valores!$C$52</f>
        <v>77.068202540000016</v>
      </c>
      <c r="AH113" s="77">
        <f>SUM(G113,I113,K113,M113,N113,O113,P113,Q113,R113,S113,U113,V113,W113,Y113,Z113,AA113,AB113,AC113,AE113,AF113,AG113)*Valores!$C$54</f>
        <v>0</v>
      </c>
      <c r="AI113" s="15">
        <f t="shared" si="19"/>
        <v>25683.142478202</v>
      </c>
      <c r="AJ113" s="78">
        <f>Valores!$C$35</f>
        <v>216.04</v>
      </c>
      <c r="AK113" s="79">
        <f>Valores!$C$6</f>
        <v>154.12633607000001</v>
      </c>
      <c r="AL113" s="89">
        <v>113.02463725000001</v>
      </c>
      <c r="AM113" s="79">
        <f>IF($G$4="SI",SUM(AK113+AL113),AK113)*Valores!$C$54</f>
        <v>0</v>
      </c>
      <c r="AN113" s="12">
        <f t="shared" si="16"/>
        <v>483.19097332000001</v>
      </c>
      <c r="AO113" s="151">
        <f>AI113*-Valores!$C$56</f>
        <v>-3338.80852216626</v>
      </c>
      <c r="AP113" s="151">
        <f>AI113*-Valores!$C$57</f>
        <v>-128.41571239101</v>
      </c>
      <c r="AQ113" s="78">
        <f>AI113*-Valores!$C$58</f>
        <v>-1155.74141151909</v>
      </c>
      <c r="AR113" s="78">
        <f>AI113*-Valores!$C$59</f>
        <v>-693.44484691145408</v>
      </c>
      <c r="AS113" s="78">
        <f>AI113*-Valores!$C$60</f>
        <v>-77.049427434606002</v>
      </c>
      <c r="AT113" s="15">
        <f t="shared" si="17"/>
        <v>21543.36780544564</v>
      </c>
      <c r="AU113" s="15">
        <f t="shared" si="18"/>
        <v>21928.614942618671</v>
      </c>
      <c r="AV113" s="78">
        <f>AI113*Valores!$C$61</f>
        <v>4109.3027965123201</v>
      </c>
      <c r="AW113" s="78">
        <f>AI113*Valores!$C$62</f>
        <v>1155.74141151909</v>
      </c>
      <c r="AX113" s="78">
        <f>AI113*Valores!$C$64</f>
        <v>256.83142478202001</v>
      </c>
      <c r="AY113" s="78">
        <f>AI113*Valores!$C$65</f>
        <v>898.90998673707008</v>
      </c>
      <c r="AZ113" s="78">
        <f>AI113*Valores!$C$66</f>
        <v>154.098854869212</v>
      </c>
      <c r="BA113" s="78">
        <f t="shared" si="20"/>
        <v>1386.8896938229082</v>
      </c>
      <c r="BB113" s="20"/>
      <c r="BC113" s="20">
        <v>30</v>
      </c>
      <c r="BD113" s="9" t="s">
        <v>467</v>
      </c>
    </row>
    <row r="114" spans="1:56" s="9" customFormat="1" ht="11.25" customHeight="1" x14ac:dyDescent="0.15">
      <c r="A114" s="20">
        <v>113</v>
      </c>
      <c r="B114" s="20"/>
      <c r="C114" s="9" t="s">
        <v>204</v>
      </c>
      <c r="E114" s="10" t="s">
        <v>205</v>
      </c>
      <c r="F114" s="123">
        <f>77+143</f>
        <v>220</v>
      </c>
      <c r="G114" s="7">
        <f>INT((F114*Valores!$C$2*100*1.006901)+0.5)/100</f>
        <v>1157.83</v>
      </c>
      <c r="H114" s="113">
        <v>1995</v>
      </c>
      <c r="I114" s="77">
        <f>INT((H114*Valores!$C$2*100*1.006901)+0.5)/100</f>
        <v>10499.43</v>
      </c>
      <c r="J114" s="145">
        <v>0</v>
      </c>
      <c r="K114" s="77">
        <f>INT((J114*Valores!$C$2*100*1.006901)+0.5)/100</f>
        <v>0</v>
      </c>
      <c r="L114" s="120">
        <v>0</v>
      </c>
      <c r="M114" s="77">
        <f>INT((L114*Valores!$C$2*100*1.006901)+0.5)/100</f>
        <v>0</v>
      </c>
      <c r="N114" s="77">
        <f t="shared" si="13"/>
        <v>2170.019358342</v>
      </c>
      <c r="O114" s="77">
        <f t="shared" si="14"/>
        <v>0</v>
      </c>
      <c r="P114" s="78">
        <f>Valores!$C$20</f>
        <v>3087.7323995700003</v>
      </c>
      <c r="Q114" s="78">
        <f>Valores!$D$4</f>
        <v>2354.08</v>
      </c>
      <c r="R114" s="61">
        <f>Valores!$C$26</f>
        <v>2369.1575009200001</v>
      </c>
      <c r="S114" s="87">
        <f>Valores!$C$40</f>
        <v>573.26901534000001</v>
      </c>
      <c r="T114" s="61">
        <f>Valores!$C$24</f>
        <v>2236.2667069399999</v>
      </c>
      <c r="U114" s="77">
        <f t="shared" si="21"/>
        <v>2236.2667069399999</v>
      </c>
      <c r="V114" s="77">
        <v>0</v>
      </c>
      <c r="W114" s="77">
        <v>0</v>
      </c>
      <c r="X114" s="116">
        <v>0</v>
      </c>
      <c r="Y114" s="77">
        <f>X114*Valores!$C$2*1.006901</f>
        <v>0</v>
      </c>
      <c r="Z114" s="77">
        <v>0</v>
      </c>
      <c r="AA114" s="89">
        <f>Valores!$C$29</f>
        <v>132.58872368000002</v>
      </c>
      <c r="AB114" s="77">
        <f t="shared" si="15"/>
        <v>0</v>
      </c>
      <c r="AC114" s="77">
        <f>Valores!$C$30</f>
        <v>132.59</v>
      </c>
      <c r="AD114" s="116">
        <v>0</v>
      </c>
      <c r="AE114" s="77">
        <f>AD114*Valores!$C$2*1.006901</f>
        <v>0</v>
      </c>
      <c r="AF114" s="77">
        <f>Valores!$C$51</f>
        <v>269.71857087000001</v>
      </c>
      <c r="AG114" s="77">
        <f>Valores!$C$52</f>
        <v>77.068202540000016</v>
      </c>
      <c r="AH114" s="77">
        <f>SUM(G114,I114,K114,M114,N114,O114,P114,Q114,R114,S114,U114,V114,W114,Y114,Z114,AA114,AB114,AC114,AE114,AF114,AG114)*Valores!$C$54</f>
        <v>0</v>
      </c>
      <c r="AI114" s="15">
        <f t="shared" si="19"/>
        <v>25059.750478202001</v>
      </c>
      <c r="AJ114" s="78">
        <f>Valores!$C$35</f>
        <v>216.04</v>
      </c>
      <c r="AK114" s="79">
        <f>Valores!$C$6</f>
        <v>154.12633607000001</v>
      </c>
      <c r="AL114" s="89">
        <v>113.02463725000001</v>
      </c>
      <c r="AM114" s="79">
        <f>IF($G$4="SI",SUM(AK114+AL114),AK114)*Valores!$C$54</f>
        <v>0</v>
      </c>
      <c r="AN114" s="12">
        <f t="shared" si="16"/>
        <v>483.19097332000001</v>
      </c>
      <c r="AO114" s="151">
        <f>AI114*-Valores!$C$56</f>
        <v>-3257.7675621662602</v>
      </c>
      <c r="AP114" s="151">
        <f>AI114*-Valores!$C$57</f>
        <v>-125.29875239101001</v>
      </c>
      <c r="AQ114" s="78">
        <f>AI114*-Valores!$C$58</f>
        <v>-1127.6887715190899</v>
      </c>
      <c r="AR114" s="78">
        <f>AI114*-Valores!$C$59</f>
        <v>-676.61326291145406</v>
      </c>
      <c r="AS114" s="78">
        <f>AI114*-Valores!$C$60</f>
        <v>-75.179251434606002</v>
      </c>
      <c r="AT114" s="15">
        <f t="shared" si="17"/>
        <v>21032.186365445643</v>
      </c>
      <c r="AU114" s="15">
        <f t="shared" si="18"/>
        <v>21408.082622618673</v>
      </c>
      <c r="AV114" s="78">
        <f>AI114*Valores!$C$61</f>
        <v>4009.5600765123204</v>
      </c>
      <c r="AW114" s="78">
        <f>AI114*Valores!$C$62</f>
        <v>1127.6887715190899</v>
      </c>
      <c r="AX114" s="78">
        <f>AI114*Valores!$C$64</f>
        <v>250.59750478202002</v>
      </c>
      <c r="AY114" s="78">
        <f>AI114*Valores!$C$65</f>
        <v>877.0912667370701</v>
      </c>
      <c r="AZ114" s="78">
        <f>AI114*Valores!$C$66</f>
        <v>150.358502869212</v>
      </c>
      <c r="BA114" s="78">
        <f t="shared" si="20"/>
        <v>1353.2265258229081</v>
      </c>
      <c r="BB114" s="20"/>
      <c r="BC114" s="55">
        <v>30</v>
      </c>
      <c r="BD114" s="9" t="s">
        <v>467</v>
      </c>
    </row>
    <row r="115" spans="1:56" s="9" customFormat="1" ht="11.25" customHeight="1" x14ac:dyDescent="0.15">
      <c r="A115" s="20">
        <v>114</v>
      </c>
      <c r="B115" s="20"/>
      <c r="C115" s="9" t="s">
        <v>206</v>
      </c>
      <c r="E115" s="10" t="s">
        <v>207</v>
      </c>
      <c r="F115" s="123">
        <f>72+115</f>
        <v>187</v>
      </c>
      <c r="G115" s="7">
        <f>INT((F115*Valores!$C$2*100*1.006901)+0.5)/100</f>
        <v>984.16</v>
      </c>
      <c r="H115" s="113">
        <v>1704</v>
      </c>
      <c r="I115" s="77">
        <f>INT((H115*Valores!$C$2*100*1.006901)+0.5)/100</f>
        <v>8967.93</v>
      </c>
      <c r="J115" s="145">
        <v>0</v>
      </c>
      <c r="K115" s="77">
        <f>INT((J115*Valores!$C$2*100*1.006901)+0.5)/100</f>
        <v>0</v>
      </c>
      <c r="L115" s="120">
        <v>0</v>
      </c>
      <c r="M115" s="77">
        <f>INT((L115*Valores!$C$2*100*1.006901)+0.5)/100</f>
        <v>0</v>
      </c>
      <c r="N115" s="77">
        <f t="shared" si="13"/>
        <v>1914.2438583419998</v>
      </c>
      <c r="O115" s="77">
        <f t="shared" si="14"/>
        <v>0</v>
      </c>
      <c r="P115" s="78">
        <f>Valores!$C$20</f>
        <v>3087.7323995700003</v>
      </c>
      <c r="Q115" s="78">
        <f>Valores!$D$4</f>
        <v>2354.08</v>
      </c>
      <c r="R115" s="61">
        <f>Valores!$C$26</f>
        <v>2369.1575009200001</v>
      </c>
      <c r="S115" s="87">
        <f>Valores!$C$40</f>
        <v>573.26901534000001</v>
      </c>
      <c r="T115" s="61">
        <f>Valores!$C$24</f>
        <v>2236.2667069399999</v>
      </c>
      <c r="U115" s="77">
        <f t="shared" si="21"/>
        <v>2236.2667069399999</v>
      </c>
      <c r="V115" s="77">
        <v>0</v>
      </c>
      <c r="W115" s="77">
        <v>0</v>
      </c>
      <c r="X115" s="116">
        <v>0</v>
      </c>
      <c r="Y115" s="77">
        <f>X115*Valores!$C$2*1.006901</f>
        <v>0</v>
      </c>
      <c r="Z115" s="77">
        <v>0</v>
      </c>
      <c r="AA115" s="89">
        <f>Valores!$C$29</f>
        <v>132.58872368000002</v>
      </c>
      <c r="AB115" s="77">
        <f t="shared" si="15"/>
        <v>0</v>
      </c>
      <c r="AC115" s="77">
        <f>Valores!$C$30</f>
        <v>132.59</v>
      </c>
      <c r="AD115" s="116">
        <v>0</v>
      </c>
      <c r="AE115" s="77">
        <f>AD115*Valores!$C$2*1.006901</f>
        <v>0</v>
      </c>
      <c r="AF115" s="77">
        <f>Valores!$C$51</f>
        <v>269.71857087000001</v>
      </c>
      <c r="AG115" s="77">
        <f>Valores!$C$52</f>
        <v>77.068202540000016</v>
      </c>
      <c r="AH115" s="77">
        <f>SUM(G115,I115,K115,M115,N115,O115,P115,Q115,R115,S115,U115,V115,W115,Y115,Z115,AA115,AB115,AC115,AE115,AF115,AG115)*Valores!$C$54</f>
        <v>0</v>
      </c>
      <c r="AI115" s="15">
        <f t="shared" si="19"/>
        <v>23098.804978202003</v>
      </c>
      <c r="AJ115" s="78">
        <f>Valores!$C$35</f>
        <v>216.04</v>
      </c>
      <c r="AK115" s="79">
        <f>Valores!$C$6</f>
        <v>154.12633607000001</v>
      </c>
      <c r="AL115" s="89">
        <v>0</v>
      </c>
      <c r="AM115" s="79">
        <f>IF($G$4="SI",SUM(AK115+AL115),AK115)*Valores!$C$54</f>
        <v>0</v>
      </c>
      <c r="AN115" s="12">
        <f t="shared" si="16"/>
        <v>370.16633607</v>
      </c>
      <c r="AO115" s="151">
        <f>AI115*-Valores!$C$56</f>
        <v>-3002.8446471662605</v>
      </c>
      <c r="AP115" s="151">
        <f>AI115*-Valores!$C$57</f>
        <v>-115.49402489101001</v>
      </c>
      <c r="AQ115" s="78">
        <f>AI115*-Valores!$C$58</f>
        <v>-1039.4462240190901</v>
      </c>
      <c r="AR115" s="78">
        <f>AI115*-Valores!$C$59</f>
        <v>-623.66773441145415</v>
      </c>
      <c r="AS115" s="78">
        <f>AI115*-Valores!$C$60</f>
        <v>-69.296414934606005</v>
      </c>
      <c r="AT115" s="15">
        <f t="shared" si="17"/>
        <v>19311.186418195641</v>
      </c>
      <c r="AU115" s="15">
        <f t="shared" si="18"/>
        <v>19657.668492868674</v>
      </c>
      <c r="AV115" s="78">
        <f>AI115*Valores!$C$61</f>
        <v>3695.8087965123204</v>
      </c>
      <c r="AW115" s="78">
        <f>AI115*Valores!$C$62</f>
        <v>1039.4462240190901</v>
      </c>
      <c r="AX115" s="78">
        <f>AI115*Valores!$C$64</f>
        <v>230.98804978202003</v>
      </c>
      <c r="AY115" s="78">
        <f>AI115*Valores!$C$65</f>
        <v>808.45817423707012</v>
      </c>
      <c r="AZ115" s="78">
        <f>AI115*Valores!$C$66</f>
        <v>138.59282986921201</v>
      </c>
      <c r="BA115" s="78">
        <f t="shared" si="20"/>
        <v>1247.3354688229081</v>
      </c>
      <c r="BB115" s="20"/>
      <c r="BC115" s="20">
        <v>30</v>
      </c>
      <c r="BD115" s="9" t="s">
        <v>467</v>
      </c>
    </row>
    <row r="116" spans="1:56" s="9" customFormat="1" ht="11.25" customHeight="1" x14ac:dyDescent="0.15">
      <c r="A116" s="55">
        <v>115</v>
      </c>
      <c r="B116" s="55" t="s">
        <v>462</v>
      </c>
      <c r="C116" s="52" t="s">
        <v>208</v>
      </c>
      <c r="D116" s="52"/>
      <c r="E116" s="53" t="s">
        <v>209</v>
      </c>
      <c r="F116" s="124">
        <f>67+94</f>
        <v>161</v>
      </c>
      <c r="G116" s="7">
        <f>INT((F116*Valores!$C$2*100*1.006901)+0.5)/100</f>
        <v>847.32</v>
      </c>
      <c r="H116" s="114">
        <v>1480</v>
      </c>
      <c r="I116" s="77">
        <f>INT((H116*Valores!$C$2*100*1.006901)+0.5)/100</f>
        <v>7789.05</v>
      </c>
      <c r="J116" s="146">
        <v>0</v>
      </c>
      <c r="K116" s="77">
        <f>INT((J116*Valores!$C$2*100*1.006901)+0.5)/100</f>
        <v>0</v>
      </c>
      <c r="L116" s="121">
        <v>0</v>
      </c>
      <c r="M116" s="77">
        <f>INT((L116*Valores!$C$2*100*1.006901)+0.5)/100</f>
        <v>0</v>
      </c>
      <c r="N116" s="80">
        <f t="shared" si="13"/>
        <v>1716.8858583419999</v>
      </c>
      <c r="O116" s="80">
        <f t="shared" si="14"/>
        <v>0</v>
      </c>
      <c r="P116" s="81">
        <f>Valores!$C$20</f>
        <v>3087.7323995700003</v>
      </c>
      <c r="Q116" s="81">
        <f>Valores!$D$4</f>
        <v>2354.08</v>
      </c>
      <c r="R116" s="85">
        <f>Valores!$C$26</f>
        <v>2369.1575009200001</v>
      </c>
      <c r="S116" s="88">
        <f>Valores!$C$40</f>
        <v>573.26901534000001</v>
      </c>
      <c r="T116" s="85">
        <f>Valores!$C$24</f>
        <v>2236.2667069399999</v>
      </c>
      <c r="U116" s="80">
        <f t="shared" si="21"/>
        <v>2236.2667069399999</v>
      </c>
      <c r="V116" s="80">
        <v>0</v>
      </c>
      <c r="W116" s="80">
        <v>0</v>
      </c>
      <c r="X116" s="115">
        <v>0</v>
      </c>
      <c r="Y116" s="77">
        <f>X116*Valores!$C$2*1.006901</f>
        <v>0</v>
      </c>
      <c r="Z116" s="80">
        <v>0</v>
      </c>
      <c r="AA116" s="90">
        <f>Valores!$C$29</f>
        <v>132.58872368000002</v>
      </c>
      <c r="AB116" s="80">
        <f t="shared" si="15"/>
        <v>0</v>
      </c>
      <c r="AC116" s="80">
        <f>Valores!$C$30</f>
        <v>132.59</v>
      </c>
      <c r="AD116" s="115">
        <v>0</v>
      </c>
      <c r="AE116" s="77">
        <f>AD116*Valores!$C$2*1.006901</f>
        <v>0</v>
      </c>
      <c r="AF116" s="80">
        <f>Valores!$C$51</f>
        <v>269.71857087000001</v>
      </c>
      <c r="AG116" s="80">
        <f>Valores!$C$52</f>
        <v>77.068202540000016</v>
      </c>
      <c r="AH116" s="80">
        <f>SUM(G116,I116,K116,M116,N116,O116,P116,Q116,R116,S116,U116,V116,W116,Y116,Z116,AA116,AB116,AC116,AE116,AF116,AG116)*Valores!$C$54</f>
        <v>0</v>
      </c>
      <c r="AI116" s="54">
        <f t="shared" si="19"/>
        <v>21585.726978202005</v>
      </c>
      <c r="AJ116" s="81">
        <f>Valores!$C$35</f>
        <v>216.04</v>
      </c>
      <c r="AK116" s="82">
        <f>Valores!$C$6</f>
        <v>154.12633607000001</v>
      </c>
      <c r="AL116" s="90">
        <v>0</v>
      </c>
      <c r="AM116" s="82">
        <f>IF($G$4="SI",SUM(AK116+AL116),AK116)*Valores!$C$54</f>
        <v>0</v>
      </c>
      <c r="AN116" s="184">
        <f t="shared" si="16"/>
        <v>370.16633607</v>
      </c>
      <c r="AO116" s="152">
        <f>AI116*-Valores!$C$56</f>
        <v>-2806.1445071662606</v>
      </c>
      <c r="AP116" s="152">
        <f>AI116*-Valores!$C$57</f>
        <v>-107.92863489101002</v>
      </c>
      <c r="AQ116" s="81">
        <f>AI116*-Valores!$C$58</f>
        <v>-971.35771401909017</v>
      </c>
      <c r="AR116" s="81">
        <f>AI116*-Valores!$C$59</f>
        <v>-582.81462841145424</v>
      </c>
      <c r="AS116" s="81">
        <f>AI116*-Valores!$C$60</f>
        <v>-64.757180934606012</v>
      </c>
      <c r="AT116" s="54">
        <f t="shared" si="17"/>
        <v>18070.462458195645</v>
      </c>
      <c r="AU116" s="54">
        <f t="shared" si="18"/>
        <v>18394.248362868675</v>
      </c>
      <c r="AV116" s="81">
        <f>AI116*Valores!$C$61</f>
        <v>3453.7163165123206</v>
      </c>
      <c r="AW116" s="81">
        <f>AI116*Valores!$C$62</f>
        <v>971.35771401909017</v>
      </c>
      <c r="AX116" s="81">
        <f>AI116*Valores!$C$64</f>
        <v>215.85726978202004</v>
      </c>
      <c r="AY116" s="81">
        <f>AI116*Valores!$C$65</f>
        <v>755.50044423707027</v>
      </c>
      <c r="AZ116" s="81">
        <f>AI116*Valores!$C$66</f>
        <v>129.51436186921202</v>
      </c>
      <c r="BA116" s="81">
        <f t="shared" si="20"/>
        <v>1165.6292568229082</v>
      </c>
      <c r="BB116" s="55"/>
      <c r="BC116" s="55">
        <v>30</v>
      </c>
      <c r="BD116" s="52" t="s">
        <v>467</v>
      </c>
    </row>
    <row r="117" spans="1:56" s="9" customFormat="1" ht="11.25" customHeight="1" x14ac:dyDescent="0.15">
      <c r="A117" s="20">
        <v>116</v>
      </c>
      <c r="B117" s="20"/>
      <c r="C117" s="9" t="s">
        <v>210</v>
      </c>
      <c r="E117" s="10" t="s">
        <v>211</v>
      </c>
      <c r="F117" s="123">
        <f>1184+94</f>
        <v>1278</v>
      </c>
      <c r="G117" s="7">
        <f>INT((F117*Valores!$C$2*100*1.006901)+0.5)/100</f>
        <v>6725.95</v>
      </c>
      <c r="H117" s="132">
        <v>0</v>
      </c>
      <c r="I117" s="77">
        <f>INT((H117*Valores!$C$2*100*1.006901)+0.5)/100</f>
        <v>0</v>
      </c>
      <c r="J117" s="145">
        <v>0</v>
      </c>
      <c r="K117" s="77">
        <f>INT((J117*Valores!$C$2*100*1.006901)+0.5)/100</f>
        <v>0</v>
      </c>
      <c r="L117" s="120">
        <v>0</v>
      </c>
      <c r="M117" s="77">
        <f>INT((L117*Valores!$C$2*100*1.006901)+0.5)/100</f>
        <v>0</v>
      </c>
      <c r="N117" s="77">
        <f t="shared" si="13"/>
        <v>1430.322858342</v>
      </c>
      <c r="O117" s="77">
        <f t="shared" si="14"/>
        <v>0</v>
      </c>
      <c r="P117" s="78">
        <f>Valores!$C$20</f>
        <v>3087.7323995700003</v>
      </c>
      <c r="Q117" s="78">
        <f>Valores!$D$4</f>
        <v>2354.08</v>
      </c>
      <c r="R117" s="77">
        <f>Valores!$C$26</f>
        <v>2369.1575009200001</v>
      </c>
      <c r="S117" s="79">
        <f>Valores!$C$40</f>
        <v>573.26901534000001</v>
      </c>
      <c r="T117" s="61">
        <f>Valores!$C$24</f>
        <v>2236.2667069399999</v>
      </c>
      <c r="U117" s="77">
        <f t="shared" si="21"/>
        <v>2236.2667069399999</v>
      </c>
      <c r="V117" s="77">
        <v>0</v>
      </c>
      <c r="W117" s="77">
        <v>0</v>
      </c>
      <c r="X117" s="116">
        <v>0</v>
      </c>
      <c r="Y117" s="77">
        <f>X117*Valores!$C$2*1.006901</f>
        <v>0</v>
      </c>
      <c r="Z117" s="77">
        <v>0</v>
      </c>
      <c r="AA117" s="89">
        <f>Valores!$C$29</f>
        <v>132.58872368000002</v>
      </c>
      <c r="AB117" s="77">
        <f t="shared" si="15"/>
        <v>0</v>
      </c>
      <c r="AC117" s="77">
        <f>Valores!$C$30</f>
        <v>132.59</v>
      </c>
      <c r="AD117" s="116">
        <v>0</v>
      </c>
      <c r="AE117" s="77">
        <f>AD117*Valores!$C$2*1.006901</f>
        <v>0</v>
      </c>
      <c r="AF117" s="77">
        <f>Valores!$C$51</f>
        <v>269.71857087000001</v>
      </c>
      <c r="AG117" s="77">
        <f>Valores!$C$52</f>
        <v>77.068202540000016</v>
      </c>
      <c r="AH117" s="77">
        <f>SUM(G117,I117,K117,M117,N117,O117,P117,Q117,R117,S117,U117,V117,W117,Y117,Z117,AA117,AB117,AC117,AE117,AF117,AG117)*Valores!$C$54</f>
        <v>0</v>
      </c>
      <c r="AI117" s="15">
        <f t="shared" si="19"/>
        <v>19388.743978202001</v>
      </c>
      <c r="AJ117" s="78">
        <f>Valores!$C$35</f>
        <v>216.04</v>
      </c>
      <c r="AK117" s="79">
        <f>Valores!$C$6</f>
        <v>154.12633607000001</v>
      </c>
      <c r="AL117" s="89">
        <v>113.02463725000001</v>
      </c>
      <c r="AM117" s="79">
        <f>IF($G$4="SI",SUM(AK117+AL117),AK117)*Valores!$C$54</f>
        <v>0</v>
      </c>
      <c r="AN117" s="12">
        <f t="shared" si="16"/>
        <v>483.19097332000001</v>
      </c>
      <c r="AO117" s="151">
        <f>AI117*-Valores!$C$56</f>
        <v>-2520.5367171662601</v>
      </c>
      <c r="AP117" s="151">
        <f>AI117*-Valores!$C$57</f>
        <v>-96.943719891010005</v>
      </c>
      <c r="AQ117" s="78">
        <f>AI117*-Valores!$C$58</f>
        <v>-872.49347901909005</v>
      </c>
      <c r="AR117" s="78">
        <f>AI117*-Valores!$C$59</f>
        <v>-523.49608741145414</v>
      </c>
      <c r="AS117" s="78">
        <f>AI117*-Valores!$C$60</f>
        <v>-58.166231934606003</v>
      </c>
      <c r="AT117" s="15">
        <f t="shared" si="17"/>
        <v>16381.961035445644</v>
      </c>
      <c r="AU117" s="15">
        <f t="shared" si="18"/>
        <v>16672.792195118673</v>
      </c>
      <c r="AV117" s="78">
        <f>AI117*Valores!$C$61</f>
        <v>3102.1990365123202</v>
      </c>
      <c r="AW117" s="78">
        <f>AI117*Valores!$C$62</f>
        <v>872.49347901909005</v>
      </c>
      <c r="AX117" s="78">
        <f>AI117*Valores!$C$64</f>
        <v>193.88743978202001</v>
      </c>
      <c r="AY117" s="78">
        <f>AI117*Valores!$C$65</f>
        <v>678.60603923707015</v>
      </c>
      <c r="AZ117" s="78">
        <f>AI117*Valores!$C$66</f>
        <v>116.33246386921201</v>
      </c>
      <c r="BA117" s="78">
        <f t="shared" si="20"/>
        <v>1046.9921748229081</v>
      </c>
      <c r="BB117" s="20"/>
      <c r="BC117" s="20">
        <v>30</v>
      </c>
      <c r="BD117" s="9" t="s">
        <v>467</v>
      </c>
    </row>
    <row r="118" spans="1:56" s="9" customFormat="1" ht="11.25" customHeight="1" x14ac:dyDescent="0.15">
      <c r="A118" s="20">
        <v>117</v>
      </c>
      <c r="B118" s="20"/>
      <c r="C118" s="9" t="s">
        <v>212</v>
      </c>
      <c r="E118" s="10" t="s">
        <v>213</v>
      </c>
      <c r="F118" s="123">
        <v>77</v>
      </c>
      <c r="G118" s="7">
        <f>INT((F118*Valores!$C$2*100*1.006901)+0.5)/100</f>
        <v>405.24</v>
      </c>
      <c r="H118" s="132">
        <v>2073</v>
      </c>
      <c r="I118" s="77">
        <f>INT((H118*Valores!$C$2*100*1.006901)+0.5)/100</f>
        <v>10909.93</v>
      </c>
      <c r="J118" s="145">
        <v>0</v>
      </c>
      <c r="K118" s="77">
        <f>INT((J118*Valores!$C$2*100*1.006901)+0.5)/100</f>
        <v>0</v>
      </c>
      <c r="L118" s="120">
        <v>0</v>
      </c>
      <c r="M118" s="77">
        <f>INT((L118*Valores!$C$2*100*1.006901)+0.5)/100</f>
        <v>0</v>
      </c>
      <c r="N118" s="77">
        <f t="shared" si="13"/>
        <v>2151.9955157534996</v>
      </c>
      <c r="O118" s="77">
        <f t="shared" si="14"/>
        <v>0</v>
      </c>
      <c r="P118" s="78">
        <f>Valores!$C$15</f>
        <v>3241.8587356399998</v>
      </c>
      <c r="Q118" s="78">
        <f>Valores!$D$4</f>
        <v>2354.08</v>
      </c>
      <c r="R118" s="61">
        <f>Valores!$C$26</f>
        <v>2369.1575009200001</v>
      </c>
      <c r="S118" s="87">
        <f>Valores!$C$42</f>
        <v>764.36875613000007</v>
      </c>
      <c r="T118" s="77">
        <f>Valores!$C$23</f>
        <v>2267.09801556</v>
      </c>
      <c r="U118" s="77">
        <f t="shared" si="21"/>
        <v>2267.09801556</v>
      </c>
      <c r="V118" s="77">
        <v>0</v>
      </c>
      <c r="W118" s="77">
        <v>0</v>
      </c>
      <c r="X118" s="116">
        <v>0</v>
      </c>
      <c r="Y118" s="77">
        <f>X118*Valores!$C$2*1.006901</f>
        <v>0</v>
      </c>
      <c r="Z118" s="77">
        <v>0</v>
      </c>
      <c r="AA118" s="89">
        <f>Valores!$C$29</f>
        <v>132.58872368000002</v>
      </c>
      <c r="AB118" s="77">
        <f t="shared" si="15"/>
        <v>0</v>
      </c>
      <c r="AC118" s="77">
        <f>Valores!$C$30</f>
        <v>132.59</v>
      </c>
      <c r="AD118" s="116">
        <v>0</v>
      </c>
      <c r="AE118" s="77">
        <f>AD118*Valores!$C$2*1.006901</f>
        <v>0</v>
      </c>
      <c r="AF118" s="77">
        <f>Valores!$C$51</f>
        <v>269.71857087000001</v>
      </c>
      <c r="AG118" s="77">
        <f>Valores!$C$52</f>
        <v>77.068202540000016</v>
      </c>
      <c r="AH118" s="77">
        <f>SUM(G118,I118,K118,M118,N118,O118,P118,Q118,R118,S118,U118,V118,W118,Y118,Z118,AA118,AB118,AC118,AE118,AF118,AG118)*Valores!$C$54</f>
        <v>0</v>
      </c>
      <c r="AI118" s="15">
        <f t="shared" si="19"/>
        <v>25075.694021093495</v>
      </c>
      <c r="AJ118" s="78">
        <f>Valores!$C$35</f>
        <v>216.04</v>
      </c>
      <c r="AK118" s="79">
        <f>Valores!$C$8</f>
        <v>205.50849410000001</v>
      </c>
      <c r="AL118" s="89">
        <v>0</v>
      </c>
      <c r="AM118" s="79">
        <f>IF($G$4="SI",SUM(AK118+AL118),AK118)*Valores!$C$54</f>
        <v>0</v>
      </c>
      <c r="AN118" s="12">
        <f t="shared" si="16"/>
        <v>421.54849409999997</v>
      </c>
      <c r="AO118" s="151">
        <f>AI118*-Valores!$C$56</f>
        <v>-3259.8402227421543</v>
      </c>
      <c r="AP118" s="151">
        <f>AI118*-Valores!$C$57</f>
        <v>-125.37847010546749</v>
      </c>
      <c r="AQ118" s="78">
        <f>AI118*-Valores!$C$58</f>
        <v>-1128.4062309492072</v>
      </c>
      <c r="AR118" s="78">
        <f>AI118*-Valores!$C$59</f>
        <v>-677.04373856952441</v>
      </c>
      <c r="AS118" s="78">
        <f>AI118*-Valores!$C$60</f>
        <v>-75.227082063280491</v>
      </c>
      <c r="AT118" s="15">
        <f t="shared" si="17"/>
        <v>20983.617591396665</v>
      </c>
      <c r="AU118" s="15">
        <f t="shared" si="18"/>
        <v>21359.753001713067</v>
      </c>
      <c r="AV118" s="78">
        <f>AI118*Valores!$C$61</f>
        <v>4012.1110433749595</v>
      </c>
      <c r="AW118" s="78">
        <f>AI118*Valores!$C$62</f>
        <v>1128.4062309492072</v>
      </c>
      <c r="AX118" s="78">
        <f>AI118*Valores!$C$64</f>
        <v>250.75694021093497</v>
      </c>
      <c r="AY118" s="78">
        <f>AI118*Valores!$C$65</f>
        <v>877.64929073827238</v>
      </c>
      <c r="AZ118" s="78">
        <f>AI118*Valores!$C$66</f>
        <v>150.45416412656098</v>
      </c>
      <c r="BA118" s="78">
        <f t="shared" si="20"/>
        <v>1354.0874771390488</v>
      </c>
      <c r="BB118" s="20"/>
      <c r="BC118" s="20">
        <v>30</v>
      </c>
      <c r="BD118" s="9" t="s">
        <v>467</v>
      </c>
    </row>
    <row r="119" spans="1:56" s="9" customFormat="1" ht="11.25" customHeight="1" x14ac:dyDescent="0.15">
      <c r="A119" s="20">
        <v>118</v>
      </c>
      <c r="B119" s="20"/>
      <c r="C119" s="9" t="s">
        <v>214</v>
      </c>
      <c r="E119" s="10" t="s">
        <v>215</v>
      </c>
      <c r="F119" s="123">
        <v>77</v>
      </c>
      <c r="G119" s="7">
        <f>INT((F119*Valores!$C$2*100*1.006901)+0.5)/100</f>
        <v>405.24</v>
      </c>
      <c r="H119" s="132">
        <v>2043</v>
      </c>
      <c r="I119" s="77">
        <f>INT((H119*Valores!$C$2*100*1.006901)+0.5)/100</f>
        <v>10752.04</v>
      </c>
      <c r="J119" s="145">
        <v>0</v>
      </c>
      <c r="K119" s="77">
        <f>INT((J119*Valores!$C$2*100*1.006901)+0.5)/100</f>
        <v>0</v>
      </c>
      <c r="L119" s="120">
        <v>0</v>
      </c>
      <c r="M119" s="77">
        <f>INT((L119*Valores!$C$2*100*1.006901)+0.5)/100</f>
        <v>0</v>
      </c>
      <c r="N119" s="77">
        <f t="shared" si="13"/>
        <v>2128.3120157535</v>
      </c>
      <c r="O119" s="77">
        <f t="shared" si="14"/>
        <v>0</v>
      </c>
      <c r="P119" s="78">
        <f>Valores!$C$16</f>
        <v>3262.4095850500003</v>
      </c>
      <c r="Q119" s="78">
        <f>Valores!$D$4</f>
        <v>2354.08</v>
      </c>
      <c r="R119" s="61">
        <f>Valores!$C$26</f>
        <v>2369.1575009200001</v>
      </c>
      <c r="S119" s="87">
        <f>Valores!$C$42</f>
        <v>764.36875613000007</v>
      </c>
      <c r="T119" s="77">
        <f>Valores!$C$23</f>
        <v>2267.09801556</v>
      </c>
      <c r="U119" s="77">
        <f t="shared" si="21"/>
        <v>2267.09801556</v>
      </c>
      <c r="V119" s="77">
        <v>0</v>
      </c>
      <c r="W119" s="77">
        <v>0</v>
      </c>
      <c r="X119" s="116">
        <v>0</v>
      </c>
      <c r="Y119" s="77">
        <f>X119*Valores!$C$2*1.006901</f>
        <v>0</v>
      </c>
      <c r="Z119" s="77">
        <v>0</v>
      </c>
      <c r="AA119" s="89">
        <f>Valores!$C$29</f>
        <v>132.58872368000002</v>
      </c>
      <c r="AB119" s="77">
        <f t="shared" si="15"/>
        <v>0</v>
      </c>
      <c r="AC119" s="77">
        <f>Valores!$C$30</f>
        <v>132.59</v>
      </c>
      <c r="AD119" s="116">
        <v>0</v>
      </c>
      <c r="AE119" s="77">
        <f>AD119*Valores!$C$2*1.006901</f>
        <v>0</v>
      </c>
      <c r="AF119" s="77">
        <f>Valores!$C$51</f>
        <v>269.71857087000001</v>
      </c>
      <c r="AG119" s="77">
        <f>Valores!$C$52</f>
        <v>77.068202540000016</v>
      </c>
      <c r="AH119" s="77">
        <f>SUM(G119,I119,K119,M119,N119,O119,P119,Q119,R119,S119,U119,V119,W119,Y119,Z119,AA119,AB119,AC119,AE119,AF119,AG119)*Valores!$C$54</f>
        <v>0</v>
      </c>
      <c r="AI119" s="15">
        <f t="shared" si="19"/>
        <v>24914.671370503504</v>
      </c>
      <c r="AJ119" s="78">
        <f>Valores!$C$35</f>
        <v>216.04</v>
      </c>
      <c r="AK119" s="79">
        <f>Valores!$C$8</f>
        <v>205.50849410000001</v>
      </c>
      <c r="AL119" s="89">
        <v>113.02463725000001</v>
      </c>
      <c r="AM119" s="79">
        <f>IF($G$4="SI",SUM(AK119+AL119),AK119)*Valores!$C$54</f>
        <v>0</v>
      </c>
      <c r="AN119" s="12">
        <f t="shared" si="16"/>
        <v>534.57313135000004</v>
      </c>
      <c r="AO119" s="151">
        <f>AI119*-Valores!$C$56</f>
        <v>-3238.9072781654554</v>
      </c>
      <c r="AP119" s="151">
        <f>AI119*-Valores!$C$57</f>
        <v>-124.57335685251752</v>
      </c>
      <c r="AQ119" s="78">
        <f>AI119*-Valores!$C$58</f>
        <v>-1121.1602116726576</v>
      </c>
      <c r="AR119" s="78">
        <f>AI119*-Valores!$C$59</f>
        <v>-672.69612700359471</v>
      </c>
      <c r="AS119" s="78">
        <f>AI119*-Valores!$C$60</f>
        <v>-74.744014111510509</v>
      </c>
      <c r="AT119" s="15">
        <f t="shared" si="17"/>
        <v>20964.603655162875</v>
      </c>
      <c r="AU119" s="15">
        <f t="shared" si="18"/>
        <v>21338.323725720427</v>
      </c>
      <c r="AV119" s="78">
        <f>AI119*Valores!$C$61</f>
        <v>3986.3474192805606</v>
      </c>
      <c r="AW119" s="78">
        <f>AI119*Valores!$C$62</f>
        <v>1121.1602116726576</v>
      </c>
      <c r="AX119" s="78">
        <f>AI119*Valores!$C$64</f>
        <v>249.14671370503504</v>
      </c>
      <c r="AY119" s="78">
        <f>AI119*Valores!$C$65</f>
        <v>872.0134979676227</v>
      </c>
      <c r="AZ119" s="78">
        <f>AI119*Valores!$C$66</f>
        <v>149.48802822302102</v>
      </c>
      <c r="BA119" s="78">
        <f t="shared" si="20"/>
        <v>1345.3922540071892</v>
      </c>
      <c r="BB119" s="20"/>
      <c r="BC119" s="55">
        <v>30</v>
      </c>
      <c r="BD119" s="9" t="s">
        <v>467</v>
      </c>
    </row>
    <row r="120" spans="1:56" s="9" customFormat="1" ht="11.25" customHeight="1" x14ac:dyDescent="0.15">
      <c r="A120" s="20">
        <v>119</v>
      </c>
      <c r="B120" s="20"/>
      <c r="C120" s="9" t="s">
        <v>216</v>
      </c>
      <c r="E120" s="10" t="s">
        <v>217</v>
      </c>
      <c r="F120" s="123">
        <v>76</v>
      </c>
      <c r="G120" s="7">
        <f>INT((F120*Valores!$C$2*100*1.006901)+0.5)/100</f>
        <v>399.98</v>
      </c>
      <c r="H120" s="132">
        <v>1954</v>
      </c>
      <c r="I120" s="77">
        <f>INT((H120*Valores!$C$2*100*1.006901)+0.5)/100</f>
        <v>10283.65</v>
      </c>
      <c r="J120" s="145">
        <v>0</v>
      </c>
      <c r="K120" s="77">
        <f>INT((J120*Valores!$C$2*100*1.006901)+0.5)/100</f>
        <v>0</v>
      </c>
      <c r="L120" s="120">
        <v>0</v>
      </c>
      <c r="M120" s="77">
        <f>INT((L120*Valores!$C$2*100*1.006901)+0.5)/100</f>
        <v>0</v>
      </c>
      <c r="N120" s="77">
        <f t="shared" si="13"/>
        <v>2057.2645157534994</v>
      </c>
      <c r="O120" s="77">
        <f t="shared" si="14"/>
        <v>0</v>
      </c>
      <c r="P120" s="78">
        <f>Valores!$C$16</f>
        <v>3262.4095850500003</v>
      </c>
      <c r="Q120" s="78">
        <f>Valores!$D$4</f>
        <v>2354.08</v>
      </c>
      <c r="R120" s="61">
        <f>Valores!$C$26</f>
        <v>2369.1575009200001</v>
      </c>
      <c r="S120" s="87">
        <f>Valores!$C$42</f>
        <v>764.36875613000007</v>
      </c>
      <c r="T120" s="77">
        <f>Valores!$C$23</f>
        <v>2267.09801556</v>
      </c>
      <c r="U120" s="77">
        <f t="shared" si="21"/>
        <v>2267.09801556</v>
      </c>
      <c r="V120" s="77">
        <v>0</v>
      </c>
      <c r="W120" s="77">
        <v>0</v>
      </c>
      <c r="X120" s="116">
        <v>0</v>
      </c>
      <c r="Y120" s="77">
        <f>X120*Valores!$C$2*1.006901</f>
        <v>0</v>
      </c>
      <c r="Z120" s="77">
        <v>0</v>
      </c>
      <c r="AA120" s="89">
        <f>Valores!$C$29</f>
        <v>132.58872368000002</v>
      </c>
      <c r="AB120" s="77">
        <f t="shared" si="15"/>
        <v>0</v>
      </c>
      <c r="AC120" s="77">
        <f>Valores!$C$30</f>
        <v>132.59</v>
      </c>
      <c r="AD120" s="116">
        <v>0</v>
      </c>
      <c r="AE120" s="77">
        <f>AD120*Valores!$C$2*1.006901</f>
        <v>0</v>
      </c>
      <c r="AF120" s="77">
        <f>Valores!$C$51</f>
        <v>269.71857087000001</v>
      </c>
      <c r="AG120" s="77">
        <f>Valores!$C$52</f>
        <v>77.068202540000016</v>
      </c>
      <c r="AH120" s="77">
        <f>SUM(G120,I120,K120,M120,N120,O120,P120,Q120,R120,S120,U120,V120,W120,Y120,Z120,AA120,AB120,AC120,AE120,AF120,AG120)*Valores!$C$54</f>
        <v>0</v>
      </c>
      <c r="AI120" s="15">
        <f t="shared" si="19"/>
        <v>24369.973870503498</v>
      </c>
      <c r="AJ120" s="78">
        <f>Valores!$C$35</f>
        <v>216.04</v>
      </c>
      <c r="AK120" s="79">
        <f>Valores!$C$8</f>
        <v>205.50849410000001</v>
      </c>
      <c r="AL120" s="89">
        <v>0</v>
      </c>
      <c r="AM120" s="79">
        <f>IF($G$4="SI",SUM(AK120+AL120),AK120)*Valores!$C$54</f>
        <v>0</v>
      </c>
      <c r="AN120" s="12">
        <f t="shared" si="16"/>
        <v>421.54849409999997</v>
      </c>
      <c r="AO120" s="151">
        <f>AI120*-Valores!$C$56</f>
        <v>-3168.0966031654548</v>
      </c>
      <c r="AP120" s="151">
        <f>AI120*-Valores!$C$57</f>
        <v>-121.84986935251749</v>
      </c>
      <c r="AQ120" s="78">
        <f>AI120*-Valores!$C$58</f>
        <v>-1096.6488241726574</v>
      </c>
      <c r="AR120" s="78">
        <f>AI120*-Valores!$C$59</f>
        <v>-657.98929450359446</v>
      </c>
      <c r="AS120" s="78">
        <f>AI120*-Valores!$C$60</f>
        <v>-73.109921611510501</v>
      </c>
      <c r="AT120" s="15">
        <f t="shared" si="17"/>
        <v>20404.927067912868</v>
      </c>
      <c r="AU120" s="15">
        <f t="shared" si="18"/>
        <v>20770.476675970422</v>
      </c>
      <c r="AV120" s="78">
        <f>AI120*Valores!$C$61</f>
        <v>3899.1958192805596</v>
      </c>
      <c r="AW120" s="78">
        <f>AI120*Valores!$C$62</f>
        <v>1096.6488241726574</v>
      </c>
      <c r="AX120" s="78">
        <f>AI120*Valores!$C$64</f>
        <v>243.69973870503497</v>
      </c>
      <c r="AY120" s="78">
        <f>AI120*Valores!$C$65</f>
        <v>852.94908546762247</v>
      </c>
      <c r="AZ120" s="78">
        <f>AI120*Valores!$C$66</f>
        <v>146.219843223021</v>
      </c>
      <c r="BA120" s="78">
        <f t="shared" si="20"/>
        <v>1315.9785890071889</v>
      </c>
      <c r="BB120" s="20"/>
      <c r="BC120" s="20">
        <v>30</v>
      </c>
      <c r="BD120" s="9" t="s">
        <v>467</v>
      </c>
    </row>
    <row r="121" spans="1:56" s="9" customFormat="1" ht="11.25" customHeight="1" x14ac:dyDescent="0.15">
      <c r="A121" s="55">
        <v>120</v>
      </c>
      <c r="B121" s="55" t="s">
        <v>462</v>
      </c>
      <c r="C121" s="52" t="s">
        <v>218</v>
      </c>
      <c r="D121" s="52"/>
      <c r="E121" s="53" t="s">
        <v>219</v>
      </c>
      <c r="F121" s="124">
        <v>274</v>
      </c>
      <c r="G121" s="7">
        <f>INT((F121*Valores!$C$2*100*1.006901)+0.5)/100</f>
        <v>1442.03</v>
      </c>
      <c r="H121" s="131">
        <v>1163</v>
      </c>
      <c r="I121" s="77">
        <f>INT((H121*Valores!$C$2*100*1.006901)+0.5)/100</f>
        <v>6120.72</v>
      </c>
      <c r="J121" s="146">
        <v>0</v>
      </c>
      <c r="K121" s="77">
        <f>INT((J121*Valores!$C$2*100*1.006901)+0.5)/100</f>
        <v>0</v>
      </c>
      <c r="L121" s="121">
        <v>0</v>
      </c>
      <c r="M121" s="77">
        <f>INT((L121*Valores!$C$2*100*1.006901)+0.5)/100</f>
        <v>0</v>
      </c>
      <c r="N121" s="80">
        <f t="shared" si="13"/>
        <v>1589.1325157535</v>
      </c>
      <c r="O121" s="80">
        <f t="shared" si="14"/>
        <v>0</v>
      </c>
      <c r="P121" s="81">
        <f>Valores!$C$16</f>
        <v>3262.4095850500003</v>
      </c>
      <c r="Q121" s="81">
        <f>Valores!$D$4</f>
        <v>2354.08</v>
      </c>
      <c r="R121" s="85">
        <f>Valores!$C$26</f>
        <v>2369.1575009200001</v>
      </c>
      <c r="S121" s="88">
        <f>Valores!$C$42</f>
        <v>764.36875613000007</v>
      </c>
      <c r="T121" s="80">
        <f>Valores!$C$23</f>
        <v>2267.09801556</v>
      </c>
      <c r="U121" s="80">
        <f t="shared" si="21"/>
        <v>2267.09801556</v>
      </c>
      <c r="V121" s="80">
        <v>0</v>
      </c>
      <c r="W121" s="80">
        <v>0</v>
      </c>
      <c r="X121" s="115">
        <v>0</v>
      </c>
      <c r="Y121" s="77">
        <f>X121*Valores!$C$2*1.006901</f>
        <v>0</v>
      </c>
      <c r="Z121" s="80">
        <v>0</v>
      </c>
      <c r="AA121" s="90">
        <f>Valores!$C$29</f>
        <v>132.58872368000002</v>
      </c>
      <c r="AB121" s="80">
        <f t="shared" si="15"/>
        <v>0</v>
      </c>
      <c r="AC121" s="80">
        <f>Valores!$C$30</f>
        <v>132.59</v>
      </c>
      <c r="AD121" s="115">
        <v>0</v>
      </c>
      <c r="AE121" s="77">
        <f>AD121*Valores!$C$2*1.006901</f>
        <v>0</v>
      </c>
      <c r="AF121" s="80">
        <f>Valores!$C$51</f>
        <v>269.71857087000001</v>
      </c>
      <c r="AG121" s="80">
        <f>Valores!$C$52</f>
        <v>77.068202540000016</v>
      </c>
      <c r="AH121" s="80">
        <f>SUM(G121,I121,K121,M121,N121,O121,P121,Q121,R121,S121,U121,V121,W121,Y121,Z121,AA121,AB121,AC121,AE121,AF121,AG121)*Valores!$C$54</f>
        <v>0</v>
      </c>
      <c r="AI121" s="54">
        <f t="shared" si="19"/>
        <v>20780.961870503499</v>
      </c>
      <c r="AJ121" s="81">
        <f>Valores!$C$35</f>
        <v>216.04</v>
      </c>
      <c r="AK121" s="82">
        <f>Valores!$C$8</f>
        <v>205.50849410000001</v>
      </c>
      <c r="AL121" s="90">
        <v>0</v>
      </c>
      <c r="AM121" s="82">
        <f>IF($G$4="SI",SUM(AK121+AL121),AK121)*Valores!$C$54</f>
        <v>0</v>
      </c>
      <c r="AN121" s="184">
        <f t="shared" si="16"/>
        <v>421.54849409999997</v>
      </c>
      <c r="AO121" s="152">
        <f>AI121*-Valores!$C$56</f>
        <v>-2701.5250431654549</v>
      </c>
      <c r="AP121" s="152">
        <f>AI121*-Valores!$C$57</f>
        <v>-103.9048093525175</v>
      </c>
      <c r="AQ121" s="81">
        <f>AI121*-Valores!$C$58</f>
        <v>-935.14328417265745</v>
      </c>
      <c r="AR121" s="81">
        <f>AI121*-Valores!$C$59</f>
        <v>-561.08597050359458</v>
      </c>
      <c r="AS121" s="81">
        <f>AI121*-Valores!$C$60</f>
        <v>-62.342885611510496</v>
      </c>
      <c r="AT121" s="54">
        <f t="shared" si="17"/>
        <v>17461.937227912873</v>
      </c>
      <c r="AU121" s="54">
        <f t="shared" si="18"/>
        <v>17773.651655970421</v>
      </c>
      <c r="AV121" s="81">
        <f>AI121*Valores!$C$61</f>
        <v>3324.9538992805601</v>
      </c>
      <c r="AW121" s="81">
        <f>AI121*Valores!$C$62</f>
        <v>935.14328417265745</v>
      </c>
      <c r="AX121" s="81">
        <f>AI121*Valores!$C$64</f>
        <v>207.80961870503501</v>
      </c>
      <c r="AY121" s="81">
        <f>AI121*Valores!$C$65</f>
        <v>727.3336654676225</v>
      </c>
      <c r="AZ121" s="81">
        <f>AI121*Valores!$C$66</f>
        <v>124.68577122302099</v>
      </c>
      <c r="BA121" s="81">
        <f t="shared" si="20"/>
        <v>1122.1719410071889</v>
      </c>
      <c r="BB121" s="55"/>
      <c r="BC121" s="55">
        <v>30</v>
      </c>
      <c r="BD121" s="52" t="s">
        <v>467</v>
      </c>
    </row>
    <row r="122" spans="1:56" s="9" customFormat="1" ht="11.25" customHeight="1" x14ac:dyDescent="0.15">
      <c r="A122" s="20">
        <v>121</v>
      </c>
      <c r="B122" s="20"/>
      <c r="C122" s="9" t="s">
        <v>220</v>
      </c>
      <c r="E122" s="10" t="s">
        <v>221</v>
      </c>
      <c r="F122" s="123">
        <v>2800</v>
      </c>
      <c r="G122" s="7">
        <f>INT((F122*Valores!$C$2*100*1.006901)+0.5)/100</f>
        <v>14736.04</v>
      </c>
      <c r="H122" s="132">
        <v>0</v>
      </c>
      <c r="I122" s="77">
        <f>INT((H122*Valores!$C$2*100*1.006901)+0.5)/100</f>
        <v>0</v>
      </c>
      <c r="J122" s="145">
        <v>0</v>
      </c>
      <c r="K122" s="77">
        <f>INT((J122*Valores!$C$2*100*1.006901)+0.5)/100</f>
        <v>0</v>
      </c>
      <c r="L122" s="120">
        <v>0</v>
      </c>
      <c r="M122" s="77">
        <f>INT((L122*Valores!$C$2*100*1.006901)+0.5)/100</f>
        <v>0</v>
      </c>
      <c r="N122" s="77">
        <f t="shared" si="13"/>
        <v>2717.8282209945005</v>
      </c>
      <c r="O122" s="77">
        <f t="shared" si="14"/>
        <v>0</v>
      </c>
      <c r="P122" s="78">
        <f>Valores!$C$20</f>
        <v>3087.7323995700003</v>
      </c>
      <c r="Q122" s="78">
        <f>Valores!$D$4</f>
        <v>2354.08</v>
      </c>
      <c r="R122" s="77">
        <f>Valores!$C$26</f>
        <v>2369.1575009200001</v>
      </c>
      <c r="S122" s="79">
        <f>Valores!$C$43</f>
        <v>1146.5480996900001</v>
      </c>
      <c r="T122" s="61">
        <f>Valores!$C$24</f>
        <v>2236.2667069399999</v>
      </c>
      <c r="U122" s="77">
        <f t="shared" si="21"/>
        <v>2236.2667069399999</v>
      </c>
      <c r="V122" s="77">
        <v>0</v>
      </c>
      <c r="W122" s="77">
        <v>0</v>
      </c>
      <c r="X122" s="116">
        <v>0</v>
      </c>
      <c r="Y122" s="77">
        <f>X122*Valores!$C$2*1.006901</f>
        <v>0</v>
      </c>
      <c r="Z122" s="77">
        <v>0</v>
      </c>
      <c r="AA122" s="89">
        <f>Valores!$C$29</f>
        <v>132.58872368000002</v>
      </c>
      <c r="AB122" s="77">
        <f t="shared" si="15"/>
        <v>0</v>
      </c>
      <c r="AC122" s="77">
        <f>Valores!$C$30</f>
        <v>132.59</v>
      </c>
      <c r="AD122" s="116">
        <v>0</v>
      </c>
      <c r="AE122" s="77">
        <f>AD122*Valores!$C$2*1.006901</f>
        <v>0</v>
      </c>
      <c r="AF122" s="77">
        <f>Valores!$C$51</f>
        <v>269.71857087000001</v>
      </c>
      <c r="AG122" s="77">
        <f>Valores!$C$52</f>
        <v>77.068202540000016</v>
      </c>
      <c r="AH122" s="77">
        <f>SUM(G122,I122,K122,M122,N122,O122,P122,Q122,R122,S122,U122,V122,W122,Y122,Z122,AA122,AB122,AC122,AE122,AF122,AG122)*Valores!$C$54</f>
        <v>0</v>
      </c>
      <c r="AI122" s="15">
        <f t="shared" si="19"/>
        <v>29259.618425204499</v>
      </c>
      <c r="AJ122" s="78">
        <f>Valores!$C$35</f>
        <v>216.04</v>
      </c>
      <c r="AK122" s="79">
        <f>Valores!$C$9</f>
        <v>308.25267214000002</v>
      </c>
      <c r="AL122" s="89">
        <v>226.04927450000002</v>
      </c>
      <c r="AM122" s="79">
        <f>IF($G$4="SI",SUM(AK122+AL122),AK122)*Valores!$C$54</f>
        <v>0</v>
      </c>
      <c r="AN122" s="12">
        <f t="shared" si="16"/>
        <v>750.34194664000006</v>
      </c>
      <c r="AO122" s="151">
        <f>AI122*-Valores!$C$56</f>
        <v>-3803.7503952765851</v>
      </c>
      <c r="AP122" s="151">
        <f>AI122*-Valores!$C$57</f>
        <v>-146.29809212602251</v>
      </c>
      <c r="AQ122" s="78">
        <f>AI122*-Valores!$C$58</f>
        <v>-1316.6828291342024</v>
      </c>
      <c r="AR122" s="78">
        <f>AI122*-Valores!$C$59</f>
        <v>-790.0096974805216</v>
      </c>
      <c r="AS122" s="78">
        <f>AI122*-Valores!$C$60</f>
        <v>-87.778855275613495</v>
      </c>
      <c r="AT122" s="15">
        <f t="shared" si="17"/>
        <v>24743.229055307689</v>
      </c>
      <c r="AU122" s="15">
        <f t="shared" si="18"/>
        <v>25182.123331685758</v>
      </c>
      <c r="AV122" s="78">
        <f>AI122*Valores!$C$61</f>
        <v>4681.5389480327203</v>
      </c>
      <c r="AW122" s="78">
        <f>AI122*Valores!$C$62</f>
        <v>1316.6828291342024</v>
      </c>
      <c r="AX122" s="78">
        <f>AI122*Valores!$C$64</f>
        <v>292.59618425204502</v>
      </c>
      <c r="AY122" s="78">
        <f>AI122*Valores!$C$65</f>
        <v>1024.0866448821575</v>
      </c>
      <c r="AZ122" s="78">
        <f>AI122*Valores!$C$66</f>
        <v>175.55771055122699</v>
      </c>
      <c r="BA122" s="78">
        <f t="shared" si="20"/>
        <v>1580.0193949610432</v>
      </c>
      <c r="BB122" s="20"/>
      <c r="BC122" s="20"/>
      <c r="BD122" s="9" t="s">
        <v>467</v>
      </c>
    </row>
    <row r="123" spans="1:56" s="9" customFormat="1" ht="11.25" customHeight="1" x14ac:dyDescent="0.15">
      <c r="A123" s="20">
        <v>122</v>
      </c>
      <c r="B123" s="20"/>
      <c r="C123" s="9" t="s">
        <v>222</v>
      </c>
      <c r="E123" s="10" t="s">
        <v>223</v>
      </c>
      <c r="F123" s="123">
        <v>2850</v>
      </c>
      <c r="G123" s="7">
        <f>INT((F123*Valores!$C$2*100*1.006901)+0.5)/100</f>
        <v>14999.18</v>
      </c>
      <c r="H123" s="132">
        <v>0</v>
      </c>
      <c r="I123" s="77">
        <f>INT((H123*Valores!$C$2*100*1.006901)+0.5)/100</f>
        <v>0</v>
      </c>
      <c r="J123" s="145">
        <v>0</v>
      </c>
      <c r="K123" s="77">
        <f>INT((J123*Valores!$C$2*100*1.006901)+0.5)/100</f>
        <v>0</v>
      </c>
      <c r="L123" s="120">
        <v>0</v>
      </c>
      <c r="M123" s="77">
        <f>INT((L123*Valores!$C$2*100*1.006901)+0.5)/100</f>
        <v>0</v>
      </c>
      <c r="N123" s="77">
        <f t="shared" si="13"/>
        <v>2757.2992209945</v>
      </c>
      <c r="O123" s="77">
        <f t="shared" si="14"/>
        <v>0</v>
      </c>
      <c r="P123" s="78">
        <f>Valores!$C$16</f>
        <v>3262.4095850500003</v>
      </c>
      <c r="Q123" s="78">
        <f>Valores!$D$4</f>
        <v>2354.08</v>
      </c>
      <c r="R123" s="61">
        <f>Valores!$C$26</f>
        <v>2369.1575009200001</v>
      </c>
      <c r="S123" s="87">
        <f>Valores!$C$43</f>
        <v>1146.5480996900001</v>
      </c>
      <c r="T123" s="61">
        <f>Valores!$C$24</f>
        <v>2236.2667069399999</v>
      </c>
      <c r="U123" s="77">
        <f t="shared" si="21"/>
        <v>2236.2667069399999</v>
      </c>
      <c r="V123" s="77">
        <v>0</v>
      </c>
      <c r="W123" s="77">
        <v>0</v>
      </c>
      <c r="X123" s="116">
        <v>0</v>
      </c>
      <c r="Y123" s="77">
        <f>X123*Valores!$C$2*1.006901</f>
        <v>0</v>
      </c>
      <c r="Z123" s="77">
        <v>0</v>
      </c>
      <c r="AA123" s="89">
        <f>Valores!$C$29</f>
        <v>132.58872368000002</v>
      </c>
      <c r="AB123" s="77">
        <f t="shared" si="15"/>
        <v>0</v>
      </c>
      <c r="AC123" s="77">
        <f>Valores!$C$30</f>
        <v>132.59</v>
      </c>
      <c r="AD123" s="116">
        <v>0</v>
      </c>
      <c r="AE123" s="77">
        <f>AD123*Valores!$C$2*1.006901</f>
        <v>0</v>
      </c>
      <c r="AF123" s="77">
        <f>Valores!$C$51</f>
        <v>269.71857087000001</v>
      </c>
      <c r="AG123" s="77">
        <f>Valores!$C$52</f>
        <v>77.068202540000016</v>
      </c>
      <c r="AH123" s="77">
        <f>SUM(G123,I123,K123,M123,N123,O123,P123,Q123,R123,S123,U123,V123,W123,Y123,Z123,AA123,AB123,AC123,AE123,AF123,AG123)*Valores!$C$54</f>
        <v>0</v>
      </c>
      <c r="AI123" s="15">
        <f t="shared" si="19"/>
        <v>29736.906610684506</v>
      </c>
      <c r="AJ123" s="78">
        <f>Valores!$C$35</f>
        <v>216.04</v>
      </c>
      <c r="AK123" s="79">
        <f>Valores!$C$9</f>
        <v>308.25267214000002</v>
      </c>
      <c r="AL123" s="89">
        <v>226.04927450000002</v>
      </c>
      <c r="AM123" s="79">
        <f>IF($G$4="SI",SUM(AK123+AL123),AK123)*Valores!$C$54</f>
        <v>0</v>
      </c>
      <c r="AN123" s="12">
        <f t="shared" si="16"/>
        <v>750.34194664000006</v>
      </c>
      <c r="AO123" s="151">
        <f>AI123*-Valores!$C$56</f>
        <v>-3865.7978593889857</v>
      </c>
      <c r="AP123" s="151">
        <f>AI123*-Valores!$C$57</f>
        <v>-148.68453305342254</v>
      </c>
      <c r="AQ123" s="78">
        <f>AI123*-Valores!$C$58</f>
        <v>-1338.1607974808028</v>
      </c>
      <c r="AR123" s="78">
        <f>AI123*-Valores!$C$59</f>
        <v>-802.89647848848176</v>
      </c>
      <c r="AS123" s="78">
        <f>AI123*-Valores!$C$60</f>
        <v>-89.210719832053513</v>
      </c>
      <c r="AT123" s="15">
        <f t="shared" si="17"/>
        <v>25134.605367401295</v>
      </c>
      <c r="AU123" s="15">
        <f t="shared" si="18"/>
        <v>25580.658966561565</v>
      </c>
      <c r="AV123" s="78">
        <f>AI123*Valores!$C$61</f>
        <v>4757.9050577095213</v>
      </c>
      <c r="AW123" s="78">
        <f>AI123*Valores!$C$62</f>
        <v>1338.1607974808028</v>
      </c>
      <c r="AX123" s="78">
        <f>AI123*Valores!$C$64</f>
        <v>297.36906610684508</v>
      </c>
      <c r="AY123" s="78">
        <f>AI123*Valores!$C$65</f>
        <v>1040.7917313739579</v>
      </c>
      <c r="AZ123" s="78">
        <f>AI123*Valores!$C$66</f>
        <v>178.42143966410703</v>
      </c>
      <c r="BA123" s="78">
        <f t="shared" si="20"/>
        <v>1605.7929569769633</v>
      </c>
      <c r="BB123" s="20"/>
      <c r="BC123" s="20"/>
      <c r="BD123" s="9" t="s">
        <v>467</v>
      </c>
    </row>
    <row r="124" spans="1:56" s="9" customFormat="1" ht="11.25" customHeight="1" x14ac:dyDescent="0.15">
      <c r="A124" s="20">
        <v>123</v>
      </c>
      <c r="B124" s="20"/>
      <c r="C124" s="9" t="s">
        <v>224</v>
      </c>
      <c r="E124" s="10" t="s">
        <v>225</v>
      </c>
      <c r="F124" s="123">
        <v>1735</v>
      </c>
      <c r="G124" s="7">
        <f>INT((F124*Valores!$C$2*100*1.006901)+0.5)/100</f>
        <v>9131.08</v>
      </c>
      <c r="H124" s="132">
        <v>0</v>
      </c>
      <c r="I124" s="77">
        <f>INT((H124*Valores!$C$2*100*1.006901)+0.5)/100</f>
        <v>0</v>
      </c>
      <c r="J124" s="145">
        <v>0</v>
      </c>
      <c r="K124" s="77">
        <f>INT((J124*Valores!$C$2*100*1.006901)+0.5)/100</f>
        <v>0</v>
      </c>
      <c r="L124" s="120">
        <v>0</v>
      </c>
      <c r="M124" s="77">
        <f>INT((L124*Valores!$C$2*100*1.006901)+0.5)/100</f>
        <v>0</v>
      </c>
      <c r="N124" s="77">
        <f t="shared" si="13"/>
        <v>1805.4255940769999</v>
      </c>
      <c r="O124" s="77">
        <f t="shared" si="14"/>
        <v>0</v>
      </c>
      <c r="P124" s="78">
        <f>Valores!$C$20</f>
        <v>3087.7323995700003</v>
      </c>
      <c r="Q124" s="78">
        <f>Valores!$D$4</f>
        <v>2354.08</v>
      </c>
      <c r="R124" s="77">
        <v>0</v>
      </c>
      <c r="S124" s="79">
        <f>Valores!$C$41</f>
        <v>668.82392024000001</v>
      </c>
      <c r="T124" s="61">
        <f>Valores!$C$24</f>
        <v>2236.2667069399999</v>
      </c>
      <c r="U124" s="77">
        <f t="shared" si="21"/>
        <v>2236.2667069399999</v>
      </c>
      <c r="V124" s="77">
        <v>0</v>
      </c>
      <c r="W124" s="77">
        <v>0</v>
      </c>
      <c r="X124" s="116">
        <v>0</v>
      </c>
      <c r="Y124" s="77">
        <f>X124*Valores!$C$2*1.006901</f>
        <v>0</v>
      </c>
      <c r="Z124" s="77">
        <v>0</v>
      </c>
      <c r="AA124" s="89">
        <f>Valores!$C$29</f>
        <v>132.58872368000002</v>
      </c>
      <c r="AB124" s="77">
        <f t="shared" si="15"/>
        <v>0</v>
      </c>
      <c r="AC124" s="77">
        <f>Valores!$C$30</f>
        <v>132.59</v>
      </c>
      <c r="AD124" s="116">
        <v>0</v>
      </c>
      <c r="AE124" s="77">
        <f>AD124*Valores!$C$2*1.006901</f>
        <v>0</v>
      </c>
      <c r="AF124" s="77">
        <f>Valores!$C$51</f>
        <v>269.71857087000001</v>
      </c>
      <c r="AG124" s="77">
        <f>Valores!$C$52</f>
        <v>77.068202540000016</v>
      </c>
      <c r="AH124" s="77">
        <f>SUM(G124,I124,K124,M124,N124,O124,P124,Q124,R124,S124,U124,V124,W124,Y124,Z124,AA124,AB124,AC124,AE124,AF124,AG124)*Valores!$C$54</f>
        <v>0</v>
      </c>
      <c r="AI124" s="15">
        <f t="shared" si="19"/>
        <v>19895.374117917003</v>
      </c>
      <c r="AJ124" s="78">
        <f>Valores!$C$35</f>
        <v>216.04</v>
      </c>
      <c r="AK124" s="79">
        <f>Valores!$C$7</f>
        <v>179.82244959000002</v>
      </c>
      <c r="AL124" s="89">
        <v>113.02463725000001</v>
      </c>
      <c r="AM124" s="79">
        <f>IF($G$4="SI",SUM(AK124+AL124),AK124)*Valores!$C$54</f>
        <v>0</v>
      </c>
      <c r="AN124" s="12">
        <f t="shared" si="16"/>
        <v>508.88708683999999</v>
      </c>
      <c r="AO124" s="151">
        <f>AI124*-Valores!$C$56</f>
        <v>-2586.3986353292103</v>
      </c>
      <c r="AP124" s="151">
        <f>AI124*-Valores!$C$57</f>
        <v>-99.476870589585019</v>
      </c>
      <c r="AQ124" s="78">
        <f>AI124*-Valores!$C$58</f>
        <v>-895.29183530626506</v>
      </c>
      <c r="AR124" s="78">
        <f>AI124*-Valores!$C$59</f>
        <v>-537.17510118375912</v>
      </c>
      <c r="AS124" s="78">
        <f>AI124*-Valores!$C$60</f>
        <v>-59.68612235375101</v>
      </c>
      <c r="AT124" s="15">
        <f t="shared" si="17"/>
        <v>16823.093863531943</v>
      </c>
      <c r="AU124" s="15">
        <f t="shared" si="18"/>
        <v>17121.524475300699</v>
      </c>
      <c r="AV124" s="78">
        <f>AI124*Valores!$C$61</f>
        <v>3183.2598588667206</v>
      </c>
      <c r="AW124" s="78">
        <f>AI124*Valores!$C$62</f>
        <v>895.29183530626506</v>
      </c>
      <c r="AX124" s="78">
        <f>AI124*Valores!$C$64</f>
        <v>198.95374117917004</v>
      </c>
      <c r="AY124" s="78">
        <f>AI124*Valores!$C$65</f>
        <v>696.33809412709513</v>
      </c>
      <c r="AZ124" s="78">
        <f>AI124*Valores!$C$66</f>
        <v>119.37224470750202</v>
      </c>
      <c r="BA124" s="78">
        <f t="shared" si="20"/>
        <v>1074.3502023675182</v>
      </c>
      <c r="BB124" s="20"/>
      <c r="BC124" s="55"/>
      <c r="BD124" s="9" t="s">
        <v>467</v>
      </c>
    </row>
    <row r="125" spans="1:56" s="9" customFormat="1" ht="11.25" customHeight="1" x14ac:dyDescent="0.15">
      <c r="A125" s="20">
        <v>124</v>
      </c>
      <c r="B125" s="20"/>
      <c r="C125" s="9" t="s">
        <v>226</v>
      </c>
      <c r="E125" s="10" t="s">
        <v>227</v>
      </c>
      <c r="F125" s="123">
        <v>72</v>
      </c>
      <c r="G125" s="7">
        <f>INT((F125*Valores!$C$2*100*1.006901)+0.5)/100</f>
        <v>378.93</v>
      </c>
      <c r="H125" s="132">
        <v>1590</v>
      </c>
      <c r="I125" s="77">
        <f>INT((H125*Valores!$C$2*100*1.006901)+0.5)/100</f>
        <v>8367.9599999999991</v>
      </c>
      <c r="J125" s="145">
        <v>0</v>
      </c>
      <c r="K125" s="77">
        <f>INT((J125*Valores!$C$2*100*1.006901)+0.5)/100</f>
        <v>0</v>
      </c>
      <c r="L125" s="120">
        <v>0</v>
      </c>
      <c r="M125" s="77">
        <f>INT((L125*Valores!$C$2*100*1.006901)+0.5)/100</f>
        <v>0</v>
      </c>
      <c r="N125" s="77">
        <f t="shared" si="13"/>
        <v>1747.7970940769999</v>
      </c>
      <c r="O125" s="77">
        <f t="shared" si="14"/>
        <v>0</v>
      </c>
      <c r="P125" s="78">
        <f>Valores!$C$20</f>
        <v>3087.7323995700003</v>
      </c>
      <c r="Q125" s="78">
        <f>Valores!$D$4</f>
        <v>2354.08</v>
      </c>
      <c r="R125" s="79">
        <f>Valores!$C$26</f>
        <v>2369.1575009200001</v>
      </c>
      <c r="S125" s="79">
        <f>Valores!$C$41</f>
        <v>668.82392024000001</v>
      </c>
      <c r="T125" s="61">
        <f>Valores!$C$24</f>
        <v>2236.2667069399999</v>
      </c>
      <c r="U125" s="77">
        <f t="shared" si="21"/>
        <v>2236.2667069399999</v>
      </c>
      <c r="V125" s="77">
        <v>0</v>
      </c>
      <c r="W125" s="77">
        <v>0</v>
      </c>
      <c r="X125" s="116">
        <v>0</v>
      </c>
      <c r="Y125" s="77">
        <f>X125*Valores!$C$2*1.006901</f>
        <v>0</v>
      </c>
      <c r="Z125" s="77">
        <v>0</v>
      </c>
      <c r="AA125" s="89">
        <f>Valores!$C$29</f>
        <v>132.58872368000002</v>
      </c>
      <c r="AB125" s="77">
        <f t="shared" si="15"/>
        <v>0</v>
      </c>
      <c r="AC125" s="77">
        <f>Valores!$C$30</f>
        <v>132.59</v>
      </c>
      <c r="AD125" s="116">
        <v>0</v>
      </c>
      <c r="AE125" s="77">
        <f>AD125*Valores!$C$2*1.006901</f>
        <v>0</v>
      </c>
      <c r="AF125" s="77">
        <f>Valores!$C$51</f>
        <v>269.71857087000001</v>
      </c>
      <c r="AG125" s="77">
        <f>Valores!$C$52</f>
        <v>77.068202540000016</v>
      </c>
      <c r="AH125" s="77">
        <f>SUM(G125,I125,K125,M125,N125,O125,P125,Q125,R125,S125,U125,V125,W125,Y125,Z125,AA125,AB125,AC125,AE125,AF125,AG125)*Valores!$C$54</f>
        <v>0</v>
      </c>
      <c r="AI125" s="15">
        <f t="shared" si="19"/>
        <v>21822.713118837</v>
      </c>
      <c r="AJ125" s="78">
        <f>Valores!$C$35</f>
        <v>216.04</v>
      </c>
      <c r="AK125" s="79">
        <f>Valores!$C$7</f>
        <v>179.82244959000002</v>
      </c>
      <c r="AL125" s="89">
        <v>113.02463725000001</v>
      </c>
      <c r="AM125" s="79">
        <f>IF($G$4="SI",SUM(AK125+AL125),AK125)*Valores!$C$54</f>
        <v>0</v>
      </c>
      <c r="AN125" s="12">
        <f t="shared" si="16"/>
        <v>508.88708683999999</v>
      </c>
      <c r="AO125" s="151">
        <f>AI125*-Valores!$C$56</f>
        <v>-2836.9527054488103</v>
      </c>
      <c r="AP125" s="151">
        <f>AI125*-Valores!$C$57</f>
        <v>-109.113565594185</v>
      </c>
      <c r="AQ125" s="78">
        <f>AI125*-Valores!$C$58</f>
        <v>-982.02209034766497</v>
      </c>
      <c r="AR125" s="78">
        <f>AI125*-Valores!$C$59</f>
        <v>-589.2132542085991</v>
      </c>
      <c r="AS125" s="78">
        <f>AI125*-Valores!$C$60</f>
        <v>-65.468139356511003</v>
      </c>
      <c r="AT125" s="15">
        <f t="shared" si="17"/>
        <v>18403.511844286342</v>
      </c>
      <c r="AU125" s="15">
        <f t="shared" si="18"/>
        <v>18730.852541068896</v>
      </c>
      <c r="AV125" s="78">
        <f>AI125*Valores!$C$61</f>
        <v>3491.6340990139201</v>
      </c>
      <c r="AW125" s="78">
        <f>AI125*Valores!$C$62</f>
        <v>982.02209034766497</v>
      </c>
      <c r="AX125" s="78">
        <f>AI125*Valores!$C$64</f>
        <v>218.22713118837001</v>
      </c>
      <c r="AY125" s="78">
        <f>AI125*Valores!$C$65</f>
        <v>763.7949591592951</v>
      </c>
      <c r="AZ125" s="78">
        <f>AI125*Valores!$C$66</f>
        <v>130.93627871302201</v>
      </c>
      <c r="BA125" s="78">
        <f t="shared" si="20"/>
        <v>1178.426508417198</v>
      </c>
      <c r="BB125" s="20"/>
      <c r="BC125" s="20">
        <v>25</v>
      </c>
      <c r="BD125" s="9" t="s">
        <v>467</v>
      </c>
    </row>
    <row r="126" spans="1:56" s="9" customFormat="1" ht="11.25" customHeight="1" x14ac:dyDescent="0.15">
      <c r="A126" s="55">
        <v>125</v>
      </c>
      <c r="B126" s="55" t="s">
        <v>462</v>
      </c>
      <c r="C126" s="52" t="s">
        <v>228</v>
      </c>
      <c r="D126" s="52"/>
      <c r="E126" s="53" t="s">
        <v>229</v>
      </c>
      <c r="F126" s="124">
        <v>72</v>
      </c>
      <c r="G126" s="7">
        <f>INT((F126*Valores!$C$2*100*1.006901)+0.5)/100</f>
        <v>378.93</v>
      </c>
      <c r="H126" s="131">
        <v>1590</v>
      </c>
      <c r="I126" s="77">
        <f>INT((H126*Valores!$C$2*100*1.006901)+0.5)/100</f>
        <v>8367.9599999999991</v>
      </c>
      <c r="J126" s="146">
        <v>0</v>
      </c>
      <c r="K126" s="77">
        <f>INT((J126*Valores!$C$2*100*1.006901)+0.5)/100</f>
        <v>0</v>
      </c>
      <c r="L126" s="121">
        <v>0</v>
      </c>
      <c r="M126" s="77">
        <f>INT((L126*Valores!$C$2*100*1.006901)+0.5)/100</f>
        <v>0</v>
      </c>
      <c r="N126" s="80">
        <f t="shared" si="13"/>
        <v>1747.7970940769999</v>
      </c>
      <c r="O126" s="80">
        <f t="shared" si="14"/>
        <v>0</v>
      </c>
      <c r="P126" s="81">
        <f>Valores!$C$20</f>
        <v>3087.7323995700003</v>
      </c>
      <c r="Q126" s="81">
        <f>Valores!$D$4</f>
        <v>2354.08</v>
      </c>
      <c r="R126" s="88">
        <f>Valores!$C$26</f>
        <v>2369.1575009200001</v>
      </c>
      <c r="S126" s="88">
        <f>Valores!$C$41</f>
        <v>668.82392024000001</v>
      </c>
      <c r="T126" s="85">
        <f>Valores!$C$24</f>
        <v>2236.2667069399999</v>
      </c>
      <c r="U126" s="80">
        <f t="shared" si="21"/>
        <v>2236.2667069399999</v>
      </c>
      <c r="V126" s="80">
        <v>0</v>
      </c>
      <c r="W126" s="80">
        <v>0</v>
      </c>
      <c r="X126" s="115">
        <v>0</v>
      </c>
      <c r="Y126" s="77">
        <f>X126*Valores!$C$2*1.006901</f>
        <v>0</v>
      </c>
      <c r="Z126" s="80">
        <v>0</v>
      </c>
      <c r="AA126" s="90">
        <f>Valores!$C$29</f>
        <v>132.58872368000002</v>
      </c>
      <c r="AB126" s="80">
        <f t="shared" si="15"/>
        <v>0</v>
      </c>
      <c r="AC126" s="80">
        <f>Valores!$C$30</f>
        <v>132.59</v>
      </c>
      <c r="AD126" s="115">
        <v>94</v>
      </c>
      <c r="AE126" s="77">
        <f>AD126*Valores!$C$2*1.006901</f>
        <v>494.70979379919999</v>
      </c>
      <c r="AF126" s="80">
        <f>Valores!$C$51</f>
        <v>269.71857087000001</v>
      </c>
      <c r="AG126" s="80">
        <f>Valores!$C$52</f>
        <v>77.068202540000016</v>
      </c>
      <c r="AH126" s="80">
        <f>SUM(G126,I126,K126,M126,N126,O126,P126,Q126,R126,S126,U126,V126,W126,Y126,Z126,AA126,AB126,AC126,AE126,AF126,AG126)*Valores!$C$54</f>
        <v>0</v>
      </c>
      <c r="AI126" s="54">
        <f t="shared" si="19"/>
        <v>22317.422912636201</v>
      </c>
      <c r="AJ126" s="81">
        <f>Valores!$C$35</f>
        <v>216.04</v>
      </c>
      <c r="AK126" s="82">
        <f>Valores!$C$7</f>
        <v>179.82244959000002</v>
      </c>
      <c r="AL126" s="90">
        <v>113.02463725000001</v>
      </c>
      <c r="AM126" s="82">
        <f>IF($G$4="SI",SUM(AK126+AL126),AK126)*Valores!$C$54</f>
        <v>0</v>
      </c>
      <c r="AN126" s="184">
        <f t="shared" si="16"/>
        <v>508.88708683999999</v>
      </c>
      <c r="AO126" s="152">
        <f>AI126*-Valores!$C$56</f>
        <v>-2901.264978642706</v>
      </c>
      <c r="AP126" s="152">
        <f>AI126*-Valores!$C$57</f>
        <v>-111.587114563181</v>
      </c>
      <c r="AQ126" s="81">
        <f>AI126*-Valores!$C$58</f>
        <v>-1004.284031068629</v>
      </c>
      <c r="AR126" s="81">
        <f>AI126*-Valores!$C$59</f>
        <v>-602.57041864117753</v>
      </c>
      <c r="AS126" s="81">
        <f>AI126*-Valores!$C$60</f>
        <v>-66.952268737908597</v>
      </c>
      <c r="AT126" s="54">
        <f t="shared" si="17"/>
        <v>18809.173875201683</v>
      </c>
      <c r="AU126" s="54">
        <f t="shared" si="18"/>
        <v>19143.935218891223</v>
      </c>
      <c r="AV126" s="81">
        <f>AI126*Valores!$C$61</f>
        <v>3570.7876660217921</v>
      </c>
      <c r="AW126" s="81">
        <f>AI126*Valores!$C$62</f>
        <v>1004.284031068629</v>
      </c>
      <c r="AX126" s="81">
        <f>AI126*Valores!$C$64</f>
        <v>223.17422912636201</v>
      </c>
      <c r="AY126" s="81">
        <f>AI126*Valores!$C$65</f>
        <v>781.10980194226704</v>
      </c>
      <c r="AZ126" s="81">
        <f>AI126*Valores!$C$66</f>
        <v>133.90453747581719</v>
      </c>
      <c r="BA126" s="81">
        <f t="shared" si="20"/>
        <v>1205.1408372823548</v>
      </c>
      <c r="BB126" s="55"/>
      <c r="BC126" s="55">
        <v>20</v>
      </c>
      <c r="BD126" s="52" t="s">
        <v>467</v>
      </c>
    </row>
    <row r="127" spans="1:56" s="9" customFormat="1" ht="11.25" customHeight="1" x14ac:dyDescent="0.15">
      <c r="A127" s="20">
        <v>126</v>
      </c>
      <c r="B127" s="20"/>
      <c r="C127" s="9" t="s">
        <v>230</v>
      </c>
      <c r="E127" s="10" t="s">
        <v>231</v>
      </c>
      <c r="F127" s="123">
        <v>77</v>
      </c>
      <c r="G127" s="7">
        <f>INT((F127*Valores!$C$2*100*1.006901)+0.5)/100</f>
        <v>405.24</v>
      </c>
      <c r="H127" s="132">
        <v>2043</v>
      </c>
      <c r="I127" s="77">
        <f>INT((H127*Valores!$C$2*100*1.006901)+0.5)/100</f>
        <v>10752.04</v>
      </c>
      <c r="J127" s="145">
        <v>0</v>
      </c>
      <c r="K127" s="77">
        <f>INT((J127*Valores!$C$2*100*1.006901)+0.5)/100</f>
        <v>0</v>
      </c>
      <c r="L127" s="120">
        <v>0</v>
      </c>
      <c r="M127" s="77">
        <f>INT((L127*Valores!$C$2*100*1.006901)+0.5)/100</f>
        <v>0</v>
      </c>
      <c r="N127" s="77">
        <f t="shared" si="13"/>
        <v>2128.3120157535</v>
      </c>
      <c r="O127" s="77">
        <f t="shared" si="14"/>
        <v>0</v>
      </c>
      <c r="P127" s="83">
        <f>Valores!$C$16</f>
        <v>3262.4095850500003</v>
      </c>
      <c r="Q127" s="78">
        <f>Valores!$D$4</f>
        <v>2354.08</v>
      </c>
      <c r="R127" s="79">
        <f>Valores!$C$26</f>
        <v>2369.1575009200001</v>
      </c>
      <c r="S127" s="79">
        <f>Valores!$C$42</f>
        <v>764.36875613000007</v>
      </c>
      <c r="T127" s="77">
        <f>Valores!$C$23</f>
        <v>2267.09801556</v>
      </c>
      <c r="U127" s="77">
        <f t="shared" si="21"/>
        <v>2267.09801556</v>
      </c>
      <c r="V127" s="77">
        <v>0</v>
      </c>
      <c r="W127" s="77">
        <v>0</v>
      </c>
      <c r="X127" s="116">
        <v>0</v>
      </c>
      <c r="Y127" s="77">
        <f>X127*Valores!$C$2*1.006901</f>
        <v>0</v>
      </c>
      <c r="Z127" s="77">
        <v>0</v>
      </c>
      <c r="AA127" s="89">
        <f>Valores!$C$29</f>
        <v>132.58872368000002</v>
      </c>
      <c r="AB127" s="77">
        <f t="shared" si="15"/>
        <v>0</v>
      </c>
      <c r="AC127" s="77">
        <f>Valores!$C$30</f>
        <v>132.59</v>
      </c>
      <c r="AD127" s="116">
        <v>0</v>
      </c>
      <c r="AE127" s="77">
        <f>AD127*Valores!$C$2*1.006901</f>
        <v>0</v>
      </c>
      <c r="AF127" s="77">
        <f>Valores!$C$51</f>
        <v>269.71857087000001</v>
      </c>
      <c r="AG127" s="77">
        <f>Valores!$C$52</f>
        <v>77.068202540000016</v>
      </c>
      <c r="AH127" s="77">
        <f>SUM(G127,I127,K127,M127,N127,O127,P127,Q127,R127,S127,U127,V127,W127,Y127,Z127,AA127,AB127,AC127,AE127,AF127,AG127)*Valores!$C$54</f>
        <v>0</v>
      </c>
      <c r="AI127" s="15">
        <f t="shared" si="19"/>
        <v>24914.671370503504</v>
      </c>
      <c r="AJ127" s="78">
        <f>Valores!$C$35</f>
        <v>216.04</v>
      </c>
      <c r="AK127" s="79">
        <f>Valores!$C$8</f>
        <v>205.50849410000001</v>
      </c>
      <c r="AL127" s="89">
        <v>0</v>
      </c>
      <c r="AM127" s="79">
        <f>IF($G$4="SI",SUM(AK127+AL127),AK127)*Valores!$C$54</f>
        <v>0</v>
      </c>
      <c r="AN127" s="12">
        <f t="shared" si="16"/>
        <v>421.54849409999997</v>
      </c>
      <c r="AO127" s="151">
        <f>AI127*-Valores!$C$56</f>
        <v>-3238.9072781654554</v>
      </c>
      <c r="AP127" s="151">
        <f>AI127*-Valores!$C$57</f>
        <v>-124.57335685251752</v>
      </c>
      <c r="AQ127" s="78">
        <f>AI127*-Valores!$C$58</f>
        <v>-1121.1602116726576</v>
      </c>
      <c r="AR127" s="78">
        <f>AI127*-Valores!$C$59</f>
        <v>-672.69612700359471</v>
      </c>
      <c r="AS127" s="78">
        <f>AI127*-Valores!$C$60</f>
        <v>-74.744014111510509</v>
      </c>
      <c r="AT127" s="15">
        <f t="shared" si="17"/>
        <v>20851.579017912874</v>
      </c>
      <c r="AU127" s="15">
        <f t="shared" si="18"/>
        <v>21225.299088470427</v>
      </c>
      <c r="AV127" s="78">
        <f>AI127*Valores!$C$61</f>
        <v>3986.3474192805606</v>
      </c>
      <c r="AW127" s="78">
        <f>AI127*Valores!$C$62</f>
        <v>1121.1602116726576</v>
      </c>
      <c r="AX127" s="78">
        <f>AI127*Valores!$C$64</f>
        <v>249.14671370503504</v>
      </c>
      <c r="AY127" s="78">
        <f>AI127*Valores!$C$65</f>
        <v>872.0134979676227</v>
      </c>
      <c r="AZ127" s="78">
        <f>AI127*Valores!$C$66</f>
        <v>149.48802822302102</v>
      </c>
      <c r="BA127" s="78">
        <f t="shared" si="20"/>
        <v>1345.3922540071892</v>
      </c>
      <c r="BB127" s="20"/>
      <c r="BC127" s="20"/>
      <c r="BD127" s="9" t="s">
        <v>467</v>
      </c>
    </row>
    <row r="128" spans="1:56" s="9" customFormat="1" ht="11.25" customHeight="1" x14ac:dyDescent="0.15">
      <c r="A128" s="20">
        <v>127</v>
      </c>
      <c r="B128" s="20"/>
      <c r="C128" s="9" t="s">
        <v>232</v>
      </c>
      <c r="E128" s="10" t="s">
        <v>233</v>
      </c>
      <c r="F128" s="123">
        <v>61</v>
      </c>
      <c r="G128" s="7">
        <f>INT((F128*Valores!$C$2*100*1.006901)+0.5)/100</f>
        <v>321.04000000000002</v>
      </c>
      <c r="H128" s="132">
        <v>1217</v>
      </c>
      <c r="I128" s="77">
        <f>INT((H128*Valores!$C$2*100*1.006901)+0.5)/100</f>
        <v>6404.91</v>
      </c>
      <c r="J128" s="145">
        <v>0</v>
      </c>
      <c r="K128" s="77">
        <f>INT((J128*Valores!$C$2*100*1.006901)+0.5)/100</f>
        <v>0</v>
      </c>
      <c r="L128" s="120">
        <v>0</v>
      </c>
      <c r="M128" s="77">
        <f>INT((L128*Valores!$C$2*100*1.006901)+0.5)/100</f>
        <v>0</v>
      </c>
      <c r="N128" s="77">
        <f t="shared" si="13"/>
        <v>1449.28079037</v>
      </c>
      <c r="O128" s="77">
        <f t="shared" si="14"/>
        <v>0</v>
      </c>
      <c r="P128" s="78">
        <f>Valores!$C$20</f>
        <v>3087.7323995700003</v>
      </c>
      <c r="Q128" s="78">
        <f>Valores!$D$4</f>
        <v>2354.08</v>
      </c>
      <c r="R128" s="79">
        <f>Valores!$C$26</f>
        <v>2369.1575009200001</v>
      </c>
      <c r="S128" s="79">
        <f>Valores!$C$41</f>
        <v>668.82392024000001</v>
      </c>
      <c r="T128" s="61">
        <f>Valores!$C$23</f>
        <v>2267.09801556</v>
      </c>
      <c r="U128" s="77">
        <f t="shared" si="21"/>
        <v>2267.09801556</v>
      </c>
      <c r="V128" s="77">
        <v>0</v>
      </c>
      <c r="W128" s="77">
        <v>0</v>
      </c>
      <c r="X128" s="116">
        <v>0</v>
      </c>
      <c r="Y128" s="77">
        <f>X128*Valores!$C$2*1.006901</f>
        <v>0</v>
      </c>
      <c r="Z128" s="77">
        <v>0</v>
      </c>
      <c r="AA128" s="89">
        <f>Valores!$C$29</f>
        <v>132.58872368000002</v>
      </c>
      <c r="AB128" s="77">
        <f t="shared" si="15"/>
        <v>0</v>
      </c>
      <c r="AC128" s="77">
        <f>Valores!$C$30</f>
        <v>132.59</v>
      </c>
      <c r="AD128" s="116">
        <v>0</v>
      </c>
      <c r="AE128" s="77">
        <f>AD128*Valores!$C$2*1.006901</f>
        <v>0</v>
      </c>
      <c r="AF128" s="77">
        <f>Valores!$C$51</f>
        <v>269.71857087000001</v>
      </c>
      <c r="AG128" s="77">
        <f>Valores!$C$52</f>
        <v>77.068202540000016</v>
      </c>
      <c r="AH128" s="77">
        <f>SUM(G128,I128,K128,M128,N128,O128,P128,Q128,R128,S128,U128,V128,W128,Y128,Z128,AA128,AB128,AC128,AE128,AF128,AG128)*Valores!$C$54</f>
        <v>0</v>
      </c>
      <c r="AI128" s="15">
        <f t="shared" si="19"/>
        <v>19534.088123750003</v>
      </c>
      <c r="AJ128" s="78">
        <f>Valores!$C$35</f>
        <v>216.04</v>
      </c>
      <c r="AK128" s="79">
        <f>Valores!$C$7</f>
        <v>179.82244959000002</v>
      </c>
      <c r="AL128" s="89">
        <v>113.02463725000001</v>
      </c>
      <c r="AM128" s="79">
        <f>IF($G$4="SI",SUM(AK128+AL128),AK128)*Valores!$C$54</f>
        <v>0</v>
      </c>
      <c r="AN128" s="12">
        <f t="shared" si="16"/>
        <v>508.88708683999999</v>
      </c>
      <c r="AO128" s="151">
        <f>AI128*-Valores!$C$56</f>
        <v>-2539.4314560875005</v>
      </c>
      <c r="AP128" s="151">
        <f>AI128*-Valores!$C$57</f>
        <v>-97.670440618750021</v>
      </c>
      <c r="AQ128" s="78">
        <f>AI128*-Valores!$C$58</f>
        <v>-879.03396556875009</v>
      </c>
      <c r="AR128" s="78">
        <f>AI128*-Valores!$C$59</f>
        <v>-527.42037934125017</v>
      </c>
      <c r="AS128" s="78">
        <f>AI128*-Valores!$C$60</f>
        <v>-58.602264371250008</v>
      </c>
      <c r="AT128" s="15">
        <f t="shared" si="17"/>
        <v>16526.839348315007</v>
      </c>
      <c r="AU128" s="15">
        <f t="shared" si="18"/>
        <v>16819.850670171258</v>
      </c>
      <c r="AV128" s="78">
        <f>AI128*Valores!$C$61</f>
        <v>3125.4540998000007</v>
      </c>
      <c r="AW128" s="78">
        <f>AI128*Valores!$C$62</f>
        <v>879.03396556875009</v>
      </c>
      <c r="AX128" s="78">
        <f>AI128*Valores!$C$64</f>
        <v>195.34088123750004</v>
      </c>
      <c r="AY128" s="78">
        <f>AI128*Valores!$C$65</f>
        <v>683.69308433125013</v>
      </c>
      <c r="AZ128" s="78">
        <f>AI128*Valores!$C$66</f>
        <v>117.20452874250002</v>
      </c>
      <c r="BA128" s="78">
        <f t="shared" si="20"/>
        <v>1054.8407586825003</v>
      </c>
      <c r="BB128" s="20"/>
      <c r="BC128" s="20">
        <v>25</v>
      </c>
      <c r="BD128" s="9" t="s">
        <v>467</v>
      </c>
    </row>
    <row r="129" spans="1:56" s="9" customFormat="1" ht="11.25" customHeight="1" x14ac:dyDescent="0.15">
      <c r="A129" s="20">
        <v>128</v>
      </c>
      <c r="B129" s="20"/>
      <c r="C129" s="9" t="s">
        <v>234</v>
      </c>
      <c r="E129" s="10" t="s">
        <v>235</v>
      </c>
      <c r="F129" s="123">
        <v>72</v>
      </c>
      <c r="G129" s="7">
        <f>INT((F129*Valores!$C$2*100*1.006901)+0.5)/100</f>
        <v>378.93</v>
      </c>
      <c r="H129" s="132">
        <v>1206</v>
      </c>
      <c r="I129" s="77">
        <f>INT((H129*Valores!$C$2*100*1.006901)+0.5)/100</f>
        <v>6347.02</v>
      </c>
      <c r="J129" s="145">
        <v>0</v>
      </c>
      <c r="K129" s="77">
        <f>INT((J129*Valores!$C$2*100*1.006901)+0.5)/100</f>
        <v>0</v>
      </c>
      <c r="L129" s="120">
        <v>0</v>
      </c>
      <c r="M129" s="77">
        <f>INT((L129*Valores!$C$2*100*1.006901)+0.5)/100</f>
        <v>0</v>
      </c>
      <c r="N129" s="77">
        <f t="shared" si="13"/>
        <v>1449.2807903700002</v>
      </c>
      <c r="O129" s="77">
        <f t="shared" si="14"/>
        <v>0</v>
      </c>
      <c r="P129" s="78">
        <f>Valores!$C$20</f>
        <v>3087.7323995700003</v>
      </c>
      <c r="Q129" s="78">
        <f>Valores!$D$4</f>
        <v>2354.08</v>
      </c>
      <c r="R129" s="87">
        <f>Valores!$C$26</f>
        <v>2369.1575009200001</v>
      </c>
      <c r="S129" s="87">
        <f>Valores!$C$41</f>
        <v>668.82392024000001</v>
      </c>
      <c r="T129" s="77">
        <f>Valores!$C$23</f>
        <v>2267.09801556</v>
      </c>
      <c r="U129" s="77">
        <f t="shared" si="21"/>
        <v>2267.09801556</v>
      </c>
      <c r="V129" s="77">
        <v>0</v>
      </c>
      <c r="W129" s="77">
        <v>0</v>
      </c>
      <c r="X129" s="116">
        <v>0</v>
      </c>
      <c r="Y129" s="77">
        <f>X129*Valores!$C$2*1.006901</f>
        <v>0</v>
      </c>
      <c r="Z129" s="77">
        <v>0</v>
      </c>
      <c r="AA129" s="89">
        <f>Valores!$C$29</f>
        <v>132.58872368000002</v>
      </c>
      <c r="AB129" s="77">
        <f t="shared" si="15"/>
        <v>0</v>
      </c>
      <c r="AC129" s="77">
        <f>Valores!$C$30</f>
        <v>132.59</v>
      </c>
      <c r="AD129" s="116">
        <v>94</v>
      </c>
      <c r="AE129" s="77">
        <f>AD129*Valores!$C$2*1.006901</f>
        <v>494.70979379919999</v>
      </c>
      <c r="AF129" s="77">
        <f>Valores!$C$51</f>
        <v>269.71857087000001</v>
      </c>
      <c r="AG129" s="77">
        <f>Valores!$C$52</f>
        <v>77.068202540000016</v>
      </c>
      <c r="AH129" s="77">
        <f>SUM(G129,I129,K129,M129,N129,O129,P129,Q129,R129,S129,U129,V129,W129,Y129,Z129,AA129,AB129,AC129,AE129,AF129,AG129)*Valores!$C$54</f>
        <v>0</v>
      </c>
      <c r="AI129" s="15">
        <f t="shared" si="19"/>
        <v>20028.797917549204</v>
      </c>
      <c r="AJ129" s="78">
        <f>Valores!$C$35</f>
        <v>216.04</v>
      </c>
      <c r="AK129" s="79">
        <f>Valores!$C$7</f>
        <v>179.82244959000002</v>
      </c>
      <c r="AL129" s="89">
        <v>113.02463725000001</v>
      </c>
      <c r="AM129" s="79">
        <f>IF($G$4="SI",SUM(AK129+AL129),AK129)*Valores!$C$54</f>
        <v>0</v>
      </c>
      <c r="AN129" s="12">
        <f t="shared" si="16"/>
        <v>508.88708683999999</v>
      </c>
      <c r="AO129" s="151">
        <f>AI129*-Valores!$C$56</f>
        <v>-2603.7437292813966</v>
      </c>
      <c r="AP129" s="151">
        <f>AI129*-Valores!$C$57</f>
        <v>-100.14398958774602</v>
      </c>
      <c r="AQ129" s="78">
        <f>AI129*-Valores!$C$58</f>
        <v>-901.29590628971414</v>
      </c>
      <c r="AR129" s="78">
        <f>AI129*-Valores!$C$59</f>
        <v>-540.7775437738286</v>
      </c>
      <c r="AS129" s="78">
        <f>AI129*-Valores!$C$60</f>
        <v>-60.086393752647609</v>
      </c>
      <c r="AT129" s="15">
        <f t="shared" si="17"/>
        <v>16932.501379230351</v>
      </c>
      <c r="AU129" s="15">
        <f t="shared" si="18"/>
        <v>17232.933347993589</v>
      </c>
      <c r="AV129" s="78">
        <f>AI129*Valores!$C$61</f>
        <v>3204.6076668078726</v>
      </c>
      <c r="AW129" s="78">
        <f>AI129*Valores!$C$62</f>
        <v>901.29590628971414</v>
      </c>
      <c r="AX129" s="78">
        <f>AI129*Valores!$C$64</f>
        <v>200.28797917549204</v>
      </c>
      <c r="AY129" s="78">
        <f>AI129*Valores!$C$65</f>
        <v>701.00792711422218</v>
      </c>
      <c r="AZ129" s="78">
        <f>AI129*Valores!$C$66</f>
        <v>120.17278750529522</v>
      </c>
      <c r="BA129" s="78">
        <f t="shared" si="20"/>
        <v>1081.555087547657</v>
      </c>
      <c r="BB129" s="20"/>
      <c r="BC129" s="55">
        <v>20</v>
      </c>
      <c r="BD129" s="9" t="s">
        <v>467</v>
      </c>
    </row>
    <row r="130" spans="1:56" s="9" customFormat="1" ht="11.25" customHeight="1" x14ac:dyDescent="0.15">
      <c r="A130" s="20">
        <v>129</v>
      </c>
      <c r="B130" s="20"/>
      <c r="C130" s="9" t="s">
        <v>236</v>
      </c>
      <c r="E130" s="10" t="s">
        <v>237</v>
      </c>
      <c r="F130" s="123">
        <v>61</v>
      </c>
      <c r="G130" s="7">
        <f>INT((F130*Valores!$C$2*100*1.006901)+0.5)/100</f>
        <v>321.04000000000002</v>
      </c>
      <c r="H130" s="132">
        <v>1217</v>
      </c>
      <c r="I130" s="77">
        <f>INT((H130*Valores!$C$2*100*1.006901)+0.5)/100</f>
        <v>6404.91</v>
      </c>
      <c r="J130" s="145">
        <v>0</v>
      </c>
      <c r="K130" s="77">
        <f>INT((J130*Valores!$C$2*100*1.006901)+0.5)/100</f>
        <v>0</v>
      </c>
      <c r="L130" s="120">
        <v>0</v>
      </c>
      <c r="M130" s="77">
        <f>INT((L130*Valores!$C$2*100*1.006901)+0.5)/100</f>
        <v>0</v>
      </c>
      <c r="N130" s="77">
        <f t="shared" si="13"/>
        <v>1444.656094077</v>
      </c>
      <c r="O130" s="77">
        <f t="shared" si="14"/>
        <v>0</v>
      </c>
      <c r="P130" s="78">
        <f>Valores!$C$20</f>
        <v>3087.7323995700003</v>
      </c>
      <c r="Q130" s="78">
        <f>Valores!$D$4</f>
        <v>2354.08</v>
      </c>
      <c r="R130" s="77">
        <v>0</v>
      </c>
      <c r="S130" s="79">
        <f>Valores!$C$41</f>
        <v>668.82392024000001</v>
      </c>
      <c r="T130" s="61">
        <f>Valores!$C$24</f>
        <v>2236.2667069399999</v>
      </c>
      <c r="U130" s="77">
        <f t="shared" si="21"/>
        <v>2236.2667069399999</v>
      </c>
      <c r="V130" s="77">
        <v>0</v>
      </c>
      <c r="W130" s="77">
        <v>0</v>
      </c>
      <c r="X130" s="116">
        <v>0</v>
      </c>
      <c r="Y130" s="77">
        <f>X130*Valores!$C$2*1.006901</f>
        <v>0</v>
      </c>
      <c r="Z130" s="77">
        <v>0</v>
      </c>
      <c r="AA130" s="89">
        <f>Valores!$C$29</f>
        <v>132.58872368000002</v>
      </c>
      <c r="AB130" s="77">
        <f t="shared" si="15"/>
        <v>0</v>
      </c>
      <c r="AC130" s="77">
        <f>Valores!$C$30</f>
        <v>132.59</v>
      </c>
      <c r="AD130" s="116">
        <v>0</v>
      </c>
      <c r="AE130" s="77">
        <f>AD130*Valores!$C$2*1.006901</f>
        <v>0</v>
      </c>
      <c r="AF130" s="77">
        <f>Valores!$C$51</f>
        <v>269.71857087000001</v>
      </c>
      <c r="AG130" s="77">
        <f>Valores!$C$52</f>
        <v>77.068202540000016</v>
      </c>
      <c r="AH130" s="77">
        <f>SUM(G130,I130,K130,M130,N130,O130,P130,Q130,R130,S130,U130,V130,W130,Y130,Z130,AA130,AB130,AC130,AE130,AF130,AG130)*Valores!$C$54</f>
        <v>0</v>
      </c>
      <c r="AI130" s="15">
        <f t="shared" si="19"/>
        <v>17129.474617917003</v>
      </c>
      <c r="AJ130" s="78">
        <f>Valores!$C$35</f>
        <v>216.04</v>
      </c>
      <c r="AK130" s="79">
        <f>Valores!$C$7</f>
        <v>179.82244959000002</v>
      </c>
      <c r="AL130" s="89">
        <v>0</v>
      </c>
      <c r="AM130" s="79">
        <f>IF($G$4="SI",SUM(AK130+AL130),AK130)*Valores!$C$54</f>
        <v>0</v>
      </c>
      <c r="AN130" s="12">
        <f t="shared" si="16"/>
        <v>395.86244958999998</v>
      </c>
      <c r="AO130" s="151">
        <f>AI130*-Valores!$C$56</f>
        <v>-2226.8317003292104</v>
      </c>
      <c r="AP130" s="151">
        <f>AI130*-Valores!$C$57</f>
        <v>-85.647373089585017</v>
      </c>
      <c r="AQ130" s="78">
        <f>AI130*-Valores!$C$58</f>
        <v>-770.82635780626515</v>
      </c>
      <c r="AR130" s="78">
        <f>AI130*-Valores!$C$59</f>
        <v>-462.49581468375914</v>
      </c>
      <c r="AS130" s="78">
        <f>AI130*-Valores!$C$60</f>
        <v>-51.388423853751014</v>
      </c>
      <c r="AT130" s="15">
        <f t="shared" si="17"/>
        <v>14442.031636281943</v>
      </c>
      <c r="AU130" s="15">
        <f t="shared" si="18"/>
        <v>14698.973755550698</v>
      </c>
      <c r="AV130" s="78">
        <f>AI130*Valores!$C$61</f>
        <v>2740.7159388667205</v>
      </c>
      <c r="AW130" s="78">
        <f>AI130*Valores!$C$62</f>
        <v>770.82635780626515</v>
      </c>
      <c r="AX130" s="78">
        <f>AI130*Valores!$C$64</f>
        <v>171.29474617917003</v>
      </c>
      <c r="AY130" s="78">
        <f>AI130*Valores!$C$65</f>
        <v>599.53161162709523</v>
      </c>
      <c r="AZ130" s="78">
        <f>AI130*Valores!$C$66</f>
        <v>102.77684770750203</v>
      </c>
      <c r="BA130" s="78">
        <f t="shared" si="20"/>
        <v>924.99162936751816</v>
      </c>
      <c r="BB130" s="20"/>
      <c r="BC130" s="20"/>
      <c r="BD130" s="9" t="s">
        <v>466</v>
      </c>
    </row>
    <row r="131" spans="1:56" s="9" customFormat="1" ht="11.25" customHeight="1" x14ac:dyDescent="0.15">
      <c r="A131" s="55">
        <v>130</v>
      </c>
      <c r="B131" s="55" t="s">
        <v>462</v>
      </c>
      <c r="C131" s="52" t="s">
        <v>238</v>
      </c>
      <c r="D131" s="52"/>
      <c r="E131" s="53" t="s">
        <v>239</v>
      </c>
      <c r="F131" s="124">
        <v>1278</v>
      </c>
      <c r="G131" s="7">
        <f>INT((F131*Valores!$C$2*100*1.006901)+0.5)/100</f>
        <v>6725.95</v>
      </c>
      <c r="H131" s="131">
        <v>0</v>
      </c>
      <c r="I131" s="77">
        <f>INT((H131*Valores!$C$2*100*1.006901)+0.5)/100</f>
        <v>0</v>
      </c>
      <c r="J131" s="146">
        <v>0</v>
      </c>
      <c r="K131" s="77">
        <f>INT((J131*Valores!$C$2*100*1.006901)+0.5)/100</f>
        <v>0</v>
      </c>
      <c r="L131" s="121">
        <v>0</v>
      </c>
      <c r="M131" s="77">
        <f>INT((L131*Valores!$C$2*100*1.006901)+0.5)/100</f>
        <v>0</v>
      </c>
      <c r="N131" s="80">
        <f t="shared" si="13"/>
        <v>1458.9878194604998</v>
      </c>
      <c r="O131" s="80">
        <f t="shared" si="14"/>
        <v>0</v>
      </c>
      <c r="P131" s="81">
        <f>Valores!$C$20</f>
        <v>3087.7323995700003</v>
      </c>
      <c r="Q131" s="81">
        <f>Valores!$D$4</f>
        <v>2354.08</v>
      </c>
      <c r="R131" s="85">
        <f>Valores!$C$26</f>
        <v>2369.1575009200001</v>
      </c>
      <c r="S131" s="88">
        <f>Valores!$C$42</f>
        <v>764.36875613000007</v>
      </c>
      <c r="T131" s="85">
        <f>Valores!$C$24</f>
        <v>2236.2667069399999</v>
      </c>
      <c r="U131" s="80">
        <f t="shared" si="21"/>
        <v>2236.2667069399999</v>
      </c>
      <c r="V131" s="80">
        <v>0</v>
      </c>
      <c r="W131" s="80">
        <v>0</v>
      </c>
      <c r="X131" s="115">
        <v>0</v>
      </c>
      <c r="Y131" s="77">
        <f>X131*Valores!$C$2*1.006901</f>
        <v>0</v>
      </c>
      <c r="Z131" s="80">
        <v>0</v>
      </c>
      <c r="AA131" s="90">
        <f>Valores!$C$29</f>
        <v>132.58872368000002</v>
      </c>
      <c r="AB131" s="80">
        <f t="shared" si="15"/>
        <v>0</v>
      </c>
      <c r="AC131" s="80">
        <f>Valores!$C$30</f>
        <v>132.59</v>
      </c>
      <c r="AD131" s="115">
        <v>0</v>
      </c>
      <c r="AE131" s="77">
        <f>AD131*Valores!$C$2*1.006901</f>
        <v>0</v>
      </c>
      <c r="AF131" s="80">
        <f>Valores!$C$51</f>
        <v>269.71857087000001</v>
      </c>
      <c r="AG131" s="80">
        <f>Valores!$C$52</f>
        <v>77.068202540000016</v>
      </c>
      <c r="AH131" s="80">
        <f>SUM(G131,I131,K131,M131,N131,O131,P131,Q131,R131,S131,U131,V131,W131,Y131,Z131,AA131,AB131,AC131,AE131,AF131,AG131)*Valores!$C$54</f>
        <v>0</v>
      </c>
      <c r="AI131" s="54">
        <f t="shared" si="19"/>
        <v>19608.508680110503</v>
      </c>
      <c r="AJ131" s="81">
        <f>Valores!$C$35</f>
        <v>216.04</v>
      </c>
      <c r="AK131" s="82">
        <f>Valores!$C$8</f>
        <v>205.50849410000001</v>
      </c>
      <c r="AL131" s="90">
        <v>113.02463725000001</v>
      </c>
      <c r="AM131" s="82">
        <f>IF($G$4="SI",SUM(AK131+AL131),AK131)*Valores!$C$54</f>
        <v>0</v>
      </c>
      <c r="AN131" s="184">
        <f t="shared" si="16"/>
        <v>534.57313135000004</v>
      </c>
      <c r="AO131" s="152">
        <f>AI131*-Valores!$C$56</f>
        <v>-2549.1061284143652</v>
      </c>
      <c r="AP131" s="152">
        <f>AI131*-Valores!$C$57</f>
        <v>-98.042543400552518</v>
      </c>
      <c r="AQ131" s="81">
        <f>AI131*-Valores!$C$58</f>
        <v>-882.38289060497254</v>
      </c>
      <c r="AR131" s="81">
        <f>AI131*-Valores!$C$59</f>
        <v>-529.4297343629836</v>
      </c>
      <c r="AS131" s="81">
        <f>AI131*-Valores!$C$60</f>
        <v>-58.825526040331511</v>
      </c>
      <c r="AT131" s="54">
        <f t="shared" si="17"/>
        <v>16613.550249040614</v>
      </c>
      <c r="AU131" s="54">
        <f t="shared" si="18"/>
        <v>16907.67787924227</v>
      </c>
      <c r="AV131" s="81">
        <f>AI131*Valores!$C$61</f>
        <v>3137.3613888176806</v>
      </c>
      <c r="AW131" s="81">
        <f>AI131*Valores!$C$62</f>
        <v>882.38289060497254</v>
      </c>
      <c r="AX131" s="81">
        <f>AI131*Valores!$C$64</f>
        <v>196.08508680110504</v>
      </c>
      <c r="AY131" s="81">
        <f>AI131*Valores!$C$65</f>
        <v>686.29780380386762</v>
      </c>
      <c r="AZ131" s="81">
        <f>AI131*Valores!$C$66</f>
        <v>117.65105208066302</v>
      </c>
      <c r="BA131" s="81">
        <f t="shared" si="20"/>
        <v>1058.8594687259672</v>
      </c>
      <c r="BB131" s="55"/>
      <c r="BC131" s="55">
        <v>22</v>
      </c>
      <c r="BD131" s="52" t="s">
        <v>467</v>
      </c>
    </row>
    <row r="132" spans="1:56" s="9" customFormat="1" ht="11.25" customHeight="1" x14ac:dyDescent="0.15">
      <c r="A132" s="20">
        <v>131</v>
      </c>
      <c r="B132" s="20"/>
      <c r="C132" s="9" t="s">
        <v>240</v>
      </c>
      <c r="E132" s="10" t="s">
        <v>241</v>
      </c>
      <c r="F132" s="123">
        <v>1278</v>
      </c>
      <c r="G132" s="7">
        <f>INT((F132*Valores!$C$2*100*1.006901)+0.5)/100</f>
        <v>6725.95</v>
      </c>
      <c r="H132" s="132">
        <v>0</v>
      </c>
      <c r="I132" s="77">
        <f>INT((H132*Valores!$C$2*100*1.006901)+0.5)/100</f>
        <v>0</v>
      </c>
      <c r="J132" s="145">
        <v>0</v>
      </c>
      <c r="K132" s="77">
        <f>INT((J132*Valores!$C$2*100*1.006901)+0.5)/100</f>
        <v>0</v>
      </c>
      <c r="L132" s="120">
        <v>0</v>
      </c>
      <c r="M132" s="77">
        <f>INT((L132*Valores!$C$2*100*1.006901)+0.5)/100</f>
        <v>0</v>
      </c>
      <c r="N132" s="77">
        <f t="shared" si="13"/>
        <v>1463.6125157534998</v>
      </c>
      <c r="O132" s="77">
        <f t="shared" si="14"/>
        <v>0</v>
      </c>
      <c r="P132" s="78">
        <f>Valores!$C$20</f>
        <v>3087.7323995700003</v>
      </c>
      <c r="Q132" s="78">
        <f>Valores!$D$4</f>
        <v>2354.08</v>
      </c>
      <c r="R132" s="77">
        <f>Valores!$C$26</f>
        <v>2369.1575009200001</v>
      </c>
      <c r="S132" s="79">
        <f>Valores!$C$42</f>
        <v>764.36875613000007</v>
      </c>
      <c r="T132" s="77">
        <f>Valores!$C$23</f>
        <v>2267.09801556</v>
      </c>
      <c r="U132" s="77">
        <f t="shared" si="21"/>
        <v>2267.09801556</v>
      </c>
      <c r="V132" s="77">
        <v>0</v>
      </c>
      <c r="W132" s="77">
        <v>0</v>
      </c>
      <c r="X132" s="116">
        <v>0</v>
      </c>
      <c r="Y132" s="77">
        <f>X132*Valores!$C$2*1.006901</f>
        <v>0</v>
      </c>
      <c r="Z132" s="77">
        <v>0</v>
      </c>
      <c r="AA132" s="89">
        <f>Valores!$C$29</f>
        <v>132.58872368000002</v>
      </c>
      <c r="AB132" s="77">
        <f t="shared" si="15"/>
        <v>0</v>
      </c>
      <c r="AC132" s="77">
        <f>Valores!$C$30</f>
        <v>132.59</v>
      </c>
      <c r="AD132" s="116">
        <v>94</v>
      </c>
      <c r="AE132" s="77">
        <f>AD132*Valores!$C$2*1.006901</f>
        <v>494.70979379919999</v>
      </c>
      <c r="AF132" s="77">
        <f>Valores!$C$51</f>
        <v>269.71857087000001</v>
      </c>
      <c r="AG132" s="77">
        <f>Valores!$C$52</f>
        <v>77.068202540000016</v>
      </c>
      <c r="AH132" s="77">
        <f>SUM(G132,I132,K132,M132,N132,O132,P132,Q132,R132,S132,U132,V132,W132,Y132,Z132,AA132,AB132,AC132,AE132,AF132,AG132)*Valores!$C$54</f>
        <v>0</v>
      </c>
      <c r="AI132" s="15">
        <f t="shared" si="19"/>
        <v>20138.674478822701</v>
      </c>
      <c r="AJ132" s="78">
        <f>Valores!$C$35</f>
        <v>216.04</v>
      </c>
      <c r="AK132" s="79">
        <f>Valores!$C$8</f>
        <v>205.50849410000001</v>
      </c>
      <c r="AL132" s="89">
        <v>113.02463725000001</v>
      </c>
      <c r="AM132" s="79">
        <f>IF($G$4="SI",SUM(AK132+AL132),AK132)*Valores!$C$54</f>
        <v>0</v>
      </c>
      <c r="AN132" s="12">
        <f t="shared" si="16"/>
        <v>534.57313135000004</v>
      </c>
      <c r="AO132" s="151">
        <f>AI132*-Valores!$C$56</f>
        <v>-2618.0276822469514</v>
      </c>
      <c r="AP132" s="151">
        <f>AI132*-Valores!$C$57</f>
        <v>-100.69337239411351</v>
      </c>
      <c r="AQ132" s="78">
        <f>AI132*-Valores!$C$58</f>
        <v>-906.24035154702153</v>
      </c>
      <c r="AR132" s="78">
        <f>AI132*-Valores!$C$59</f>
        <v>-543.74421092821296</v>
      </c>
      <c r="AS132" s="78">
        <f>AI132*-Valores!$C$60</f>
        <v>-60.416023436468102</v>
      </c>
      <c r="AT132" s="15">
        <f t="shared" si="17"/>
        <v>17048.286203984615</v>
      </c>
      <c r="AU132" s="15">
        <f t="shared" si="18"/>
        <v>17350.366321166955</v>
      </c>
      <c r="AV132" s="78">
        <f>AI132*Valores!$C$61</f>
        <v>3222.1879166116323</v>
      </c>
      <c r="AW132" s="78">
        <f>AI132*Valores!$C$62</f>
        <v>906.24035154702153</v>
      </c>
      <c r="AX132" s="78">
        <f>AI132*Valores!$C$64</f>
        <v>201.38674478822702</v>
      </c>
      <c r="AY132" s="78">
        <f>AI132*Valores!$C$65</f>
        <v>704.85360675879463</v>
      </c>
      <c r="AZ132" s="78">
        <f>AI132*Valores!$C$66</f>
        <v>120.8320468729362</v>
      </c>
      <c r="BA132" s="78">
        <f t="shared" si="20"/>
        <v>1087.4884218564259</v>
      </c>
      <c r="BB132" s="20"/>
      <c r="BC132" s="20">
        <v>20</v>
      </c>
      <c r="BD132" s="9" t="s">
        <v>467</v>
      </c>
    </row>
    <row r="133" spans="1:56" s="9" customFormat="1" ht="11.25" customHeight="1" x14ac:dyDescent="0.15">
      <c r="A133" s="20">
        <v>132</v>
      </c>
      <c r="B133" s="20"/>
      <c r="C133" s="9" t="s">
        <v>242</v>
      </c>
      <c r="E133" s="10" t="s">
        <v>243</v>
      </c>
      <c r="F133" s="123">
        <v>936</v>
      </c>
      <c r="G133" s="7">
        <f>INT((F133*Valores!$C$2*100*1.006901)+0.5)/100</f>
        <v>4926.05</v>
      </c>
      <c r="H133" s="132">
        <v>0</v>
      </c>
      <c r="I133" s="77">
        <f>INT((H133*Valores!$C$2*100*1.006901)+0.5)/100</f>
        <v>0</v>
      </c>
      <c r="J133" s="145">
        <v>0</v>
      </c>
      <c r="K133" s="77">
        <f>INT((J133*Valores!$C$2*100*1.006901)+0.5)/100</f>
        <v>0</v>
      </c>
      <c r="L133" s="120">
        <v>0</v>
      </c>
      <c r="M133" s="77">
        <f>INT((L133*Valores!$C$2*100*1.006901)+0.5)/100</f>
        <v>0</v>
      </c>
      <c r="N133" s="77">
        <f t="shared" si="13"/>
        <v>1174.6710940770001</v>
      </c>
      <c r="O133" s="77">
        <f t="shared" si="14"/>
        <v>0</v>
      </c>
      <c r="P133" s="61">
        <f>Valores!$C$20</f>
        <v>3087.7323995700003</v>
      </c>
      <c r="Q133" s="61">
        <f>Valores!$D$4</f>
        <v>2354.08</v>
      </c>
      <c r="R133" s="61">
        <f>Valores!$C$27</f>
        <v>2168.79427093</v>
      </c>
      <c r="S133" s="87">
        <f>Valores!$C$41</f>
        <v>668.82392024000001</v>
      </c>
      <c r="T133" s="61">
        <f>Valores!$C$24</f>
        <v>2236.2667069399999</v>
      </c>
      <c r="U133" s="77">
        <f t="shared" si="21"/>
        <v>2236.2667069399999</v>
      </c>
      <c r="V133" s="77">
        <v>0</v>
      </c>
      <c r="W133" s="77">
        <v>0</v>
      </c>
      <c r="X133" s="116">
        <v>0</v>
      </c>
      <c r="Y133" s="77">
        <f>X133*Valores!$C$2*1.006901</f>
        <v>0</v>
      </c>
      <c r="Z133" s="77">
        <v>0</v>
      </c>
      <c r="AA133" s="89">
        <f>Valores!$C$29</f>
        <v>132.58872368000002</v>
      </c>
      <c r="AB133" s="77">
        <f t="shared" si="15"/>
        <v>0</v>
      </c>
      <c r="AC133" s="77">
        <f>Valores!$C$30</f>
        <v>132.59</v>
      </c>
      <c r="AD133" s="125">
        <v>94</v>
      </c>
      <c r="AE133" s="77">
        <f>AD133*Valores!$C$2*1.006901</f>
        <v>494.70979379919999</v>
      </c>
      <c r="AF133" s="79">
        <f>Valores!$C$51</f>
        <v>269.71857087000001</v>
      </c>
      <c r="AG133" s="79">
        <f>Valores!$C$52</f>
        <v>77.068202540000016</v>
      </c>
      <c r="AH133" s="79">
        <f>SUM(G133,I133,K133,M133,N133,O133,P133,Q133,R133,S133,U133,V133,W133,Y133,Z133,AA133,AB133,AC133,AE133,AF133,AG133)*Valores!$C$54</f>
        <v>0</v>
      </c>
      <c r="AI133" s="139">
        <f t="shared" si="19"/>
        <v>17723.093682646202</v>
      </c>
      <c r="AJ133" s="61">
        <f>Valores!$C$35</f>
        <v>216.04</v>
      </c>
      <c r="AK133" s="79">
        <f>Valores!$C$7</f>
        <v>179.82244959000002</v>
      </c>
      <c r="AL133" s="89">
        <v>113.02463725000001</v>
      </c>
      <c r="AM133" s="79">
        <f>IF($G$4="SI",SUM(AK133+AL133),AK133)*Valores!$C$54</f>
        <v>0</v>
      </c>
      <c r="AN133" s="12">
        <f t="shared" si="16"/>
        <v>508.88708683999999</v>
      </c>
      <c r="AO133" s="13">
        <f>AI133*-Valores!$C$56</f>
        <v>-2304.0021787440064</v>
      </c>
      <c r="AP133" s="13">
        <f>AI133*-Valores!$C$57</f>
        <v>-88.615468413231014</v>
      </c>
      <c r="AQ133" s="78">
        <f>AI133*-Valores!$C$58</f>
        <v>-797.53921571907904</v>
      </c>
      <c r="AR133" s="78">
        <f>AI133*-Valores!$C$59</f>
        <v>-478.52352943144751</v>
      </c>
      <c r="AS133" s="78">
        <f>AI133*-Valores!$C$60</f>
        <v>-53.169281047938604</v>
      </c>
      <c r="AT133" s="15">
        <f t="shared" si="17"/>
        <v>15041.823906609887</v>
      </c>
      <c r="AU133" s="15">
        <f t="shared" si="18"/>
        <v>15307.670311849581</v>
      </c>
      <c r="AV133" s="78">
        <f>AI133*Valores!$C$61</f>
        <v>2835.6949892233924</v>
      </c>
      <c r="AW133" s="78">
        <f>AI133*Valores!$C$62</f>
        <v>797.53921571907904</v>
      </c>
      <c r="AX133" s="78">
        <f>AI133*Valores!$C$64</f>
        <v>177.23093682646203</v>
      </c>
      <c r="AY133" s="78">
        <f>AI133*Valores!$C$65</f>
        <v>620.30827889261718</v>
      </c>
      <c r="AZ133" s="78">
        <f>AI133*Valores!$C$66</f>
        <v>106.33856209587721</v>
      </c>
      <c r="BA133" s="78">
        <f t="shared" si="20"/>
        <v>957.04705886289491</v>
      </c>
      <c r="BB133" s="20">
        <v>8</v>
      </c>
      <c r="BC133" s="20"/>
      <c r="BD133" s="9" t="s">
        <v>467</v>
      </c>
    </row>
    <row r="134" spans="1:56" s="9" customFormat="1" ht="11.25" customHeight="1" x14ac:dyDescent="0.15">
      <c r="A134" s="20">
        <v>133</v>
      </c>
      <c r="B134" s="20"/>
      <c r="C134" s="9" t="s">
        <v>244</v>
      </c>
      <c r="E134" s="10" t="s">
        <v>245</v>
      </c>
      <c r="F134" s="123">
        <v>1278</v>
      </c>
      <c r="G134" s="7">
        <f>INT((F134*Valores!$C$2*100*1.006901)+0.5)/100</f>
        <v>6725.95</v>
      </c>
      <c r="H134" s="132">
        <v>0</v>
      </c>
      <c r="I134" s="77">
        <f>INT((H134*Valores!$C$2*100*1.006901)+0.5)/100</f>
        <v>0</v>
      </c>
      <c r="J134" s="145">
        <v>0</v>
      </c>
      <c r="K134" s="77">
        <f>INT((J134*Valores!$C$2*100*1.006901)+0.5)/100</f>
        <v>0</v>
      </c>
      <c r="L134" s="120">
        <v>0</v>
      </c>
      <c r="M134" s="77">
        <f>INT((L134*Valores!$C$2*100*1.006901)+0.5)/100</f>
        <v>0</v>
      </c>
      <c r="N134" s="77">
        <f t="shared" si="13"/>
        <v>1444.656094077</v>
      </c>
      <c r="O134" s="77">
        <f t="shared" si="14"/>
        <v>0</v>
      </c>
      <c r="P134" s="61">
        <f>Valores!$C$15</f>
        <v>3241.8587356399998</v>
      </c>
      <c r="Q134" s="61">
        <f>Valores!$D$4</f>
        <v>2354.08</v>
      </c>
      <c r="R134" s="79">
        <v>0</v>
      </c>
      <c r="S134" s="79">
        <f>Valores!$C$41</f>
        <v>668.82392024000001</v>
      </c>
      <c r="T134" s="61">
        <f>Valores!$C$24</f>
        <v>2236.2667069399999</v>
      </c>
      <c r="U134" s="77">
        <f t="shared" si="21"/>
        <v>2236.2667069399999</v>
      </c>
      <c r="V134" s="77">
        <v>0</v>
      </c>
      <c r="W134" s="77">
        <v>0</v>
      </c>
      <c r="X134" s="116">
        <v>0</v>
      </c>
      <c r="Y134" s="77">
        <f>X134*Valores!$C$2*1.006901</f>
        <v>0</v>
      </c>
      <c r="Z134" s="77">
        <v>0</v>
      </c>
      <c r="AA134" s="89">
        <f>Valores!$C$29</f>
        <v>132.58872368000002</v>
      </c>
      <c r="AB134" s="77">
        <f t="shared" si="15"/>
        <v>0</v>
      </c>
      <c r="AC134" s="77">
        <f>Valores!$C$30</f>
        <v>132.59</v>
      </c>
      <c r="AD134" s="125">
        <v>94</v>
      </c>
      <c r="AE134" s="77">
        <f>AD134*Valores!$C$2*1.006901</f>
        <v>494.70979379919999</v>
      </c>
      <c r="AF134" s="79">
        <f>Valores!$C$51</f>
        <v>269.71857087000001</v>
      </c>
      <c r="AG134" s="79">
        <f>Valores!$C$52</f>
        <v>77.068202540000016</v>
      </c>
      <c r="AH134" s="79">
        <f>SUM(G134,I134,K134,M134,N134,O134,P134,Q134,R134,S134,U134,V134,W134,Y134,Z134,AA134,AB134,AC134,AE134,AF134,AG134)*Valores!$C$54</f>
        <v>0</v>
      </c>
      <c r="AI134" s="139">
        <f t="shared" si="19"/>
        <v>17778.310747786199</v>
      </c>
      <c r="AJ134" s="61">
        <f>Valores!$C$35</f>
        <v>216.04</v>
      </c>
      <c r="AK134" s="79">
        <f>Valores!$C$7</f>
        <v>179.82244959000002</v>
      </c>
      <c r="AL134" s="89">
        <v>113.02463725000001</v>
      </c>
      <c r="AM134" s="79">
        <f>IF($G$4="SI",SUM(AK134+AL134),AK134)*Valores!$C$54</f>
        <v>0</v>
      </c>
      <c r="AN134" s="12">
        <f t="shared" si="16"/>
        <v>508.88708683999999</v>
      </c>
      <c r="AO134" s="13">
        <f>AI134*-Valores!$C$56</f>
        <v>-2311.1803972122061</v>
      </c>
      <c r="AP134" s="13">
        <f>AI134*-Valores!$C$57</f>
        <v>-88.891553738930995</v>
      </c>
      <c r="AQ134" s="78">
        <f>AI134*-Valores!$C$58</f>
        <v>-800.02398365037891</v>
      </c>
      <c r="AR134" s="78">
        <f>AI134*-Valores!$C$59</f>
        <v>-480.01439019022746</v>
      </c>
      <c r="AS134" s="78">
        <f>AI134*-Valores!$C$60</f>
        <v>-53.334932243358601</v>
      </c>
      <c r="AT134" s="15">
        <f t="shared" si="17"/>
        <v>15087.101900024685</v>
      </c>
      <c r="AU134" s="15">
        <f t="shared" si="18"/>
        <v>15353.776561241479</v>
      </c>
      <c r="AV134" s="78">
        <f>AI134*Valores!$C$61</f>
        <v>2844.5297196457918</v>
      </c>
      <c r="AW134" s="78">
        <f>AI134*Valores!$C$62</f>
        <v>800.02398365037891</v>
      </c>
      <c r="AX134" s="78">
        <f>AI134*Valores!$C$64</f>
        <v>177.78310747786199</v>
      </c>
      <c r="AY134" s="78">
        <f>AI134*Valores!$C$65</f>
        <v>622.24087617251701</v>
      </c>
      <c r="AZ134" s="78">
        <f>AI134*Valores!$C$66</f>
        <v>106.6698644867172</v>
      </c>
      <c r="BA134" s="78">
        <f t="shared" si="20"/>
        <v>960.0287803804548</v>
      </c>
      <c r="BB134" s="20"/>
      <c r="BC134" s="55">
        <v>22</v>
      </c>
      <c r="BD134" s="9" t="s">
        <v>467</v>
      </c>
    </row>
    <row r="135" spans="1:56" s="9" customFormat="1" ht="11.25" customHeight="1" x14ac:dyDescent="0.15">
      <c r="A135" s="20">
        <v>134</v>
      </c>
      <c r="B135" s="20"/>
      <c r="C135" s="9" t="s">
        <v>246</v>
      </c>
      <c r="E135" s="10" t="s">
        <v>247</v>
      </c>
      <c r="F135" s="123">
        <v>1278</v>
      </c>
      <c r="G135" s="7">
        <f>INT((F135*Valores!$C$2*100*1.006901)+0.5)/100</f>
        <v>6725.95</v>
      </c>
      <c r="H135" s="132">
        <v>0</v>
      </c>
      <c r="I135" s="77">
        <f>INT((H135*Valores!$C$2*100*1.006901)+0.5)/100</f>
        <v>0</v>
      </c>
      <c r="J135" s="145">
        <v>0</v>
      </c>
      <c r="K135" s="77">
        <f>INT((J135*Valores!$C$2*100*1.006901)+0.5)/100</f>
        <v>0</v>
      </c>
      <c r="L135" s="120">
        <v>0</v>
      </c>
      <c r="M135" s="77">
        <f>INT((L135*Valores!$C$2*100*1.006901)+0.5)/100</f>
        <v>0</v>
      </c>
      <c r="N135" s="77">
        <f t="shared" si="13"/>
        <v>1463.6125157534998</v>
      </c>
      <c r="O135" s="77">
        <f t="shared" si="14"/>
        <v>0</v>
      </c>
      <c r="P135" s="61">
        <f>Valores!$C$15</f>
        <v>3241.8587356399998</v>
      </c>
      <c r="Q135" s="61">
        <f>Valores!$D$4</f>
        <v>2354.08</v>
      </c>
      <c r="R135" s="61">
        <f>Valores!$C$26</f>
        <v>2369.1575009200001</v>
      </c>
      <c r="S135" s="87">
        <f>Valores!$C$42</f>
        <v>764.36875613000007</v>
      </c>
      <c r="T135" s="77">
        <f>Valores!$C$23</f>
        <v>2267.09801556</v>
      </c>
      <c r="U135" s="77">
        <f t="shared" si="21"/>
        <v>2267.09801556</v>
      </c>
      <c r="V135" s="77">
        <v>0</v>
      </c>
      <c r="W135" s="77">
        <v>0</v>
      </c>
      <c r="X135" s="116">
        <v>0</v>
      </c>
      <c r="Y135" s="77">
        <f>X135*Valores!$C$2*1.006901</f>
        <v>0</v>
      </c>
      <c r="Z135" s="77">
        <v>0</v>
      </c>
      <c r="AA135" s="89">
        <f>Valores!$C$29</f>
        <v>132.58872368000002</v>
      </c>
      <c r="AB135" s="77">
        <f t="shared" ref="AB135:AB198" si="22">SUM(G135,I135,K135,Y135,S135,M135)*$G$3/100</f>
        <v>0</v>
      </c>
      <c r="AC135" s="77">
        <f>Valores!$C$30</f>
        <v>132.59</v>
      </c>
      <c r="AD135" s="116">
        <v>0</v>
      </c>
      <c r="AE135" s="77">
        <f>AD135*Valores!$C$2*1.006901</f>
        <v>0</v>
      </c>
      <c r="AF135" s="77">
        <f>Valores!$C$51</f>
        <v>269.71857087000001</v>
      </c>
      <c r="AG135" s="77">
        <f>Valores!$C$52</f>
        <v>77.068202540000016</v>
      </c>
      <c r="AH135" s="77">
        <f>SUM(G135,I135,K135,M135,N135,O135,P135,Q135,R135,S135,U135,V135,W135,Y135,Z135,AA135,AB135,AC135,AE135,AF135,AG135)*Valores!$C$54</f>
        <v>0</v>
      </c>
      <c r="AI135" s="139">
        <f t="shared" si="19"/>
        <v>19798.0910210935</v>
      </c>
      <c r="AJ135" s="61">
        <f>Valores!$C$35</f>
        <v>216.04</v>
      </c>
      <c r="AK135" s="79">
        <f>Valores!$C$8</f>
        <v>205.50849410000001</v>
      </c>
      <c r="AL135" s="89">
        <v>113.02463725000001</v>
      </c>
      <c r="AM135" s="79">
        <f>IF($G$4="SI",SUM(AK135+AL135),AK135)*Valores!$C$54</f>
        <v>0</v>
      </c>
      <c r="AN135" s="12">
        <f t="shared" ref="AN135:AN198" si="23">SUM(AJ135:AK135,AL135,AM135)</f>
        <v>534.57313135000004</v>
      </c>
      <c r="AO135" s="13">
        <f>AI135*-Valores!$C$56</f>
        <v>-2573.7518327421549</v>
      </c>
      <c r="AP135" s="13">
        <f>AI135*-Valores!$C$57</f>
        <v>-98.990455105467504</v>
      </c>
      <c r="AQ135" s="78">
        <f>AI135*-Valores!$C$58</f>
        <v>-890.91409594920742</v>
      </c>
      <c r="AR135" s="78">
        <f>AI135*-Valores!$C$59</f>
        <v>-534.54845756952454</v>
      </c>
      <c r="AS135" s="78">
        <f>AI135*-Valores!$C$60</f>
        <v>-59.394273063280501</v>
      </c>
      <c r="AT135" s="15">
        <f t="shared" ref="AT135:AT198" si="24">AI135+AN135+AP135+AQ135+AO135</f>
        <v>16769.007768646668</v>
      </c>
      <c r="AU135" s="15">
        <f t="shared" ref="AU135:AU198" si="25">AI135+AN135+AP135+AR135+AO135+AS135</f>
        <v>17065.979133963072</v>
      </c>
      <c r="AV135" s="78">
        <f>AI135*Valores!$C$61</f>
        <v>3167.6945633749601</v>
      </c>
      <c r="AW135" s="78">
        <f>AI135*Valores!$C$62</f>
        <v>890.91409594920742</v>
      </c>
      <c r="AX135" s="78">
        <f>AI135*Valores!$C$64</f>
        <v>197.98091021093501</v>
      </c>
      <c r="AY135" s="78">
        <f>AI135*Valores!$C$65</f>
        <v>692.93318573827253</v>
      </c>
      <c r="AZ135" s="78">
        <f>AI135*Valores!$C$66</f>
        <v>118.788546126561</v>
      </c>
      <c r="BA135" s="78">
        <f t="shared" si="20"/>
        <v>1069.0969151390491</v>
      </c>
      <c r="BB135" s="20"/>
      <c r="BC135" s="20"/>
      <c r="BD135" s="9" t="s">
        <v>467</v>
      </c>
    </row>
    <row r="136" spans="1:56" s="9" customFormat="1" ht="11.25" customHeight="1" x14ac:dyDescent="0.15">
      <c r="A136" s="55">
        <v>135</v>
      </c>
      <c r="B136" s="55" t="s">
        <v>462</v>
      </c>
      <c r="C136" s="52" t="s">
        <v>248</v>
      </c>
      <c r="D136" s="52"/>
      <c r="E136" s="53" t="s">
        <v>249</v>
      </c>
      <c r="F136" s="124">
        <v>1278</v>
      </c>
      <c r="G136" s="7">
        <f>INT((F136*Valores!$C$2*100*1.006901)+0.5)/100</f>
        <v>6725.95</v>
      </c>
      <c r="H136" s="131">
        <v>0</v>
      </c>
      <c r="I136" s="77">
        <f>INT((H136*Valores!$C$2*100*1.006901)+0.5)/100</f>
        <v>0</v>
      </c>
      <c r="J136" s="146">
        <v>0</v>
      </c>
      <c r="K136" s="77">
        <f>INT((J136*Valores!$C$2*100*1.006901)+0.5)/100</f>
        <v>0</v>
      </c>
      <c r="L136" s="121">
        <v>0</v>
      </c>
      <c r="M136" s="77">
        <f>INT((L136*Valores!$C$2*100*1.006901)+0.5)/100</f>
        <v>0</v>
      </c>
      <c r="N136" s="80">
        <f t="shared" si="13"/>
        <v>1463.6125157534998</v>
      </c>
      <c r="O136" s="80">
        <f t="shared" si="14"/>
        <v>0</v>
      </c>
      <c r="P136" s="85">
        <f>Valores!$C$15</f>
        <v>3241.8587356399998</v>
      </c>
      <c r="Q136" s="85">
        <f>Valores!$D$4</f>
        <v>2354.08</v>
      </c>
      <c r="R136" s="85">
        <f>Valores!$C$26</f>
        <v>2369.1575009200001</v>
      </c>
      <c r="S136" s="88">
        <f>Valores!$C$42</f>
        <v>764.36875613000007</v>
      </c>
      <c r="T136" s="80">
        <f>Valores!$C$23</f>
        <v>2267.09801556</v>
      </c>
      <c r="U136" s="80">
        <f t="shared" si="21"/>
        <v>2267.09801556</v>
      </c>
      <c r="V136" s="80">
        <v>0</v>
      </c>
      <c r="W136" s="80">
        <v>0</v>
      </c>
      <c r="X136" s="115">
        <v>0</v>
      </c>
      <c r="Y136" s="77">
        <f>X136*Valores!$C$2*1.006901</f>
        <v>0</v>
      </c>
      <c r="Z136" s="80">
        <v>0</v>
      </c>
      <c r="AA136" s="90">
        <f>Valores!$C$29</f>
        <v>132.58872368000002</v>
      </c>
      <c r="AB136" s="80">
        <f t="shared" si="22"/>
        <v>0</v>
      </c>
      <c r="AC136" s="80">
        <f>Valores!$C$30</f>
        <v>132.59</v>
      </c>
      <c r="AD136" s="115">
        <v>0</v>
      </c>
      <c r="AE136" s="77">
        <f>AD136*Valores!$C$2*1.006901</f>
        <v>0</v>
      </c>
      <c r="AF136" s="80">
        <f>Valores!$C$51</f>
        <v>269.71857087000001</v>
      </c>
      <c r="AG136" s="80">
        <f>Valores!$C$52</f>
        <v>77.068202540000016</v>
      </c>
      <c r="AH136" s="80">
        <f>SUM(G136,I136,K136,M136,N136,O136,P136,Q136,R136,S136,U136,V136,W136,Y136,Z136,AA136,AB136,AC136,AE136,AF136,AG136)*Valores!$C$54</f>
        <v>0</v>
      </c>
      <c r="AI136" s="140">
        <f t="shared" ref="AI136:AI199" si="26">SUM(G136,I136,K136,M136,N136,O136,P136,Q136,R136,U136,V136,W136,Y136,Z136,AA136,AB136,AC136,AE136,S136,AF136,AG136,AH136)</f>
        <v>19798.0910210935</v>
      </c>
      <c r="AJ136" s="85">
        <f>Valores!$C$35</f>
        <v>216.04</v>
      </c>
      <c r="AK136" s="82">
        <f>Valores!$C$8</f>
        <v>205.50849410000001</v>
      </c>
      <c r="AL136" s="90">
        <v>113.02463725000001</v>
      </c>
      <c r="AM136" s="82">
        <f>IF($G$4="SI",SUM(AK136+AL136),AK136)*Valores!$C$54</f>
        <v>0</v>
      </c>
      <c r="AN136" s="184">
        <f t="shared" si="23"/>
        <v>534.57313135000004</v>
      </c>
      <c r="AO136" s="153">
        <f>AI136*-Valores!$C$56</f>
        <v>-2573.7518327421549</v>
      </c>
      <c r="AP136" s="153">
        <f>AI136*-Valores!$C$57</f>
        <v>-98.990455105467504</v>
      </c>
      <c r="AQ136" s="81">
        <f>AI136*-Valores!$C$58</f>
        <v>-890.91409594920742</v>
      </c>
      <c r="AR136" s="81">
        <f>AI136*-Valores!$C$59</f>
        <v>-534.54845756952454</v>
      </c>
      <c r="AS136" s="81">
        <f>AI136*-Valores!$C$60</f>
        <v>-59.394273063280501</v>
      </c>
      <c r="AT136" s="54">
        <f t="shared" si="24"/>
        <v>16769.007768646668</v>
      </c>
      <c r="AU136" s="54">
        <f t="shared" si="25"/>
        <v>17065.979133963072</v>
      </c>
      <c r="AV136" s="81">
        <f>AI136*Valores!$C$61</f>
        <v>3167.6945633749601</v>
      </c>
      <c r="AW136" s="81">
        <f>AI136*Valores!$C$62</f>
        <v>890.91409594920742</v>
      </c>
      <c r="AX136" s="81">
        <f>AI136*Valores!$C$64</f>
        <v>197.98091021093501</v>
      </c>
      <c r="AY136" s="81">
        <f>AI136*Valores!$C$65</f>
        <v>692.93318573827253</v>
      </c>
      <c r="AZ136" s="81">
        <f>AI136*Valores!$C$66</f>
        <v>118.788546126561</v>
      </c>
      <c r="BA136" s="81">
        <f t="shared" si="20"/>
        <v>1069.0969151390491</v>
      </c>
      <c r="BB136" s="55"/>
      <c r="BC136" s="55"/>
      <c r="BD136" s="52" t="s">
        <v>467</v>
      </c>
    </row>
    <row r="137" spans="1:56" s="9" customFormat="1" ht="11.25" customHeight="1" x14ac:dyDescent="0.15">
      <c r="A137" s="20">
        <v>136</v>
      </c>
      <c r="B137" s="20"/>
      <c r="C137" s="9" t="s">
        <v>250</v>
      </c>
      <c r="E137" s="10" t="s">
        <v>251</v>
      </c>
      <c r="F137" s="123">
        <v>1278</v>
      </c>
      <c r="G137" s="7">
        <f>INT((F137*Valores!$C$2*100*1.006901)+0.5)/100</f>
        <v>6725.95</v>
      </c>
      <c r="H137" s="132">
        <v>0</v>
      </c>
      <c r="I137" s="77">
        <f>INT((H137*Valores!$C$2*100*1.006901)+0.5)/100</f>
        <v>0</v>
      </c>
      <c r="J137" s="145">
        <v>0</v>
      </c>
      <c r="K137" s="77">
        <f>INT((J137*Valores!$C$2*100*1.006901)+0.5)/100</f>
        <v>0</v>
      </c>
      <c r="L137" s="120">
        <v>0</v>
      </c>
      <c r="M137" s="77">
        <f>INT((L137*Valores!$C$2*100*1.006901)+0.5)/100</f>
        <v>0</v>
      </c>
      <c r="N137" s="77">
        <f t="shared" si="13"/>
        <v>1463.6125157534998</v>
      </c>
      <c r="O137" s="77">
        <f t="shared" si="14"/>
        <v>0</v>
      </c>
      <c r="P137" s="61">
        <f>Valores!$C$20</f>
        <v>3087.7323995700003</v>
      </c>
      <c r="Q137" s="61">
        <f>Valores!$D$4</f>
        <v>2354.08</v>
      </c>
      <c r="R137" s="77">
        <v>0</v>
      </c>
      <c r="S137" s="79">
        <f>Valores!$C$42</f>
        <v>764.36875613000007</v>
      </c>
      <c r="T137" s="77">
        <f>Valores!$C$23</f>
        <v>2267.09801556</v>
      </c>
      <c r="U137" s="77">
        <f t="shared" si="21"/>
        <v>2267.09801556</v>
      </c>
      <c r="V137" s="77">
        <v>0</v>
      </c>
      <c r="W137" s="77">
        <v>0</v>
      </c>
      <c r="X137" s="116">
        <v>0</v>
      </c>
      <c r="Y137" s="77">
        <f>X137*Valores!$C$2*1.006901</f>
        <v>0</v>
      </c>
      <c r="Z137" s="77">
        <v>0</v>
      </c>
      <c r="AA137" s="89">
        <f>Valores!$C$29</f>
        <v>132.58872368000002</v>
      </c>
      <c r="AB137" s="77">
        <f t="shared" si="22"/>
        <v>0</v>
      </c>
      <c r="AC137" s="77">
        <f>Valores!$C$30</f>
        <v>132.59</v>
      </c>
      <c r="AD137" s="116">
        <v>0</v>
      </c>
      <c r="AE137" s="77">
        <f>AD137*Valores!$C$2*1.006901</f>
        <v>0</v>
      </c>
      <c r="AF137" s="77">
        <f>Valores!$C$51</f>
        <v>269.71857087000001</v>
      </c>
      <c r="AG137" s="77">
        <f>Valores!$C$52</f>
        <v>77.068202540000016</v>
      </c>
      <c r="AH137" s="77">
        <f>SUM(G137,I137,K137,M137,N137,O137,P137,Q137,R137,S137,U137,V137,W137,Y137,Z137,AA137,AB137,AC137,AE137,AF137,AG137)*Valores!$C$54</f>
        <v>0</v>
      </c>
      <c r="AI137" s="139">
        <f t="shared" si="26"/>
        <v>17274.807184103502</v>
      </c>
      <c r="AJ137" s="61">
        <f>Valores!$C$35</f>
        <v>216.04</v>
      </c>
      <c r="AK137" s="79">
        <f>Valores!$C$8</f>
        <v>205.50849410000001</v>
      </c>
      <c r="AL137" s="89">
        <v>0</v>
      </c>
      <c r="AM137" s="79">
        <f>IF($G$4="SI",SUM(AK137+AL137),AK137)*Valores!$C$54</f>
        <v>0</v>
      </c>
      <c r="AN137" s="12">
        <f t="shared" si="23"/>
        <v>421.54849409999997</v>
      </c>
      <c r="AO137" s="13">
        <f>AI137*-Valores!$C$56</f>
        <v>-2245.7249339334553</v>
      </c>
      <c r="AP137" s="13">
        <f>AI137*-Valores!$C$57</f>
        <v>-86.374035920517514</v>
      </c>
      <c r="AQ137" s="78">
        <f>AI137*-Valores!$C$58</f>
        <v>-777.3663232846576</v>
      </c>
      <c r="AR137" s="78">
        <f>AI137*-Valores!$C$59</f>
        <v>-466.41979397079461</v>
      </c>
      <c r="AS137" s="78">
        <f>AI137*-Valores!$C$60</f>
        <v>-51.824421552310504</v>
      </c>
      <c r="AT137" s="15">
        <f t="shared" si="24"/>
        <v>14586.890385064868</v>
      </c>
      <c r="AU137" s="15">
        <f t="shared" si="25"/>
        <v>14846.012492826421</v>
      </c>
      <c r="AV137" s="78">
        <f>AI137*Valores!$C$61</f>
        <v>2763.9691494565604</v>
      </c>
      <c r="AW137" s="78">
        <f>AI137*Valores!$C$62</f>
        <v>777.3663232846576</v>
      </c>
      <c r="AX137" s="78">
        <f>AI137*Valores!$C$64</f>
        <v>172.74807184103503</v>
      </c>
      <c r="AY137" s="78">
        <f>AI137*Valores!$C$65</f>
        <v>604.61825144362263</v>
      </c>
      <c r="AZ137" s="78">
        <f>AI137*Valores!$C$66</f>
        <v>103.64884310462101</v>
      </c>
      <c r="BA137" s="78">
        <f t="shared" ref="BA137:BA200" si="27">AI137*5.4/100</f>
        <v>932.83958794158912</v>
      </c>
      <c r="BB137" s="20">
        <v>12</v>
      </c>
      <c r="BC137" s="20">
        <v>15</v>
      </c>
      <c r="BD137" s="9" t="s">
        <v>466</v>
      </c>
    </row>
    <row r="138" spans="1:56" s="9" customFormat="1" ht="11.25" customHeight="1" x14ac:dyDescent="0.15">
      <c r="A138" s="20">
        <v>137</v>
      </c>
      <c r="B138" s="20"/>
      <c r="C138" s="9" t="s">
        <v>252</v>
      </c>
      <c r="E138" s="10" t="s">
        <v>253</v>
      </c>
      <c r="F138" s="123">
        <v>616</v>
      </c>
      <c r="G138" s="7">
        <f>INT((F138*Valores!$C$2*100*1.006901)+0.5)/100</f>
        <v>3241.93</v>
      </c>
      <c r="H138" s="132">
        <v>0</v>
      </c>
      <c r="I138" s="77">
        <f>INT((H138*Valores!$C$2*100*1.006901)+0.5)/100</f>
        <v>0</v>
      </c>
      <c r="J138" s="145">
        <v>0</v>
      </c>
      <c r="K138" s="77">
        <f>INT((J138*Valores!$C$2*100*1.006901)+0.5)/100</f>
        <v>0</v>
      </c>
      <c r="L138" s="120">
        <v>0</v>
      </c>
      <c r="M138" s="77">
        <f>INT((L138*Valores!$C$2*100*1.006901)+0.5)/100</f>
        <v>0</v>
      </c>
      <c r="N138" s="77">
        <f t="shared" ref="N138:N201" si="28">IF($I$2=0,IF(C138&lt;&gt;"13-930",(SUM(G138,I138,K138,M138,Y138,T138,S138)*$N$2),0),0)</f>
        <v>941.00951575349995</v>
      </c>
      <c r="O138" s="77">
        <f t="shared" ref="O138:O201" si="29">SUM(G138,I138,K138,M138,Y138,S138)*$I$2</f>
        <v>0</v>
      </c>
      <c r="P138" s="61">
        <f>Valores!$C$15</f>
        <v>3241.8587356399998</v>
      </c>
      <c r="Q138" s="61">
        <f>Valores!$D$4</f>
        <v>2354.08</v>
      </c>
      <c r="R138" s="61">
        <f>Valores!$C$26</f>
        <v>2369.1575009200001</v>
      </c>
      <c r="S138" s="87">
        <f>Valores!$C$42</f>
        <v>764.36875613000007</v>
      </c>
      <c r="T138" s="77">
        <f>Valores!$C$23</f>
        <v>2267.09801556</v>
      </c>
      <c r="U138" s="77">
        <f t="shared" si="21"/>
        <v>2267.09801556</v>
      </c>
      <c r="V138" s="77">
        <v>0</v>
      </c>
      <c r="W138" s="77">
        <v>0</v>
      </c>
      <c r="X138" s="116">
        <v>0</v>
      </c>
      <c r="Y138" s="77">
        <f>X138*Valores!$C$2*1.006901</f>
        <v>0</v>
      </c>
      <c r="Z138" s="77">
        <v>0</v>
      </c>
      <c r="AA138" s="89">
        <f>Valores!$C$29</f>
        <v>132.58872368000002</v>
      </c>
      <c r="AB138" s="77">
        <f t="shared" si="22"/>
        <v>0</v>
      </c>
      <c r="AC138" s="77">
        <f>Valores!$C$30</f>
        <v>132.59</v>
      </c>
      <c r="AD138" s="116">
        <v>0</v>
      </c>
      <c r="AE138" s="77">
        <f>AD138*Valores!$C$2*1.006901</f>
        <v>0</v>
      </c>
      <c r="AF138" s="77">
        <f>Valores!$C$51</f>
        <v>269.71857087000001</v>
      </c>
      <c r="AG138" s="77">
        <f>Valores!$C$52</f>
        <v>77.068202540000016</v>
      </c>
      <c r="AH138" s="77">
        <f>SUM(G138,I138,K138,M138,N138,O138,P138,Q138,R138,S138,U138,V138,W138,Y138,Z138,AA138,AB138,AC138,AE138,AF138,AG138)*Valores!$C$54</f>
        <v>0</v>
      </c>
      <c r="AI138" s="139">
        <f t="shared" si="26"/>
        <v>15791.4680210935</v>
      </c>
      <c r="AJ138" s="61">
        <f>Valores!$C$35</f>
        <v>216.04</v>
      </c>
      <c r="AK138" s="79">
        <f>Valores!$C$8</f>
        <v>205.50849410000001</v>
      </c>
      <c r="AL138" s="89">
        <v>0</v>
      </c>
      <c r="AM138" s="79">
        <f>IF($G$4="SI",SUM(AK138+AL138),AK138)*Valores!$C$54</f>
        <v>0</v>
      </c>
      <c r="AN138" s="12">
        <f t="shared" si="23"/>
        <v>421.54849409999997</v>
      </c>
      <c r="AO138" s="13">
        <f>AI138*-Valores!$C$56</f>
        <v>-2052.8908427421552</v>
      </c>
      <c r="AP138" s="13">
        <f>AI138*-Valores!$C$57</f>
        <v>-78.957340105467509</v>
      </c>
      <c r="AQ138" s="78">
        <f>AI138*-Valores!$C$58</f>
        <v>-710.61606094920751</v>
      </c>
      <c r="AR138" s="78">
        <f>AI138*-Valores!$C$59</f>
        <v>-426.36963656952457</v>
      </c>
      <c r="AS138" s="78">
        <f>AI138*-Valores!$C$60</f>
        <v>-47.374404063280501</v>
      </c>
      <c r="AT138" s="15">
        <f t="shared" si="24"/>
        <v>13370.552271396669</v>
      </c>
      <c r="AU138" s="15">
        <f t="shared" si="25"/>
        <v>13607.42429171307</v>
      </c>
      <c r="AV138" s="78">
        <f>AI138*Valores!$C$61</f>
        <v>2526.6348833749603</v>
      </c>
      <c r="AW138" s="78">
        <f>AI138*Valores!$C$62</f>
        <v>710.61606094920751</v>
      </c>
      <c r="AX138" s="78">
        <f>AI138*Valores!$C$64</f>
        <v>157.91468021093502</v>
      </c>
      <c r="AY138" s="78">
        <f>AI138*Valores!$C$65</f>
        <v>552.70138073827252</v>
      </c>
      <c r="AZ138" s="78">
        <f>AI138*Valores!$C$66</f>
        <v>94.748808126561002</v>
      </c>
      <c r="BA138" s="78">
        <f t="shared" si="27"/>
        <v>852.73927313904903</v>
      </c>
      <c r="BB138" s="20">
        <v>6</v>
      </c>
      <c r="BC138" s="20"/>
      <c r="BD138" s="9" t="s">
        <v>467</v>
      </c>
    </row>
    <row r="139" spans="1:56" s="9" customFormat="1" ht="11.25" customHeight="1" x14ac:dyDescent="0.15">
      <c r="A139" s="20">
        <v>138</v>
      </c>
      <c r="B139" s="20"/>
      <c r="C139" s="9" t="s">
        <v>254</v>
      </c>
      <c r="E139" s="10" t="s">
        <v>255</v>
      </c>
      <c r="F139" s="123">
        <v>1278</v>
      </c>
      <c r="G139" s="7">
        <f>INT((F139*Valores!$C$2*100*1.006901)+0.5)/100</f>
        <v>6725.95</v>
      </c>
      <c r="H139" s="132">
        <v>0</v>
      </c>
      <c r="I139" s="77">
        <f>INT((H139*Valores!$C$2*100*1.006901)+0.5)/100</f>
        <v>0</v>
      </c>
      <c r="J139" s="145">
        <v>0</v>
      </c>
      <c r="K139" s="77">
        <f>INT((J139*Valores!$C$2*100*1.006901)+0.5)/100</f>
        <v>0</v>
      </c>
      <c r="L139" s="120">
        <v>0</v>
      </c>
      <c r="M139" s="77">
        <f>INT((L139*Valores!$C$2*100*1.006901)+0.5)/100</f>
        <v>0</v>
      </c>
      <c r="N139" s="77">
        <f t="shared" si="28"/>
        <v>1458.9878194604998</v>
      </c>
      <c r="O139" s="77">
        <f t="shared" si="29"/>
        <v>0</v>
      </c>
      <c r="P139" s="61">
        <f>Valores!$C$20</f>
        <v>3087.7323995700003</v>
      </c>
      <c r="Q139" s="61">
        <f>Valores!$D$4</f>
        <v>2354.08</v>
      </c>
      <c r="R139" s="77">
        <v>0</v>
      </c>
      <c r="S139" s="79">
        <f>Valores!$C$42</f>
        <v>764.36875613000007</v>
      </c>
      <c r="T139" s="61">
        <f>Valores!$C$24</f>
        <v>2236.2667069399999</v>
      </c>
      <c r="U139" s="77">
        <f t="shared" si="21"/>
        <v>2236.2667069399999</v>
      </c>
      <c r="V139" s="77">
        <v>0</v>
      </c>
      <c r="W139" s="77">
        <v>0</v>
      </c>
      <c r="X139" s="116">
        <v>0</v>
      </c>
      <c r="Y139" s="77">
        <f>X139*Valores!$C$2*1.006901</f>
        <v>0</v>
      </c>
      <c r="Z139" s="77">
        <v>0</v>
      </c>
      <c r="AA139" s="89">
        <f>Valores!$C$29</f>
        <v>132.58872368000002</v>
      </c>
      <c r="AB139" s="77">
        <f t="shared" si="22"/>
        <v>0</v>
      </c>
      <c r="AC139" s="77">
        <f>Valores!$C$30</f>
        <v>132.59</v>
      </c>
      <c r="AD139" s="116">
        <v>0</v>
      </c>
      <c r="AE139" s="77">
        <f>AD139*Valores!$C$2*1.006901</f>
        <v>0</v>
      </c>
      <c r="AF139" s="77">
        <f>Valores!$C$51</f>
        <v>269.71857087000001</v>
      </c>
      <c r="AG139" s="77">
        <f>Valores!$C$52</f>
        <v>77.068202540000016</v>
      </c>
      <c r="AH139" s="77">
        <f>SUM(G139,I139,K139,M139,N139,O139,P139,Q139,R139,S139,U139,V139,W139,Y139,Z139,AA139,AB139,AC139,AE139,AF139,AG139)*Valores!$C$54</f>
        <v>0</v>
      </c>
      <c r="AI139" s="139">
        <f t="shared" si="26"/>
        <v>17239.3511791905</v>
      </c>
      <c r="AJ139" s="61">
        <f>Valores!$C$35</f>
        <v>216.04</v>
      </c>
      <c r="AK139" s="79">
        <f>Valores!$C$8</f>
        <v>205.50849410000001</v>
      </c>
      <c r="AL139" s="89">
        <v>113.02463725000001</v>
      </c>
      <c r="AM139" s="79">
        <f>IF($G$4="SI",SUM(AK139+AL139),AK139)*Valores!$C$54</f>
        <v>0</v>
      </c>
      <c r="AN139" s="12">
        <f t="shared" si="23"/>
        <v>534.57313135000004</v>
      </c>
      <c r="AO139" s="13">
        <f>AI139*-Valores!$C$56</f>
        <v>-2241.1156532947653</v>
      </c>
      <c r="AP139" s="13">
        <f>AI139*-Valores!$C$57</f>
        <v>-86.196755895952506</v>
      </c>
      <c r="AQ139" s="78">
        <f>AI139*-Valores!$C$58</f>
        <v>-775.77080306357243</v>
      </c>
      <c r="AR139" s="78">
        <f>AI139*-Valores!$C$59</f>
        <v>-465.46248183814356</v>
      </c>
      <c r="AS139" s="78">
        <f>AI139*-Valores!$C$60</f>
        <v>-51.7180535375715</v>
      </c>
      <c r="AT139" s="15">
        <f t="shared" si="24"/>
        <v>14670.841098286211</v>
      </c>
      <c r="AU139" s="15">
        <f t="shared" si="25"/>
        <v>14929.431365974067</v>
      </c>
      <c r="AV139" s="78">
        <f>AI139*Valores!$C$61</f>
        <v>2758.2961886704802</v>
      </c>
      <c r="AW139" s="78">
        <f>AI139*Valores!$C$62</f>
        <v>775.77080306357243</v>
      </c>
      <c r="AX139" s="78">
        <f>AI139*Valores!$C$64</f>
        <v>172.39351179190501</v>
      </c>
      <c r="AY139" s="78">
        <f>AI139*Valores!$C$65</f>
        <v>603.37729127166756</v>
      </c>
      <c r="AZ139" s="78">
        <f>AI139*Valores!$C$66</f>
        <v>103.436107075143</v>
      </c>
      <c r="BA139" s="78">
        <f t="shared" si="27"/>
        <v>930.92496367628701</v>
      </c>
      <c r="BB139" s="20">
        <v>12</v>
      </c>
      <c r="BC139" s="55">
        <v>15</v>
      </c>
      <c r="BD139" s="9" t="s">
        <v>467</v>
      </c>
    </row>
    <row r="140" spans="1:56" s="9" customFormat="1" ht="11.25" customHeight="1" x14ac:dyDescent="0.15">
      <c r="A140" s="20">
        <v>139</v>
      </c>
      <c r="B140" s="20"/>
      <c r="C140" s="9" t="s">
        <v>256</v>
      </c>
      <c r="E140" s="10" t="s">
        <v>257</v>
      </c>
      <c r="F140" s="123">
        <v>1983</v>
      </c>
      <c r="G140" s="7">
        <f>INT((F140*Valores!$C$2*100*1.006901)+0.5)/100</f>
        <v>10436.27</v>
      </c>
      <c r="H140" s="132">
        <v>0</v>
      </c>
      <c r="I140" s="77">
        <f>INT((H140*Valores!$C$2*100*1.006901)+0.5)/100</f>
        <v>0</v>
      </c>
      <c r="J140" s="145">
        <v>0</v>
      </c>
      <c r="K140" s="77">
        <f>INT((J140*Valores!$C$2*100*1.006901)+0.5)/100</f>
        <v>0</v>
      </c>
      <c r="L140" s="120">
        <v>0</v>
      </c>
      <c r="M140" s="77">
        <f>INT((L140*Valores!$C$2*100*1.006901)+0.5)/100</f>
        <v>0</v>
      </c>
      <c r="N140" s="77">
        <f t="shared" si="28"/>
        <v>2020.1605157535</v>
      </c>
      <c r="O140" s="77">
        <f t="shared" si="29"/>
        <v>0</v>
      </c>
      <c r="P140" s="61">
        <f>Valores!$C$15</f>
        <v>3241.8587356399998</v>
      </c>
      <c r="Q140" s="61">
        <f>Valores!$D$4</f>
        <v>2354.08</v>
      </c>
      <c r="R140" s="61">
        <f>Valores!$C$26</f>
        <v>2369.1575009200001</v>
      </c>
      <c r="S140" s="87">
        <f>Valores!$C$42</f>
        <v>764.36875613000007</v>
      </c>
      <c r="T140" s="77">
        <f>Valores!$C$23</f>
        <v>2267.09801556</v>
      </c>
      <c r="U140" s="77">
        <f t="shared" si="21"/>
        <v>2267.09801556</v>
      </c>
      <c r="V140" s="77">
        <v>0</v>
      </c>
      <c r="W140" s="77">
        <v>0</v>
      </c>
      <c r="X140" s="116">
        <v>0</v>
      </c>
      <c r="Y140" s="77">
        <f>X140*Valores!$C$2*1.006901</f>
        <v>0</v>
      </c>
      <c r="Z140" s="77">
        <v>0</v>
      </c>
      <c r="AA140" s="89">
        <f>Valores!$C$29</f>
        <v>132.58872368000002</v>
      </c>
      <c r="AB140" s="77">
        <f t="shared" si="22"/>
        <v>0</v>
      </c>
      <c r="AC140" s="77">
        <f>Valores!$C$30</f>
        <v>132.59</v>
      </c>
      <c r="AD140" s="116">
        <v>94</v>
      </c>
      <c r="AE140" s="77">
        <f>AD140*Valores!$C$2*1.006901</f>
        <v>494.70979379919999</v>
      </c>
      <c r="AF140" s="77">
        <f>Valores!$C$51</f>
        <v>269.71857087000001</v>
      </c>
      <c r="AG140" s="77">
        <f>Valores!$C$52</f>
        <v>77.068202540000016</v>
      </c>
      <c r="AH140" s="77">
        <f>SUM(G140,I140,K140,M140,N140,O140,P140,Q140,R140,S140,U140,V140,W140,Y140,Z140,AA140,AB140,AC140,AE140,AF140,AG140)*Valores!$C$54</f>
        <v>0</v>
      </c>
      <c r="AI140" s="139">
        <f t="shared" si="26"/>
        <v>24559.668814892702</v>
      </c>
      <c r="AJ140" s="61">
        <f>Valores!$C$35</f>
        <v>216.04</v>
      </c>
      <c r="AK140" s="79">
        <f>Valores!$C$8</f>
        <v>205.50849410000001</v>
      </c>
      <c r="AL140" s="89">
        <v>0</v>
      </c>
      <c r="AM140" s="79">
        <f>IF($G$4="SI",SUM(AK140+AL140),AK140)*Valores!$C$54</f>
        <v>0</v>
      </c>
      <c r="AN140" s="12">
        <f t="shared" si="23"/>
        <v>421.54849409999997</v>
      </c>
      <c r="AO140" s="13">
        <f>AI140*-Valores!$C$56</f>
        <v>-3192.7569459360516</v>
      </c>
      <c r="AP140" s="13">
        <f>AI140*-Valores!$C$57</f>
        <v>-122.79834407446351</v>
      </c>
      <c r="AQ140" s="78">
        <f>AI140*-Valores!$C$58</f>
        <v>-1105.1850966701716</v>
      </c>
      <c r="AR140" s="78">
        <f>AI140*-Valores!$C$59</f>
        <v>-663.11105800210305</v>
      </c>
      <c r="AS140" s="78">
        <f>AI140*-Valores!$C$60</f>
        <v>-73.679006444678109</v>
      </c>
      <c r="AT140" s="15">
        <f t="shared" si="24"/>
        <v>20560.476922312013</v>
      </c>
      <c r="AU140" s="15">
        <f t="shared" si="25"/>
        <v>20928.871954535403</v>
      </c>
      <c r="AV140" s="78">
        <f>AI140*Valores!$C$61</f>
        <v>3929.5470103828325</v>
      </c>
      <c r="AW140" s="78">
        <f>AI140*Valores!$C$62</f>
        <v>1105.1850966701716</v>
      </c>
      <c r="AX140" s="78">
        <f>AI140*Valores!$C$64</f>
        <v>245.59668814892703</v>
      </c>
      <c r="AY140" s="78">
        <f>AI140*Valores!$C$65</f>
        <v>859.58840852124467</v>
      </c>
      <c r="AZ140" s="78">
        <f>AI140*Valores!$C$66</f>
        <v>147.35801288935622</v>
      </c>
      <c r="BA140" s="78">
        <f t="shared" si="27"/>
        <v>1326.2221160042059</v>
      </c>
      <c r="BB140" s="20"/>
      <c r="BC140" s="20"/>
      <c r="BD140" s="9" t="s">
        <v>466</v>
      </c>
    </row>
    <row r="141" spans="1:56" s="9" customFormat="1" ht="11.25" customHeight="1" x14ac:dyDescent="0.15">
      <c r="A141" s="55">
        <v>140</v>
      </c>
      <c r="B141" s="55" t="s">
        <v>462</v>
      </c>
      <c r="C141" s="52" t="s">
        <v>258</v>
      </c>
      <c r="D141" s="52"/>
      <c r="E141" s="53" t="s">
        <v>259</v>
      </c>
      <c r="F141" s="124">
        <v>1378</v>
      </c>
      <c r="G141" s="7">
        <f>INT((F141*Valores!$C$2*100*1.006901)+0.5)/100</f>
        <v>7252.24</v>
      </c>
      <c r="H141" s="131">
        <v>0</v>
      </c>
      <c r="I141" s="77">
        <f>INT((H141*Valores!$C$2*100*1.006901)+0.5)/100</f>
        <v>0</v>
      </c>
      <c r="J141" s="146">
        <v>0</v>
      </c>
      <c r="K141" s="77">
        <f>INT((J141*Valores!$C$2*100*1.006901)+0.5)/100</f>
        <v>0</v>
      </c>
      <c r="L141" s="121">
        <v>0</v>
      </c>
      <c r="M141" s="77">
        <f>INT((L141*Valores!$C$2*100*1.006901)+0.5)/100</f>
        <v>0</v>
      </c>
      <c r="N141" s="80">
        <f t="shared" si="28"/>
        <v>1537.9313194604997</v>
      </c>
      <c r="O141" s="80">
        <f t="shared" si="29"/>
        <v>0</v>
      </c>
      <c r="P141" s="85">
        <f>Valores!$C$20</f>
        <v>3087.7323995700003</v>
      </c>
      <c r="Q141" s="85">
        <f>Valores!$D$4</f>
        <v>2354.08</v>
      </c>
      <c r="R141" s="85">
        <f>Valores!$C$26</f>
        <v>2369.1575009200001</v>
      </c>
      <c r="S141" s="88">
        <f>Valores!$C$42</f>
        <v>764.36875613000007</v>
      </c>
      <c r="T141" s="85">
        <f>Valores!$C$24</f>
        <v>2236.2667069399999</v>
      </c>
      <c r="U141" s="80">
        <f t="shared" si="21"/>
        <v>2236.2667069399999</v>
      </c>
      <c r="V141" s="80">
        <v>0</v>
      </c>
      <c r="W141" s="80">
        <v>0</v>
      </c>
      <c r="X141" s="115">
        <v>0</v>
      </c>
      <c r="Y141" s="77">
        <f>X141*Valores!$C$2*1.006901</f>
        <v>0</v>
      </c>
      <c r="Z141" s="80">
        <v>0</v>
      </c>
      <c r="AA141" s="90">
        <f>Valores!$C$29</f>
        <v>132.58872368000002</v>
      </c>
      <c r="AB141" s="80">
        <f t="shared" si="22"/>
        <v>0</v>
      </c>
      <c r="AC141" s="80">
        <f>Valores!$C$30</f>
        <v>132.59</v>
      </c>
      <c r="AD141" s="115">
        <v>0</v>
      </c>
      <c r="AE141" s="77">
        <f>AD141*Valores!$C$2*1.006901</f>
        <v>0</v>
      </c>
      <c r="AF141" s="80">
        <f>Valores!$C$51</f>
        <v>269.71857087000001</v>
      </c>
      <c r="AG141" s="80">
        <f>Valores!$C$52</f>
        <v>77.068202540000016</v>
      </c>
      <c r="AH141" s="80">
        <f>SUM(G141,I141,K141,M141,N141,O141,P141,Q141,R141,S141,U141,V141,W141,Y141,Z141,AA141,AB141,AC141,AE141,AF141,AG141)*Valores!$C$54</f>
        <v>0</v>
      </c>
      <c r="AI141" s="140">
        <f t="shared" si="26"/>
        <v>20213.742180110501</v>
      </c>
      <c r="AJ141" s="85">
        <f>Valores!$C$35</f>
        <v>216.04</v>
      </c>
      <c r="AK141" s="82">
        <f>Valores!$C$8</f>
        <v>205.50849410000001</v>
      </c>
      <c r="AL141" s="90">
        <v>113.02463725000001</v>
      </c>
      <c r="AM141" s="82">
        <f>IF($G$4="SI",SUM(AK141+AL141),AK141)*Valores!$C$54</f>
        <v>0</v>
      </c>
      <c r="AN141" s="184">
        <f t="shared" si="23"/>
        <v>534.57313135000004</v>
      </c>
      <c r="AO141" s="153">
        <f>AI141*-Valores!$C$56</f>
        <v>-2627.7864834143652</v>
      </c>
      <c r="AP141" s="153">
        <f>AI141*-Valores!$C$57</f>
        <v>-101.0687109005525</v>
      </c>
      <c r="AQ141" s="81">
        <f>AI141*-Valores!$C$58</f>
        <v>-909.61839810497247</v>
      </c>
      <c r="AR141" s="81">
        <f>AI141*-Valores!$C$59</f>
        <v>-545.77103886298357</v>
      </c>
      <c r="AS141" s="81">
        <f>AI141*-Valores!$C$60</f>
        <v>-60.641226540331502</v>
      </c>
      <c r="AT141" s="54">
        <f t="shared" si="24"/>
        <v>17109.841719040611</v>
      </c>
      <c r="AU141" s="54">
        <f t="shared" si="25"/>
        <v>17413.047851742271</v>
      </c>
      <c r="AV141" s="81">
        <f>AI141*Valores!$C$61</f>
        <v>3234.1987488176801</v>
      </c>
      <c r="AW141" s="81">
        <f>AI141*Valores!$C$62</f>
        <v>909.61839810497247</v>
      </c>
      <c r="AX141" s="81">
        <f>AI141*Valores!$C$64</f>
        <v>202.13742180110501</v>
      </c>
      <c r="AY141" s="81">
        <f>AI141*Valores!$C$65</f>
        <v>707.48097630386758</v>
      </c>
      <c r="AZ141" s="81">
        <f>AI141*Valores!$C$66</f>
        <v>121.282453080663</v>
      </c>
      <c r="BA141" s="81">
        <f t="shared" si="27"/>
        <v>1091.5420777259671</v>
      </c>
      <c r="BB141" s="55"/>
      <c r="BC141" s="55">
        <v>22</v>
      </c>
      <c r="BD141" s="52" t="s">
        <v>467</v>
      </c>
    </row>
    <row r="142" spans="1:56" s="9" customFormat="1" ht="11.25" customHeight="1" x14ac:dyDescent="0.15">
      <c r="A142" s="20">
        <v>141</v>
      </c>
      <c r="B142" s="20"/>
      <c r="C142" s="9" t="s">
        <v>260</v>
      </c>
      <c r="E142" s="10" t="s">
        <v>261</v>
      </c>
      <c r="F142" s="123">
        <v>1278</v>
      </c>
      <c r="G142" s="7">
        <f>INT((F142*Valores!$C$2*100*1.006901)+0.5)/100</f>
        <v>6725.95</v>
      </c>
      <c r="H142" s="132">
        <v>0</v>
      </c>
      <c r="I142" s="77">
        <f>INT((H142*Valores!$C$2*100*1.006901)+0.5)/100</f>
        <v>0</v>
      </c>
      <c r="J142" s="145">
        <v>0</v>
      </c>
      <c r="K142" s="77">
        <f>INT((J142*Valores!$C$2*100*1.006901)+0.5)/100</f>
        <v>0</v>
      </c>
      <c r="L142" s="120">
        <v>0</v>
      </c>
      <c r="M142" s="77">
        <f>INT((L142*Valores!$C$2*100*1.006901)+0.5)/100</f>
        <v>0</v>
      </c>
      <c r="N142" s="77">
        <f t="shared" si="28"/>
        <v>1463.6125157534998</v>
      </c>
      <c r="O142" s="77">
        <f t="shared" si="29"/>
        <v>0</v>
      </c>
      <c r="P142" s="61">
        <f>Valores!$C$20</f>
        <v>3087.7323995700003</v>
      </c>
      <c r="Q142" s="61">
        <f>Valores!$D$4</f>
        <v>2354.08</v>
      </c>
      <c r="R142" s="77">
        <f>Valores!$C$26</f>
        <v>2369.1575009200001</v>
      </c>
      <c r="S142" s="79">
        <f>Valores!$C$42</f>
        <v>764.36875613000007</v>
      </c>
      <c r="T142" s="77">
        <f>Valores!$C$23</f>
        <v>2267.09801556</v>
      </c>
      <c r="U142" s="77">
        <f t="shared" si="21"/>
        <v>2267.09801556</v>
      </c>
      <c r="V142" s="77">
        <v>0</v>
      </c>
      <c r="W142" s="77">
        <v>0</v>
      </c>
      <c r="X142" s="116">
        <v>0</v>
      </c>
      <c r="Y142" s="77">
        <f>X142*Valores!$C$2*1.006901</f>
        <v>0</v>
      </c>
      <c r="Z142" s="77">
        <v>0</v>
      </c>
      <c r="AA142" s="89">
        <f>Valores!$C$29</f>
        <v>132.58872368000002</v>
      </c>
      <c r="AB142" s="77">
        <f>SUM(G142,I142,K142,Y142,S142,M142)*$G$3/100</f>
        <v>0</v>
      </c>
      <c r="AC142" s="77">
        <f>Valores!$C$30</f>
        <v>132.59</v>
      </c>
      <c r="AD142" s="116">
        <v>0</v>
      </c>
      <c r="AE142" s="77">
        <f>AD142*Valores!$C$2*1.006901</f>
        <v>0</v>
      </c>
      <c r="AF142" s="77">
        <f>Valores!$C$51</f>
        <v>269.71857087000001</v>
      </c>
      <c r="AG142" s="77">
        <f>Valores!$C$52</f>
        <v>77.068202540000016</v>
      </c>
      <c r="AH142" s="77">
        <f>SUM(G142,I142,K142,M142,N142,O142,P142,Q142,R142,S142,U142,V142,W142,Y142,Z142,AA142,AB142,AC142,AE142,AF142,AG142)*Valores!$C$54</f>
        <v>0</v>
      </c>
      <c r="AI142" s="139">
        <f t="shared" si="26"/>
        <v>19643.9646850235</v>
      </c>
      <c r="AJ142" s="61">
        <f>Valores!$C$35</f>
        <v>216.04</v>
      </c>
      <c r="AK142" s="79">
        <f>Valores!$C$8</f>
        <v>205.50849410000001</v>
      </c>
      <c r="AL142" s="89">
        <v>113.02463725000001</v>
      </c>
      <c r="AM142" s="79">
        <f>IF($G$4="SI",SUM(AK142+AL142),AK142)*Valores!$C$54</f>
        <v>0</v>
      </c>
      <c r="AN142" s="12">
        <f t="shared" si="23"/>
        <v>534.57313135000004</v>
      </c>
      <c r="AO142" s="13">
        <f>AI142*-Valores!$C$56</f>
        <v>-2553.7154090530553</v>
      </c>
      <c r="AP142" s="13">
        <f>AI142*-Valores!$C$57</f>
        <v>-98.219823425117511</v>
      </c>
      <c r="AQ142" s="78">
        <f>AI142*-Valores!$C$58</f>
        <v>-883.97841082605748</v>
      </c>
      <c r="AR142" s="78">
        <f>AI142*-Valores!$C$59</f>
        <v>-530.38704649563454</v>
      </c>
      <c r="AS142" s="78">
        <f>AI142*-Valores!$C$60</f>
        <v>-58.931894055070501</v>
      </c>
      <c r="AT142" s="15">
        <f t="shared" si="24"/>
        <v>16642.624173069267</v>
      </c>
      <c r="AU142" s="15">
        <f t="shared" si="25"/>
        <v>16937.283643344621</v>
      </c>
      <c r="AV142" s="78">
        <f>AI142*Valores!$C$61</f>
        <v>3143.0343496037603</v>
      </c>
      <c r="AW142" s="78">
        <f>AI142*Valores!$C$62</f>
        <v>883.97841082605748</v>
      </c>
      <c r="AX142" s="78">
        <f>AI142*Valores!$C$64</f>
        <v>196.43964685023502</v>
      </c>
      <c r="AY142" s="78">
        <f>AI142*Valores!$C$65</f>
        <v>687.53876397582258</v>
      </c>
      <c r="AZ142" s="78">
        <f>AI142*Valores!$C$66</f>
        <v>117.863788110141</v>
      </c>
      <c r="BA142" s="78">
        <f t="shared" si="27"/>
        <v>1060.7740929912691</v>
      </c>
      <c r="BB142" s="20"/>
      <c r="BC142" s="20">
        <v>22</v>
      </c>
      <c r="BD142" s="9" t="s">
        <v>467</v>
      </c>
    </row>
    <row r="143" spans="1:56" s="9" customFormat="1" ht="11.25" customHeight="1" x14ac:dyDescent="0.15">
      <c r="A143" s="20">
        <v>142</v>
      </c>
      <c r="B143" s="20"/>
      <c r="C143" s="9" t="s">
        <v>262</v>
      </c>
      <c r="E143" s="10" t="s">
        <v>263</v>
      </c>
      <c r="F143" s="123">
        <v>1278</v>
      </c>
      <c r="G143" s="7">
        <f>INT((F143*Valores!$C$2*100*1.006901)+0.5)/100</f>
        <v>6725.95</v>
      </c>
      <c r="H143" s="132">
        <v>0</v>
      </c>
      <c r="I143" s="77">
        <f>INT((H143*Valores!$C$2*100*1.006901)+0.5)/100</f>
        <v>0</v>
      </c>
      <c r="J143" s="145">
        <v>0</v>
      </c>
      <c r="K143" s="77">
        <f>INT((J143*Valores!$C$2*100*1.006901)+0.5)/100</f>
        <v>0</v>
      </c>
      <c r="L143" s="120">
        <v>0</v>
      </c>
      <c r="M143" s="77">
        <f>INT((L143*Valores!$C$2*100*1.006901)+0.5)/100</f>
        <v>0</v>
      </c>
      <c r="N143" s="77">
        <f t="shared" si="28"/>
        <v>1401.66016275075</v>
      </c>
      <c r="O143" s="77">
        <f t="shared" si="29"/>
        <v>0</v>
      </c>
      <c r="P143" s="61">
        <f>Valores!$C$20</f>
        <v>3087.7323995700003</v>
      </c>
      <c r="Q143" s="61">
        <f>Valores!$D$4</f>
        <v>2354.08</v>
      </c>
      <c r="R143" s="61">
        <f>Valores!$C$26</f>
        <v>2369.1575009200001</v>
      </c>
      <c r="S143" s="79">
        <f>Valores!$C$42/2</f>
        <v>382.18437806500003</v>
      </c>
      <c r="T143" s="61">
        <f>Valores!$C$24</f>
        <v>2236.2667069399999</v>
      </c>
      <c r="U143" s="77">
        <f t="shared" si="21"/>
        <v>2236.2667069399999</v>
      </c>
      <c r="V143" s="77">
        <v>0</v>
      </c>
      <c r="W143" s="77">
        <v>0</v>
      </c>
      <c r="X143" s="116">
        <v>0</v>
      </c>
      <c r="Y143" s="77">
        <f>X143*Valores!$C$2*1.006901</f>
        <v>0</v>
      </c>
      <c r="Z143" s="77">
        <v>0</v>
      </c>
      <c r="AA143" s="89">
        <f>Valores!$C$29</f>
        <v>132.58872368000002</v>
      </c>
      <c r="AB143" s="77">
        <f t="shared" si="22"/>
        <v>0</v>
      </c>
      <c r="AC143" s="77">
        <f>Valores!$C$30</f>
        <v>132.59</v>
      </c>
      <c r="AD143" s="116">
        <v>0</v>
      </c>
      <c r="AE143" s="77">
        <f>AD143*Valores!$C$2*1.006901</f>
        <v>0</v>
      </c>
      <c r="AF143" s="77">
        <f>Valores!$C$51/2</f>
        <v>134.859285435</v>
      </c>
      <c r="AG143" s="77">
        <f>Valores!$C$52/2</f>
        <v>38.534101270000008</v>
      </c>
      <c r="AH143" s="77">
        <f>SUM(G143,I143,K143,M143,N143,O143,P143,Q143,R143,S143,U143,V143,W143,Y143,Z143,AA143,AB143,AC143,AE143,AF143,AG143)*Valores!$C$54</f>
        <v>0</v>
      </c>
      <c r="AI143" s="139">
        <f t="shared" si="26"/>
        <v>18995.603258630752</v>
      </c>
      <c r="AJ143" s="61">
        <f>Valores!$C$35</f>
        <v>216.04</v>
      </c>
      <c r="AK143" s="79">
        <f>Valores!$C$8/2</f>
        <v>102.75424705</v>
      </c>
      <c r="AL143" s="89">
        <v>0</v>
      </c>
      <c r="AM143" s="79">
        <f>IF($G$4="SI",SUM(AK143+AL143),AK143)*Valores!$C$54</f>
        <v>0</v>
      </c>
      <c r="AN143" s="12">
        <f t="shared" si="23"/>
        <v>318.79424704999997</v>
      </c>
      <c r="AO143" s="13">
        <f>AI143*-Valores!$C$56</f>
        <v>-2469.4284236219978</v>
      </c>
      <c r="AP143" s="13">
        <f>AI143*-Valores!$C$57</f>
        <v>-94.978016293153757</v>
      </c>
      <c r="AQ143" s="78">
        <f>AI143*-Valores!$C$58</f>
        <v>-854.80214663838376</v>
      </c>
      <c r="AR143" s="78">
        <f>AI143*-Valores!$C$59</f>
        <v>-512.88128798303035</v>
      </c>
      <c r="AS143" s="78">
        <f>AI143*-Valores!$C$60</f>
        <v>-56.986809775892254</v>
      </c>
      <c r="AT143" s="15">
        <f t="shared" si="24"/>
        <v>15895.188919127217</v>
      </c>
      <c r="AU143" s="15">
        <f t="shared" si="25"/>
        <v>16180.122968006679</v>
      </c>
      <c r="AV143" s="78">
        <f>AI143*Valores!$C$61</f>
        <v>3039.2965213809202</v>
      </c>
      <c r="AW143" s="78">
        <f>AI143*Valores!$C$62</f>
        <v>854.80214663838376</v>
      </c>
      <c r="AX143" s="78">
        <f>AI143*Valores!$C$64</f>
        <v>189.95603258630751</v>
      </c>
      <c r="AY143" s="78">
        <f>AI143*Valores!$C$65</f>
        <v>664.84611405207636</v>
      </c>
      <c r="AZ143" s="78">
        <f>AI143*Valores!$C$66</f>
        <v>113.97361955178451</v>
      </c>
      <c r="BA143" s="78">
        <f t="shared" si="27"/>
        <v>1025.7625759660607</v>
      </c>
      <c r="BB143" s="20"/>
      <c r="BC143" s="20"/>
      <c r="BD143" s="9" t="s">
        <v>466</v>
      </c>
    </row>
    <row r="144" spans="1:56" s="9" customFormat="1" ht="11.25" customHeight="1" x14ac:dyDescent="0.15">
      <c r="A144" s="20">
        <v>143</v>
      </c>
      <c r="B144" s="20"/>
      <c r="C144" s="9" t="s">
        <v>264</v>
      </c>
      <c r="E144" s="10" t="s">
        <v>265</v>
      </c>
      <c r="F144" s="123">
        <v>1278</v>
      </c>
      <c r="G144" s="7">
        <f>INT((F144*Valores!$C$2*100*1.006901)+0.5)/100</f>
        <v>6725.95</v>
      </c>
      <c r="H144" s="132">
        <v>0</v>
      </c>
      <c r="I144" s="77">
        <f>INT((H144*Valores!$C$2*100*1.006901)+0.5)/100</f>
        <v>0</v>
      </c>
      <c r="J144" s="145">
        <v>0</v>
      </c>
      <c r="K144" s="77">
        <f>INT((J144*Valores!$C$2*100*1.006901)+0.5)/100</f>
        <v>0</v>
      </c>
      <c r="L144" s="120">
        <v>0</v>
      </c>
      <c r="M144" s="77">
        <f>INT((L144*Valores!$C$2*100*1.006901)+0.5)/100</f>
        <v>0</v>
      </c>
      <c r="N144" s="77">
        <f t="shared" si="28"/>
        <v>1463.6125157534998</v>
      </c>
      <c r="O144" s="77">
        <f t="shared" si="29"/>
        <v>0</v>
      </c>
      <c r="P144" s="61">
        <f>Valores!$C$20</f>
        <v>3087.7323995700003</v>
      </c>
      <c r="Q144" s="61">
        <f>Valores!$D$4</f>
        <v>2354.08</v>
      </c>
      <c r="R144" s="61">
        <f>Valores!$C$26</f>
        <v>2369.1575009200001</v>
      </c>
      <c r="S144" s="87">
        <f>Valores!$C$42</f>
        <v>764.36875613000007</v>
      </c>
      <c r="T144" s="77">
        <f>Valores!$C$23</f>
        <v>2267.09801556</v>
      </c>
      <c r="U144" s="77">
        <f t="shared" si="21"/>
        <v>2267.09801556</v>
      </c>
      <c r="V144" s="77">
        <v>0</v>
      </c>
      <c r="W144" s="77">
        <v>0</v>
      </c>
      <c r="X144" s="116">
        <v>0</v>
      </c>
      <c r="Y144" s="77">
        <f>X144*Valores!$C$2*1.006901</f>
        <v>0</v>
      </c>
      <c r="Z144" s="77">
        <v>0</v>
      </c>
      <c r="AA144" s="89">
        <f>Valores!$C$29</f>
        <v>132.58872368000002</v>
      </c>
      <c r="AB144" s="77">
        <f t="shared" si="22"/>
        <v>0</v>
      </c>
      <c r="AC144" s="77">
        <f>Valores!$C$30</f>
        <v>132.59</v>
      </c>
      <c r="AD144" s="116">
        <v>0</v>
      </c>
      <c r="AE144" s="77">
        <f>AD144*Valores!$C$2*1.006901</f>
        <v>0</v>
      </c>
      <c r="AF144" s="77">
        <f>Valores!$C$51</f>
        <v>269.71857087000001</v>
      </c>
      <c r="AG144" s="77">
        <f>Valores!$C$52</f>
        <v>77.068202540000016</v>
      </c>
      <c r="AH144" s="77">
        <f>SUM(G144,I144,K144,M144,N144,O144,P144,Q144,R144,S144,U144,V144,W144,Y144,Z144,AA144,AB144,AC144,AE144,AF144,AG144)*Valores!$C$54</f>
        <v>0</v>
      </c>
      <c r="AI144" s="139">
        <f t="shared" si="26"/>
        <v>19643.9646850235</v>
      </c>
      <c r="AJ144" s="61">
        <f>Valores!$C$35</f>
        <v>216.04</v>
      </c>
      <c r="AK144" s="79">
        <f>Valores!$C$8</f>
        <v>205.50849410000001</v>
      </c>
      <c r="AL144" s="89">
        <v>0</v>
      </c>
      <c r="AM144" s="79">
        <f>IF($G$4="SI",SUM(AK144+AL144),AK144)*Valores!$C$54</f>
        <v>0</v>
      </c>
      <c r="AN144" s="12">
        <f t="shared" si="23"/>
        <v>421.54849409999997</v>
      </c>
      <c r="AO144" s="13">
        <f>AI144*-Valores!$C$56</f>
        <v>-2553.7154090530553</v>
      </c>
      <c r="AP144" s="13">
        <f>AI144*-Valores!$C$57</f>
        <v>-98.219823425117511</v>
      </c>
      <c r="AQ144" s="78">
        <f>AI144*-Valores!$C$58</f>
        <v>-883.97841082605748</v>
      </c>
      <c r="AR144" s="78">
        <f>AI144*-Valores!$C$59</f>
        <v>-530.38704649563454</v>
      </c>
      <c r="AS144" s="78">
        <f>AI144*-Valores!$C$60</f>
        <v>-58.931894055070501</v>
      </c>
      <c r="AT144" s="15">
        <f t="shared" si="24"/>
        <v>16529.599535819267</v>
      </c>
      <c r="AU144" s="15">
        <f t="shared" si="25"/>
        <v>16824.25900609462</v>
      </c>
      <c r="AV144" s="78">
        <f>AI144*Valores!$C$61</f>
        <v>3143.0343496037603</v>
      </c>
      <c r="AW144" s="78">
        <f>AI144*Valores!$C$62</f>
        <v>883.97841082605748</v>
      </c>
      <c r="AX144" s="78">
        <f>AI144*Valores!$C$64</f>
        <v>196.43964685023502</v>
      </c>
      <c r="AY144" s="78">
        <f>AI144*Valores!$C$65</f>
        <v>687.53876397582258</v>
      </c>
      <c r="AZ144" s="78">
        <f>AI144*Valores!$C$66</f>
        <v>117.863788110141</v>
      </c>
      <c r="BA144" s="78">
        <f t="shared" si="27"/>
        <v>1060.7740929912691</v>
      </c>
      <c r="BB144" s="20"/>
      <c r="BC144" s="55"/>
      <c r="BD144" s="9" t="s">
        <v>467</v>
      </c>
    </row>
    <row r="145" spans="1:56" s="9" customFormat="1" ht="11.25" customHeight="1" x14ac:dyDescent="0.15">
      <c r="A145" s="20">
        <v>144</v>
      </c>
      <c r="B145" s="20"/>
      <c r="C145" s="9" t="s">
        <v>266</v>
      </c>
      <c r="E145" s="10" t="s">
        <v>267</v>
      </c>
      <c r="F145" s="123">
        <v>1278</v>
      </c>
      <c r="G145" s="7">
        <f>INT((F145*Valores!$C$2*100*1.006901)+0.5)/100</f>
        <v>6725.95</v>
      </c>
      <c r="H145" s="132">
        <v>0</v>
      </c>
      <c r="I145" s="77">
        <f>INT((H145*Valores!$C$2*100*1.006901)+0.5)/100</f>
        <v>0</v>
      </c>
      <c r="J145" s="145">
        <v>0</v>
      </c>
      <c r="K145" s="77">
        <f>INT((J145*Valores!$C$2*100*1.006901)+0.5)/100</f>
        <v>0</v>
      </c>
      <c r="L145" s="120">
        <v>0</v>
      </c>
      <c r="M145" s="77">
        <f>INT((L145*Valores!$C$2*100*1.006901)+0.5)/100</f>
        <v>0</v>
      </c>
      <c r="N145" s="77">
        <f t="shared" si="28"/>
        <v>1463.6125157534998</v>
      </c>
      <c r="O145" s="77">
        <f t="shared" si="29"/>
        <v>0</v>
      </c>
      <c r="P145" s="61">
        <f>Valores!$C$20</f>
        <v>3087.7323995700003</v>
      </c>
      <c r="Q145" s="61">
        <f>Valores!$D$4</f>
        <v>2354.08</v>
      </c>
      <c r="R145" s="61">
        <f>Valores!$C$26</f>
        <v>2369.1575009200001</v>
      </c>
      <c r="S145" s="87">
        <f>Valores!$C$42</f>
        <v>764.36875613000007</v>
      </c>
      <c r="T145" s="77">
        <f>Valores!$C$23</f>
        <v>2267.09801556</v>
      </c>
      <c r="U145" s="77">
        <f t="shared" si="21"/>
        <v>2267.09801556</v>
      </c>
      <c r="V145" s="77">
        <v>0</v>
      </c>
      <c r="W145" s="77">
        <v>0</v>
      </c>
      <c r="X145" s="116">
        <v>0</v>
      </c>
      <c r="Y145" s="77">
        <f>X145*Valores!$C$2*1.006901</f>
        <v>0</v>
      </c>
      <c r="Z145" s="77">
        <v>0</v>
      </c>
      <c r="AA145" s="89">
        <f>Valores!$C$29</f>
        <v>132.58872368000002</v>
      </c>
      <c r="AB145" s="77">
        <f t="shared" si="22"/>
        <v>0</v>
      </c>
      <c r="AC145" s="77">
        <f>Valores!$C$30</f>
        <v>132.59</v>
      </c>
      <c r="AD145" s="116">
        <v>0</v>
      </c>
      <c r="AE145" s="77">
        <f>AD145*Valores!$C$2*1.006901</f>
        <v>0</v>
      </c>
      <c r="AF145" s="77">
        <f>Valores!$C$51</f>
        <v>269.71857087000001</v>
      </c>
      <c r="AG145" s="77">
        <f>Valores!$C$52</f>
        <v>77.068202540000016</v>
      </c>
      <c r="AH145" s="77">
        <f>SUM(G145,I145,K145,M145,N145,O145,P145,Q145,R145,S145,U145,V145,W145,Y145,Z145,AA145,AB145,AC145,AE145,AF145,AG145)*Valores!$C$54</f>
        <v>0</v>
      </c>
      <c r="AI145" s="139">
        <f t="shared" si="26"/>
        <v>19643.9646850235</v>
      </c>
      <c r="AJ145" s="61">
        <f>Valores!$C$35</f>
        <v>216.04</v>
      </c>
      <c r="AK145" s="79">
        <f>Valores!$C$8</f>
        <v>205.50849410000001</v>
      </c>
      <c r="AL145" s="89">
        <v>113.02463725000001</v>
      </c>
      <c r="AM145" s="79">
        <f>IF($G$4="SI",SUM(AK145+AL145),AK145)*Valores!$C$54</f>
        <v>0</v>
      </c>
      <c r="AN145" s="12">
        <f t="shared" si="23"/>
        <v>534.57313135000004</v>
      </c>
      <c r="AO145" s="13">
        <f>AI145*-Valores!$C$56</f>
        <v>-2553.7154090530553</v>
      </c>
      <c r="AP145" s="13">
        <f>AI145*-Valores!$C$57</f>
        <v>-98.219823425117511</v>
      </c>
      <c r="AQ145" s="78">
        <f>AI145*-Valores!$C$58</f>
        <v>-883.97841082605748</v>
      </c>
      <c r="AR145" s="78">
        <f>AI145*-Valores!$C$59</f>
        <v>-530.38704649563454</v>
      </c>
      <c r="AS145" s="78">
        <f>AI145*-Valores!$C$60</f>
        <v>-58.931894055070501</v>
      </c>
      <c r="AT145" s="15">
        <f t="shared" si="24"/>
        <v>16642.624173069267</v>
      </c>
      <c r="AU145" s="15">
        <f t="shared" si="25"/>
        <v>16937.283643344621</v>
      </c>
      <c r="AV145" s="78">
        <f>AI145*Valores!$C$61</f>
        <v>3143.0343496037603</v>
      </c>
      <c r="AW145" s="78">
        <f>AI145*Valores!$C$62</f>
        <v>883.97841082605748</v>
      </c>
      <c r="AX145" s="78">
        <f>AI145*Valores!$C$64</f>
        <v>196.43964685023502</v>
      </c>
      <c r="AY145" s="78">
        <f>AI145*Valores!$C$65</f>
        <v>687.53876397582258</v>
      </c>
      <c r="AZ145" s="78">
        <f>AI145*Valores!$C$66</f>
        <v>117.863788110141</v>
      </c>
      <c r="BA145" s="78">
        <f t="shared" si="27"/>
        <v>1060.7740929912691</v>
      </c>
      <c r="BB145" s="20"/>
      <c r="BC145" s="20">
        <v>20</v>
      </c>
      <c r="BD145" s="9" t="s">
        <v>467</v>
      </c>
    </row>
    <row r="146" spans="1:56" s="9" customFormat="1" ht="11.25" customHeight="1" x14ac:dyDescent="0.15">
      <c r="A146" s="55">
        <v>145</v>
      </c>
      <c r="B146" s="55" t="s">
        <v>462</v>
      </c>
      <c r="C146" s="52" t="s">
        <v>268</v>
      </c>
      <c r="D146" s="52"/>
      <c r="E146" s="53" t="s">
        <v>269</v>
      </c>
      <c r="F146" s="124">
        <v>1278</v>
      </c>
      <c r="G146" s="7">
        <f>INT((F146*Valores!$C$2*100*1.006901)+0.5)/100</f>
        <v>6725.95</v>
      </c>
      <c r="H146" s="131">
        <v>0</v>
      </c>
      <c r="I146" s="77">
        <f>INT((H146*Valores!$C$2*100*1.006901)+0.5)/100</f>
        <v>0</v>
      </c>
      <c r="J146" s="146">
        <v>0</v>
      </c>
      <c r="K146" s="77">
        <f>INT((J146*Valores!$C$2*100*1.006901)+0.5)/100</f>
        <v>0</v>
      </c>
      <c r="L146" s="121">
        <v>0</v>
      </c>
      <c r="M146" s="77">
        <f>INT((L146*Valores!$C$2*100*1.006901)+0.5)/100</f>
        <v>0</v>
      </c>
      <c r="N146" s="80">
        <f t="shared" si="28"/>
        <v>1463.6125157534998</v>
      </c>
      <c r="O146" s="80">
        <f t="shared" si="29"/>
        <v>0</v>
      </c>
      <c r="P146" s="85">
        <f>Valores!$C$20</f>
        <v>3087.7323995700003</v>
      </c>
      <c r="Q146" s="85">
        <f>Valores!$D$4</f>
        <v>2354.08</v>
      </c>
      <c r="R146" s="85">
        <f>Valores!$C$26</f>
        <v>2369.1575009200001</v>
      </c>
      <c r="S146" s="88">
        <f>Valores!$C$42</f>
        <v>764.36875613000007</v>
      </c>
      <c r="T146" s="80">
        <f>Valores!$C$23</f>
        <v>2267.09801556</v>
      </c>
      <c r="U146" s="80">
        <f t="shared" si="21"/>
        <v>2267.09801556</v>
      </c>
      <c r="V146" s="80">
        <v>0</v>
      </c>
      <c r="W146" s="80">
        <v>0</v>
      </c>
      <c r="X146" s="115">
        <v>0</v>
      </c>
      <c r="Y146" s="77">
        <f>X146*Valores!$C$2*1.006901</f>
        <v>0</v>
      </c>
      <c r="Z146" s="80">
        <v>0</v>
      </c>
      <c r="AA146" s="90">
        <f>Valores!$C$29</f>
        <v>132.58872368000002</v>
      </c>
      <c r="AB146" s="80">
        <f t="shared" si="22"/>
        <v>0</v>
      </c>
      <c r="AC146" s="80">
        <f>Valores!$C$30</f>
        <v>132.59</v>
      </c>
      <c r="AD146" s="115">
        <v>94</v>
      </c>
      <c r="AE146" s="77">
        <f>AD146*Valores!$C$2*1.006901</f>
        <v>494.70979379919999</v>
      </c>
      <c r="AF146" s="80">
        <f>Valores!$C$51</f>
        <v>269.71857087000001</v>
      </c>
      <c r="AG146" s="80">
        <f>Valores!$C$52</f>
        <v>77.068202540000016</v>
      </c>
      <c r="AH146" s="80">
        <f>SUM(G146,I146,K146,M146,N146,O146,P146,Q146,R146,S146,U146,V146,W146,Y146,Z146,AA146,AB146,AC146,AE146,AF146,AG146)*Valores!$C$54</f>
        <v>0</v>
      </c>
      <c r="AI146" s="140">
        <f t="shared" si="26"/>
        <v>20138.674478822701</v>
      </c>
      <c r="AJ146" s="85">
        <f>Valores!$C$35</f>
        <v>216.04</v>
      </c>
      <c r="AK146" s="82">
        <f>Valores!$C$8</f>
        <v>205.50849410000001</v>
      </c>
      <c r="AL146" s="90">
        <v>113.02463725000001</v>
      </c>
      <c r="AM146" s="82">
        <f>IF($G$4="SI",SUM(AK146+AL146),AK146)*Valores!$C$54</f>
        <v>0</v>
      </c>
      <c r="AN146" s="184">
        <f t="shared" si="23"/>
        <v>534.57313135000004</v>
      </c>
      <c r="AO146" s="153">
        <f>AI146*-Valores!$C$56</f>
        <v>-2618.0276822469514</v>
      </c>
      <c r="AP146" s="153">
        <f>AI146*-Valores!$C$57</f>
        <v>-100.69337239411351</v>
      </c>
      <c r="AQ146" s="81">
        <f>AI146*-Valores!$C$58</f>
        <v>-906.24035154702153</v>
      </c>
      <c r="AR146" s="81">
        <f>AI146*-Valores!$C$59</f>
        <v>-543.74421092821296</v>
      </c>
      <c r="AS146" s="81">
        <f>AI146*-Valores!$C$60</f>
        <v>-60.416023436468102</v>
      </c>
      <c r="AT146" s="54">
        <f t="shared" si="24"/>
        <v>17048.286203984615</v>
      </c>
      <c r="AU146" s="54">
        <f t="shared" si="25"/>
        <v>17350.366321166955</v>
      </c>
      <c r="AV146" s="81">
        <f>AI146*Valores!$C$61</f>
        <v>3222.1879166116323</v>
      </c>
      <c r="AW146" s="81">
        <f>AI146*Valores!$C$62</f>
        <v>906.24035154702153</v>
      </c>
      <c r="AX146" s="81">
        <f>AI146*Valores!$C$64</f>
        <v>201.38674478822702</v>
      </c>
      <c r="AY146" s="81">
        <f>AI146*Valores!$C$65</f>
        <v>704.85360675879463</v>
      </c>
      <c r="AZ146" s="81">
        <f>AI146*Valores!$C$66</f>
        <v>120.8320468729362</v>
      </c>
      <c r="BA146" s="81">
        <f t="shared" si="27"/>
        <v>1087.4884218564259</v>
      </c>
      <c r="BB146" s="55"/>
      <c r="BC146" s="55">
        <v>20</v>
      </c>
      <c r="BD146" s="52" t="s">
        <v>467</v>
      </c>
    </row>
    <row r="147" spans="1:56" s="9" customFormat="1" ht="11.25" customHeight="1" x14ac:dyDescent="0.15">
      <c r="A147" s="20">
        <v>146</v>
      </c>
      <c r="B147" s="20"/>
      <c r="C147" s="9" t="s">
        <v>270</v>
      </c>
      <c r="E147" s="10" t="s">
        <v>271</v>
      </c>
      <c r="F147" s="123">
        <v>1278</v>
      </c>
      <c r="G147" s="7">
        <f>INT((F147*Valores!$C$2*100*1.006901)+0.5)/100</f>
        <v>6725.95</v>
      </c>
      <c r="H147" s="132">
        <v>0</v>
      </c>
      <c r="I147" s="77">
        <f>INT((H147*Valores!$C$2*100*1.006901)+0.5)/100</f>
        <v>0</v>
      </c>
      <c r="J147" s="145">
        <v>0</v>
      </c>
      <c r="K147" s="77">
        <f>INT((J147*Valores!$C$2*100*1.006901)+0.5)/100</f>
        <v>0</v>
      </c>
      <c r="L147" s="120">
        <v>0</v>
      </c>
      <c r="M147" s="77">
        <f>INT((L147*Valores!$C$2*100*1.006901)+0.5)/100</f>
        <v>0</v>
      </c>
      <c r="N147" s="77">
        <f t="shared" si="28"/>
        <v>1463.6125157534998</v>
      </c>
      <c r="O147" s="77">
        <f t="shared" si="29"/>
        <v>0</v>
      </c>
      <c r="P147" s="61">
        <f>Valores!$C$20</f>
        <v>3087.7323995700003</v>
      </c>
      <c r="Q147" s="61">
        <f>Valores!$D$4</f>
        <v>2354.08</v>
      </c>
      <c r="R147" s="79">
        <f>Valores!$C$26</f>
        <v>2369.1575009200001</v>
      </c>
      <c r="S147" s="79">
        <f>Valores!$C$42</f>
        <v>764.36875613000007</v>
      </c>
      <c r="T147" s="61">
        <f>Valores!$C$23</f>
        <v>2267.09801556</v>
      </c>
      <c r="U147" s="77">
        <f t="shared" si="21"/>
        <v>2267.09801556</v>
      </c>
      <c r="V147" s="77">
        <v>0</v>
      </c>
      <c r="W147" s="77">
        <v>0</v>
      </c>
      <c r="X147" s="116">
        <v>0</v>
      </c>
      <c r="Y147" s="77">
        <f>X147*Valores!$C$2*1.006901</f>
        <v>0</v>
      </c>
      <c r="Z147" s="77">
        <v>0</v>
      </c>
      <c r="AA147" s="89">
        <f>Valores!$C$29</f>
        <v>132.58872368000002</v>
      </c>
      <c r="AB147" s="77">
        <f t="shared" si="22"/>
        <v>0</v>
      </c>
      <c r="AC147" s="77">
        <f>Valores!$C$30</f>
        <v>132.59</v>
      </c>
      <c r="AD147" s="116">
        <v>0</v>
      </c>
      <c r="AE147" s="77">
        <f>AD147*Valores!$C$2*1.006901</f>
        <v>0</v>
      </c>
      <c r="AF147" s="77">
        <f>Valores!$C$51</f>
        <v>269.71857087000001</v>
      </c>
      <c r="AG147" s="77">
        <f>Valores!$C$52</f>
        <v>77.068202540000016</v>
      </c>
      <c r="AH147" s="77">
        <f>SUM(G147,I147,K147,M147,N147,O147,P147,Q147,R147,S147,U147,V147,W147,Y147,Z147,AA147,AB147,AC147,AE147,AF147,AG147)*Valores!$C$54</f>
        <v>0</v>
      </c>
      <c r="AI147" s="139">
        <f t="shared" si="26"/>
        <v>19643.9646850235</v>
      </c>
      <c r="AJ147" s="61">
        <f>Valores!$C$35</f>
        <v>216.04</v>
      </c>
      <c r="AK147" s="79">
        <f>Valores!$C$8</f>
        <v>205.50849410000001</v>
      </c>
      <c r="AL147" s="89">
        <v>113.02463725000001</v>
      </c>
      <c r="AM147" s="79">
        <f>IF($G$4="SI",SUM(AK147+AL147),AK147)*Valores!$C$54</f>
        <v>0</v>
      </c>
      <c r="AN147" s="12">
        <f t="shared" si="23"/>
        <v>534.57313135000004</v>
      </c>
      <c r="AO147" s="13">
        <f>AI147*-Valores!$C$56</f>
        <v>-2553.7154090530553</v>
      </c>
      <c r="AP147" s="13">
        <f>AI147*-Valores!$C$57</f>
        <v>-98.219823425117511</v>
      </c>
      <c r="AQ147" s="78">
        <f>AI147*-Valores!$C$58</f>
        <v>-883.97841082605748</v>
      </c>
      <c r="AR147" s="78">
        <f>AI147*-Valores!$C$59</f>
        <v>-530.38704649563454</v>
      </c>
      <c r="AS147" s="78">
        <f>AI147*-Valores!$C$60</f>
        <v>-58.931894055070501</v>
      </c>
      <c r="AT147" s="15">
        <f t="shared" si="24"/>
        <v>16642.624173069267</v>
      </c>
      <c r="AU147" s="15">
        <f t="shared" si="25"/>
        <v>16937.283643344621</v>
      </c>
      <c r="AV147" s="78">
        <f>AI147*Valores!$C$61</f>
        <v>3143.0343496037603</v>
      </c>
      <c r="AW147" s="78">
        <f>AI147*Valores!$C$62</f>
        <v>883.97841082605748</v>
      </c>
      <c r="AX147" s="78">
        <f>AI147*Valores!$C$64</f>
        <v>196.43964685023502</v>
      </c>
      <c r="AY147" s="78">
        <f>AI147*Valores!$C$65</f>
        <v>687.53876397582258</v>
      </c>
      <c r="AZ147" s="78">
        <f>AI147*Valores!$C$66</f>
        <v>117.863788110141</v>
      </c>
      <c r="BA147" s="78">
        <f t="shared" si="27"/>
        <v>1060.7740929912691</v>
      </c>
      <c r="BB147" s="20"/>
      <c r="BC147" s="20">
        <v>22</v>
      </c>
      <c r="BD147" s="9" t="s">
        <v>467</v>
      </c>
    </row>
    <row r="148" spans="1:56" s="9" customFormat="1" ht="11.25" customHeight="1" x14ac:dyDescent="0.15">
      <c r="A148" s="20">
        <v>147</v>
      </c>
      <c r="B148" s="20"/>
      <c r="C148" s="9" t="s">
        <v>272</v>
      </c>
      <c r="E148" s="10" t="s">
        <v>273</v>
      </c>
      <c r="F148" s="123">
        <v>1278</v>
      </c>
      <c r="G148" s="7">
        <f>INT((F148*Valores!$C$2*100*1.006901)+0.5)/100</f>
        <v>6725.95</v>
      </c>
      <c r="H148" s="132">
        <v>0</v>
      </c>
      <c r="I148" s="77">
        <f>INT((H148*Valores!$C$2*100*1.006901)+0.5)/100</f>
        <v>0</v>
      </c>
      <c r="J148" s="145">
        <v>0</v>
      </c>
      <c r="K148" s="77">
        <f>INT((J148*Valores!$C$2*100*1.006901)+0.5)/100</f>
        <v>0</v>
      </c>
      <c r="L148" s="120">
        <v>0</v>
      </c>
      <c r="M148" s="77">
        <f>INT((L148*Valores!$C$2*100*1.006901)+0.5)/100</f>
        <v>0</v>
      </c>
      <c r="N148" s="77">
        <f t="shared" si="28"/>
        <v>1458.9878194604998</v>
      </c>
      <c r="O148" s="77">
        <f t="shared" si="29"/>
        <v>0</v>
      </c>
      <c r="P148" s="61">
        <f>Valores!$C$20</f>
        <v>3087.7323995700003</v>
      </c>
      <c r="Q148" s="61">
        <f>Valores!$D$4</f>
        <v>2354.08</v>
      </c>
      <c r="R148" s="79">
        <v>0</v>
      </c>
      <c r="S148" s="79">
        <f>Valores!$C$42</f>
        <v>764.36875613000007</v>
      </c>
      <c r="T148" s="61">
        <f>Valores!$C$24</f>
        <v>2236.2667069399999</v>
      </c>
      <c r="U148" s="77">
        <f t="shared" si="21"/>
        <v>2236.2667069399999</v>
      </c>
      <c r="V148" s="77">
        <v>0</v>
      </c>
      <c r="W148" s="77">
        <v>0</v>
      </c>
      <c r="X148" s="116">
        <v>0</v>
      </c>
      <c r="Y148" s="77">
        <f>X148*Valores!$C$2*1.006901</f>
        <v>0</v>
      </c>
      <c r="Z148" s="77">
        <v>0</v>
      </c>
      <c r="AA148" s="89">
        <f>Valores!$C$29</f>
        <v>132.58872368000002</v>
      </c>
      <c r="AB148" s="77">
        <f t="shared" si="22"/>
        <v>0</v>
      </c>
      <c r="AC148" s="77">
        <f>Valores!$C$30</f>
        <v>132.59</v>
      </c>
      <c r="AD148" s="116">
        <v>0</v>
      </c>
      <c r="AE148" s="77">
        <f>AD148*Valores!$C$2*1.006901</f>
        <v>0</v>
      </c>
      <c r="AF148" s="77">
        <f>Valores!$C$51</f>
        <v>269.71857087000001</v>
      </c>
      <c r="AG148" s="77">
        <f>Valores!$C$52</f>
        <v>77.068202540000016</v>
      </c>
      <c r="AH148" s="77">
        <f>SUM(G148,I148,K148,M148,N148,O148,P148,Q148,R148,S148,U148,V148,W148,Y148,Z148,AA148,AB148,AC148,AE148,AF148,AG148)*Valores!$C$54</f>
        <v>0</v>
      </c>
      <c r="AI148" s="139">
        <f t="shared" si="26"/>
        <v>17239.3511791905</v>
      </c>
      <c r="AJ148" s="61">
        <f>Valores!$C$35</f>
        <v>216.04</v>
      </c>
      <c r="AK148" s="79">
        <f>Valores!$C$8</f>
        <v>205.50849410000001</v>
      </c>
      <c r="AL148" s="89">
        <v>0</v>
      </c>
      <c r="AM148" s="79">
        <f>IF($G$4="SI",SUM(AK148+AL148),AK148)*Valores!$C$54</f>
        <v>0</v>
      </c>
      <c r="AN148" s="12">
        <f t="shared" si="23"/>
        <v>421.54849409999997</v>
      </c>
      <c r="AO148" s="13">
        <f>AI148*-Valores!$C$56</f>
        <v>-2241.1156532947653</v>
      </c>
      <c r="AP148" s="13">
        <f>AI148*-Valores!$C$57</f>
        <v>-86.196755895952506</v>
      </c>
      <c r="AQ148" s="78">
        <f>AI148*-Valores!$C$58</f>
        <v>-775.77080306357243</v>
      </c>
      <c r="AR148" s="78">
        <f>AI148*-Valores!$C$59</f>
        <v>-465.46248183814356</v>
      </c>
      <c r="AS148" s="78">
        <f>AI148*-Valores!$C$60</f>
        <v>-51.7180535375715</v>
      </c>
      <c r="AT148" s="15">
        <f t="shared" si="24"/>
        <v>14557.816461036211</v>
      </c>
      <c r="AU148" s="15">
        <f t="shared" si="25"/>
        <v>14816.406728724067</v>
      </c>
      <c r="AV148" s="78">
        <f>AI148*Valores!$C$61</f>
        <v>2758.2961886704802</v>
      </c>
      <c r="AW148" s="78">
        <f>AI148*Valores!$C$62</f>
        <v>775.77080306357243</v>
      </c>
      <c r="AX148" s="78">
        <f>AI148*Valores!$C$64</f>
        <v>172.39351179190501</v>
      </c>
      <c r="AY148" s="78">
        <f>AI148*Valores!$C$65</f>
        <v>603.37729127166756</v>
      </c>
      <c r="AZ148" s="78">
        <f>AI148*Valores!$C$66</f>
        <v>103.436107075143</v>
      </c>
      <c r="BA148" s="78">
        <f t="shared" si="27"/>
        <v>930.92496367628701</v>
      </c>
      <c r="BB148" s="20"/>
      <c r="BC148" s="20"/>
      <c r="BD148" s="9" t="s">
        <v>466</v>
      </c>
    </row>
    <row r="149" spans="1:56" s="9" customFormat="1" ht="11.25" customHeight="1" x14ac:dyDescent="0.15">
      <c r="A149" s="20">
        <v>148</v>
      </c>
      <c r="B149" s="20"/>
      <c r="C149" s="9" t="s">
        <v>274</v>
      </c>
      <c r="E149" s="10" t="s">
        <v>275</v>
      </c>
      <c r="F149" s="123">
        <v>1278</v>
      </c>
      <c r="G149" s="7">
        <f>INT((F149*Valores!$C$2*100*1.006901)+0.5)/100</f>
        <v>6725.95</v>
      </c>
      <c r="H149" s="132">
        <v>0</v>
      </c>
      <c r="I149" s="77">
        <f>INT((H149*Valores!$C$2*100*1.006901)+0.5)/100</f>
        <v>0</v>
      </c>
      <c r="J149" s="145">
        <v>0</v>
      </c>
      <c r="K149" s="77">
        <f>INT((J149*Valores!$C$2*100*1.006901)+0.5)/100</f>
        <v>0</v>
      </c>
      <c r="L149" s="120">
        <v>0</v>
      </c>
      <c r="M149" s="77">
        <f>INT((L149*Valores!$C$2*100*1.006901)+0.5)/100</f>
        <v>0</v>
      </c>
      <c r="N149" s="77">
        <f t="shared" si="28"/>
        <v>1458.9878194604998</v>
      </c>
      <c r="O149" s="77">
        <f t="shared" si="29"/>
        <v>0</v>
      </c>
      <c r="P149" s="61">
        <f>Valores!$C$20</f>
        <v>3087.7323995700003</v>
      </c>
      <c r="Q149" s="61">
        <f>Valores!$D$4</f>
        <v>2354.08</v>
      </c>
      <c r="R149" s="79">
        <v>0</v>
      </c>
      <c r="S149" s="79">
        <f>Valores!$C$42</f>
        <v>764.36875613000007</v>
      </c>
      <c r="T149" s="61">
        <f>Valores!$C$24</f>
        <v>2236.2667069399999</v>
      </c>
      <c r="U149" s="77">
        <f t="shared" si="21"/>
        <v>2236.2667069399999</v>
      </c>
      <c r="V149" s="77">
        <v>0</v>
      </c>
      <c r="W149" s="77">
        <v>0</v>
      </c>
      <c r="X149" s="116">
        <v>0</v>
      </c>
      <c r="Y149" s="77">
        <f>X149*Valores!$C$2*1.006901</f>
        <v>0</v>
      </c>
      <c r="Z149" s="77">
        <v>0</v>
      </c>
      <c r="AA149" s="89">
        <f>Valores!$C$29</f>
        <v>132.58872368000002</v>
      </c>
      <c r="AB149" s="77">
        <f t="shared" si="22"/>
        <v>0</v>
      </c>
      <c r="AC149" s="77">
        <f>Valores!$C$30</f>
        <v>132.59</v>
      </c>
      <c r="AD149" s="116">
        <v>0</v>
      </c>
      <c r="AE149" s="77">
        <f>AD149*Valores!$C$2*1.006901</f>
        <v>0</v>
      </c>
      <c r="AF149" s="77">
        <f>Valores!$C$51</f>
        <v>269.71857087000001</v>
      </c>
      <c r="AG149" s="77">
        <f>Valores!$C$52</f>
        <v>77.068202540000016</v>
      </c>
      <c r="AH149" s="77">
        <f>SUM(G149,I149,K149,M149,N149,O149,P149,Q149,R149,S149,U149,V149,W149,Y149,Z149,AA149,AB149,AC149,AE149,AF149,AG149)*Valores!$C$54</f>
        <v>0</v>
      </c>
      <c r="AI149" s="139">
        <f t="shared" si="26"/>
        <v>17239.3511791905</v>
      </c>
      <c r="AJ149" s="61">
        <f>Valores!$C$35</f>
        <v>216.04</v>
      </c>
      <c r="AK149" s="79">
        <f>Valores!$C$8</f>
        <v>205.50849410000001</v>
      </c>
      <c r="AL149" s="89">
        <v>0</v>
      </c>
      <c r="AM149" s="79">
        <f>IF($G$4="SI",SUM(AK149+AL149),AK149)*Valores!$C$54</f>
        <v>0</v>
      </c>
      <c r="AN149" s="12">
        <f t="shared" si="23"/>
        <v>421.54849409999997</v>
      </c>
      <c r="AO149" s="13">
        <f>AI149*-Valores!$C$56</f>
        <v>-2241.1156532947653</v>
      </c>
      <c r="AP149" s="13">
        <f>AI149*-Valores!$C$57</f>
        <v>-86.196755895952506</v>
      </c>
      <c r="AQ149" s="78">
        <f>AI149*-Valores!$C$58</f>
        <v>-775.77080306357243</v>
      </c>
      <c r="AR149" s="78">
        <f>AI149*-Valores!$C$59</f>
        <v>-465.46248183814356</v>
      </c>
      <c r="AS149" s="78">
        <f>AI149*-Valores!$C$60</f>
        <v>-51.7180535375715</v>
      </c>
      <c r="AT149" s="15">
        <f t="shared" si="24"/>
        <v>14557.816461036211</v>
      </c>
      <c r="AU149" s="15">
        <f t="shared" si="25"/>
        <v>14816.406728724067</v>
      </c>
      <c r="AV149" s="78">
        <f>AI149*Valores!$C$61</f>
        <v>2758.2961886704802</v>
      </c>
      <c r="AW149" s="78">
        <f>AI149*Valores!$C$62</f>
        <v>775.77080306357243</v>
      </c>
      <c r="AX149" s="78">
        <f>AI149*Valores!$C$64</f>
        <v>172.39351179190501</v>
      </c>
      <c r="AY149" s="78">
        <f>AI149*Valores!$C$65</f>
        <v>603.37729127166756</v>
      </c>
      <c r="AZ149" s="78">
        <f>AI149*Valores!$C$66</f>
        <v>103.436107075143</v>
      </c>
      <c r="BA149" s="78">
        <f t="shared" si="27"/>
        <v>930.92496367628701</v>
      </c>
      <c r="BB149" s="20"/>
      <c r="BC149" s="55"/>
      <c r="BD149" s="9" t="s">
        <v>466</v>
      </c>
    </row>
    <row r="150" spans="1:56" s="9" customFormat="1" ht="11.25" customHeight="1" x14ac:dyDescent="0.15">
      <c r="A150" s="20">
        <v>149</v>
      </c>
      <c r="B150" s="20"/>
      <c r="C150" s="9" t="s">
        <v>276</v>
      </c>
      <c r="E150" s="10" t="s">
        <v>277</v>
      </c>
      <c r="F150" s="123">
        <v>1060</v>
      </c>
      <c r="G150" s="7">
        <f>INT((F150*Valores!$C$2*100*1.006901)+0.5)/100</f>
        <v>5578.64</v>
      </c>
      <c r="H150" s="132">
        <v>0</v>
      </c>
      <c r="I150" s="77">
        <f>INT((H150*Valores!$C$2*100*1.006901)+0.5)/100</f>
        <v>0</v>
      </c>
      <c r="J150" s="145">
        <v>0</v>
      </c>
      <c r="K150" s="77">
        <f>INT((J150*Valores!$C$2*100*1.006901)+0.5)/100</f>
        <v>0</v>
      </c>
      <c r="L150" s="120">
        <v>0</v>
      </c>
      <c r="M150" s="77">
        <f>INT((L150*Valores!$C$2*100*1.006901)+0.5)/100</f>
        <v>0</v>
      </c>
      <c r="N150" s="77">
        <f t="shared" si="28"/>
        <v>1291.5160157534999</v>
      </c>
      <c r="O150" s="77">
        <f t="shared" si="29"/>
        <v>0</v>
      </c>
      <c r="P150" s="61">
        <f>Valores!$C$20</f>
        <v>3087.7323995700003</v>
      </c>
      <c r="Q150" s="61">
        <f>Valores!$D$4</f>
        <v>2354.08</v>
      </c>
      <c r="R150" s="87">
        <f>Valores!$C$26</f>
        <v>2369.1575009200001</v>
      </c>
      <c r="S150" s="87">
        <f>Valores!$C$42</f>
        <v>764.36875613000007</v>
      </c>
      <c r="T150" s="77">
        <f>Valores!$C$23</f>
        <v>2267.09801556</v>
      </c>
      <c r="U150" s="77">
        <f t="shared" si="21"/>
        <v>2267.09801556</v>
      </c>
      <c r="V150" s="77">
        <v>0</v>
      </c>
      <c r="W150" s="77">
        <v>0</v>
      </c>
      <c r="X150" s="116">
        <v>0</v>
      </c>
      <c r="Y150" s="77">
        <f>X150*Valores!$C$2*1.006901</f>
        <v>0</v>
      </c>
      <c r="Z150" s="77">
        <v>0</v>
      </c>
      <c r="AA150" s="89">
        <f>Valores!$C$29</f>
        <v>132.58872368000002</v>
      </c>
      <c r="AB150" s="77">
        <f t="shared" si="22"/>
        <v>0</v>
      </c>
      <c r="AC150" s="77">
        <f>Valores!$C$30</f>
        <v>132.59</v>
      </c>
      <c r="AD150" s="116">
        <v>0</v>
      </c>
      <c r="AE150" s="77">
        <f>AD150*Valores!$C$2*1.006901</f>
        <v>0</v>
      </c>
      <c r="AF150" s="77">
        <f>Valores!$C$51</f>
        <v>269.71857087000001</v>
      </c>
      <c r="AG150" s="77">
        <f>Valores!$C$52</f>
        <v>77.068202540000016</v>
      </c>
      <c r="AH150" s="77">
        <f>SUM(G150,I150,K150,M150,N150,O150,P150,Q150,R150,S150,U150,V150,W150,Y150,Z150,AA150,AB150,AC150,AE150,AF150,AG150)*Valores!$C$54</f>
        <v>0</v>
      </c>
      <c r="AI150" s="139">
        <f t="shared" si="26"/>
        <v>18324.558185023503</v>
      </c>
      <c r="AJ150" s="61">
        <f>Valores!$C$35</f>
        <v>216.04</v>
      </c>
      <c r="AK150" s="79">
        <f>Valores!$C$8</f>
        <v>205.50849410000001</v>
      </c>
      <c r="AL150" s="89">
        <v>113.02463725000001</v>
      </c>
      <c r="AM150" s="79">
        <f>IF($G$4="SI",SUM(AK150+AL150),AK150)*Valores!$C$54</f>
        <v>0</v>
      </c>
      <c r="AN150" s="12">
        <f t="shared" si="23"/>
        <v>534.57313135000004</v>
      </c>
      <c r="AO150" s="13">
        <f>AI150*-Valores!$C$56</f>
        <v>-2382.1925640530553</v>
      </c>
      <c r="AP150" s="13">
        <f>AI150*-Valores!$C$57</f>
        <v>-91.622790925117513</v>
      </c>
      <c r="AQ150" s="78">
        <f>AI150*-Valores!$C$58</f>
        <v>-824.60511832605755</v>
      </c>
      <c r="AR150" s="78">
        <f>AI150*-Valores!$C$59</f>
        <v>-494.76307099563462</v>
      </c>
      <c r="AS150" s="78">
        <f>AI150*-Valores!$C$60</f>
        <v>-54.973674555070509</v>
      </c>
      <c r="AT150" s="15">
        <f t="shared" si="24"/>
        <v>15560.710843069273</v>
      </c>
      <c r="AU150" s="15">
        <f t="shared" si="25"/>
        <v>15835.579215844624</v>
      </c>
      <c r="AV150" s="78">
        <f>AI150*Valores!$C$61</f>
        <v>2931.9293096037604</v>
      </c>
      <c r="AW150" s="78">
        <f>AI150*Valores!$C$62</f>
        <v>824.60511832605755</v>
      </c>
      <c r="AX150" s="78">
        <f>AI150*Valores!$C$64</f>
        <v>183.24558185023503</v>
      </c>
      <c r="AY150" s="78">
        <f>AI150*Valores!$C$65</f>
        <v>641.35953647582267</v>
      </c>
      <c r="AZ150" s="78">
        <f>AI150*Valores!$C$66</f>
        <v>109.94734911014102</v>
      </c>
      <c r="BA150" s="78">
        <f t="shared" si="27"/>
        <v>989.52614199126924</v>
      </c>
      <c r="BB150" s="20"/>
      <c r="BC150" s="20"/>
      <c r="BD150" s="9" t="s">
        <v>467</v>
      </c>
    </row>
    <row r="151" spans="1:56" s="9" customFormat="1" ht="11.25" customHeight="1" x14ac:dyDescent="0.15">
      <c r="A151" s="55">
        <v>150</v>
      </c>
      <c r="B151" s="55" t="s">
        <v>462</v>
      </c>
      <c r="C151" s="52" t="s">
        <v>278</v>
      </c>
      <c r="D151" s="52"/>
      <c r="E151" s="53" t="s">
        <v>279</v>
      </c>
      <c r="F151" s="124">
        <v>1278</v>
      </c>
      <c r="G151" s="7">
        <f>INT((F151*Valores!$C$2*100*1.006901)+0.5)/100</f>
        <v>6725.95</v>
      </c>
      <c r="H151" s="131">
        <v>0</v>
      </c>
      <c r="I151" s="77">
        <f>INT((H151*Valores!$C$2*100*1.006901)+0.5)/100</f>
        <v>0</v>
      </c>
      <c r="J151" s="146">
        <v>0</v>
      </c>
      <c r="K151" s="77">
        <f>INT((J151*Valores!$C$2*100*1.006901)+0.5)/100</f>
        <v>0</v>
      </c>
      <c r="L151" s="121">
        <v>0</v>
      </c>
      <c r="M151" s="77">
        <f>INT((L151*Valores!$C$2*100*1.006901)+0.5)/100</f>
        <v>0</v>
      </c>
      <c r="N151" s="80">
        <f t="shared" si="28"/>
        <v>1458.9878194604998</v>
      </c>
      <c r="O151" s="80">
        <f t="shared" si="29"/>
        <v>0</v>
      </c>
      <c r="P151" s="85">
        <f>Valores!$C$20</f>
        <v>3087.7323995700003</v>
      </c>
      <c r="Q151" s="85">
        <f>Valores!$D$4</f>
        <v>2354.08</v>
      </c>
      <c r="R151" s="88">
        <f>Valores!$C$26</f>
        <v>2369.1575009200001</v>
      </c>
      <c r="S151" s="88">
        <f>Valores!$C$42</f>
        <v>764.36875613000007</v>
      </c>
      <c r="T151" s="85">
        <f>Valores!$C$24</f>
        <v>2236.2667069399999</v>
      </c>
      <c r="U151" s="80">
        <f t="shared" si="21"/>
        <v>2236.2667069399999</v>
      </c>
      <c r="V151" s="80">
        <v>0</v>
      </c>
      <c r="W151" s="80">
        <v>0</v>
      </c>
      <c r="X151" s="115">
        <v>0</v>
      </c>
      <c r="Y151" s="77">
        <f>X151*Valores!$C$2*1.006901</f>
        <v>0</v>
      </c>
      <c r="Z151" s="80">
        <v>0</v>
      </c>
      <c r="AA151" s="90">
        <f>Valores!$C$29</f>
        <v>132.58872368000002</v>
      </c>
      <c r="AB151" s="80">
        <f t="shared" si="22"/>
        <v>0</v>
      </c>
      <c r="AC151" s="80">
        <f>Valores!$C$30</f>
        <v>132.59</v>
      </c>
      <c r="AD151" s="115">
        <v>0</v>
      </c>
      <c r="AE151" s="77">
        <f>AD151*Valores!$C$2*1.006901</f>
        <v>0</v>
      </c>
      <c r="AF151" s="80">
        <f>Valores!$C$51</f>
        <v>269.71857087000001</v>
      </c>
      <c r="AG151" s="80">
        <f>Valores!$C$52</f>
        <v>77.068202540000016</v>
      </c>
      <c r="AH151" s="80">
        <f>SUM(G151,I151,K151,M151,N151,O151,P151,Q151,R151,S151,U151,V151,W151,Y151,Z151,AA151,AB151,AC151,AE151,AF151,AG151)*Valores!$C$54</f>
        <v>0</v>
      </c>
      <c r="AI151" s="140">
        <f t="shared" si="26"/>
        <v>19608.508680110503</v>
      </c>
      <c r="AJ151" s="85">
        <f>Valores!$C$35</f>
        <v>216.04</v>
      </c>
      <c r="AK151" s="82">
        <f>Valores!$C$8</f>
        <v>205.50849410000001</v>
      </c>
      <c r="AL151" s="90">
        <v>0</v>
      </c>
      <c r="AM151" s="82">
        <f>IF($G$4="SI",SUM(AK151+AL151),AK151)*Valores!$C$54</f>
        <v>0</v>
      </c>
      <c r="AN151" s="184">
        <f t="shared" si="23"/>
        <v>421.54849409999997</v>
      </c>
      <c r="AO151" s="153">
        <f>AI151*-Valores!$C$56</f>
        <v>-2549.1061284143652</v>
      </c>
      <c r="AP151" s="153">
        <f>AI151*-Valores!$C$57</f>
        <v>-98.042543400552518</v>
      </c>
      <c r="AQ151" s="81">
        <f>AI151*-Valores!$C$58</f>
        <v>-882.38289060497254</v>
      </c>
      <c r="AR151" s="81">
        <f>AI151*-Valores!$C$59</f>
        <v>-529.4297343629836</v>
      </c>
      <c r="AS151" s="81">
        <f>AI151*-Valores!$C$60</f>
        <v>-58.825526040331511</v>
      </c>
      <c r="AT151" s="54">
        <f t="shared" si="24"/>
        <v>16500.525611790614</v>
      </c>
      <c r="AU151" s="54">
        <f t="shared" si="25"/>
        <v>16794.65324199227</v>
      </c>
      <c r="AV151" s="81">
        <f>AI151*Valores!$C$61</f>
        <v>3137.3613888176806</v>
      </c>
      <c r="AW151" s="81">
        <f>AI151*Valores!$C$62</f>
        <v>882.38289060497254</v>
      </c>
      <c r="AX151" s="81">
        <f>AI151*Valores!$C$64</f>
        <v>196.08508680110504</v>
      </c>
      <c r="AY151" s="81">
        <f>AI151*Valores!$C$65</f>
        <v>686.29780380386762</v>
      </c>
      <c r="AZ151" s="81">
        <f>AI151*Valores!$C$66</f>
        <v>117.65105208066302</v>
      </c>
      <c r="BA151" s="81">
        <f t="shared" si="27"/>
        <v>1058.8594687259672</v>
      </c>
      <c r="BB151" s="55"/>
      <c r="BC151" s="55">
        <v>22</v>
      </c>
      <c r="BD151" s="52" t="s">
        <v>467</v>
      </c>
    </row>
    <row r="152" spans="1:56" s="9" customFormat="1" ht="11.25" customHeight="1" x14ac:dyDescent="0.15">
      <c r="A152" s="20">
        <v>151</v>
      </c>
      <c r="B152" s="20"/>
      <c r="C152" s="9" t="s">
        <v>280</v>
      </c>
      <c r="E152" s="10" t="s">
        <v>281</v>
      </c>
      <c r="F152" s="123">
        <v>1278</v>
      </c>
      <c r="G152" s="7">
        <f>INT((F152*Valores!$C$2*100*1.006901)+0.5)/100</f>
        <v>6725.95</v>
      </c>
      <c r="H152" s="132">
        <v>0</v>
      </c>
      <c r="I152" s="77">
        <f>INT((H152*Valores!$C$2*100*1.006901)+0.5)/100</f>
        <v>0</v>
      </c>
      <c r="J152" s="145">
        <v>0</v>
      </c>
      <c r="K152" s="77">
        <f>INT((J152*Valores!$C$2*100*1.006901)+0.5)/100</f>
        <v>0</v>
      </c>
      <c r="L152" s="120">
        <v>0</v>
      </c>
      <c r="M152" s="77">
        <f>INT((L152*Valores!$C$2*100*1.006901)+0.5)/100</f>
        <v>0</v>
      </c>
      <c r="N152" s="77">
        <f t="shared" si="28"/>
        <v>1463.6125157534998</v>
      </c>
      <c r="O152" s="77">
        <f t="shared" si="29"/>
        <v>0</v>
      </c>
      <c r="P152" s="61">
        <f>Valores!$C$20</f>
        <v>3087.7323995700003</v>
      </c>
      <c r="Q152" s="61">
        <f>Valores!$D$4</f>
        <v>2354.08</v>
      </c>
      <c r="R152" s="79">
        <f>Valores!$C$26</f>
        <v>2369.1575009200001</v>
      </c>
      <c r="S152" s="79">
        <f>Valores!$C$42</f>
        <v>764.36875613000007</v>
      </c>
      <c r="T152" s="77">
        <f>Valores!$C$23</f>
        <v>2267.09801556</v>
      </c>
      <c r="U152" s="77">
        <f t="shared" si="21"/>
        <v>2267.09801556</v>
      </c>
      <c r="V152" s="77">
        <v>0</v>
      </c>
      <c r="W152" s="77">
        <v>0</v>
      </c>
      <c r="X152" s="116">
        <v>0</v>
      </c>
      <c r="Y152" s="77">
        <f>X152*Valores!$C$2*1.006901</f>
        <v>0</v>
      </c>
      <c r="Z152" s="77">
        <v>0</v>
      </c>
      <c r="AA152" s="89">
        <f>Valores!$C$29</f>
        <v>132.58872368000002</v>
      </c>
      <c r="AB152" s="77">
        <f t="shared" si="22"/>
        <v>0</v>
      </c>
      <c r="AC152" s="77">
        <f>Valores!$C$30</f>
        <v>132.59</v>
      </c>
      <c r="AD152" s="116">
        <v>0</v>
      </c>
      <c r="AE152" s="77">
        <f>AD152*Valores!$C$2*1.006901</f>
        <v>0</v>
      </c>
      <c r="AF152" s="77">
        <f>Valores!$C$51</f>
        <v>269.71857087000001</v>
      </c>
      <c r="AG152" s="77">
        <f>Valores!$C$52</f>
        <v>77.068202540000016</v>
      </c>
      <c r="AH152" s="77">
        <f>SUM(G152,I152,K152,M152,N152,O152,P152,Q152,R152,S152,U152,V152,W152,Y152,Z152,AA152,AB152,AC152,AE152,AF152,AG152)*Valores!$C$54</f>
        <v>0</v>
      </c>
      <c r="AI152" s="139">
        <f t="shared" si="26"/>
        <v>19643.9646850235</v>
      </c>
      <c r="AJ152" s="61">
        <f>Valores!$C$35</f>
        <v>216.04</v>
      </c>
      <c r="AK152" s="79">
        <f>Valores!$C$8</f>
        <v>205.50849410000001</v>
      </c>
      <c r="AL152" s="89">
        <v>0</v>
      </c>
      <c r="AM152" s="79">
        <f>IF($G$4="SI",SUM(AK152+AL152),AK152)*Valores!$C$54</f>
        <v>0</v>
      </c>
      <c r="AN152" s="12">
        <f t="shared" si="23"/>
        <v>421.54849409999997</v>
      </c>
      <c r="AO152" s="13">
        <f>AI152*-Valores!$C$56</f>
        <v>-2553.7154090530553</v>
      </c>
      <c r="AP152" s="13">
        <f>AI152*-Valores!$C$57</f>
        <v>-98.219823425117511</v>
      </c>
      <c r="AQ152" s="78">
        <f>AI152*-Valores!$C$58</f>
        <v>-883.97841082605748</v>
      </c>
      <c r="AR152" s="78">
        <f>AI152*-Valores!$C$59</f>
        <v>-530.38704649563454</v>
      </c>
      <c r="AS152" s="78">
        <f>AI152*-Valores!$C$60</f>
        <v>-58.931894055070501</v>
      </c>
      <c r="AT152" s="15">
        <f t="shared" si="24"/>
        <v>16529.599535819267</v>
      </c>
      <c r="AU152" s="15">
        <f t="shared" si="25"/>
        <v>16824.25900609462</v>
      </c>
      <c r="AV152" s="78">
        <f>AI152*Valores!$C$61</f>
        <v>3143.0343496037603</v>
      </c>
      <c r="AW152" s="78">
        <f>AI152*Valores!$C$62</f>
        <v>883.97841082605748</v>
      </c>
      <c r="AX152" s="78">
        <f>AI152*Valores!$C$64</f>
        <v>196.43964685023502</v>
      </c>
      <c r="AY152" s="78">
        <f>AI152*Valores!$C$65</f>
        <v>687.53876397582258</v>
      </c>
      <c r="AZ152" s="78">
        <f>AI152*Valores!$C$66</f>
        <v>117.863788110141</v>
      </c>
      <c r="BA152" s="78">
        <f t="shared" si="27"/>
        <v>1060.7740929912691</v>
      </c>
      <c r="BB152" s="20"/>
      <c r="BC152" s="20">
        <v>25</v>
      </c>
      <c r="BD152" s="9" t="s">
        <v>467</v>
      </c>
    </row>
    <row r="153" spans="1:56" s="9" customFormat="1" ht="11.25" customHeight="1" x14ac:dyDescent="0.15">
      <c r="A153" s="20">
        <v>152</v>
      </c>
      <c r="B153" s="20"/>
      <c r="C153" s="9" t="s">
        <v>282</v>
      </c>
      <c r="E153" s="10" t="s">
        <v>283</v>
      </c>
      <c r="F153" s="123">
        <v>1065</v>
      </c>
      <c r="G153" s="7">
        <f>INT((F153*Valores!$C$2*100*1.006901)+0.5)/100</f>
        <v>5604.96</v>
      </c>
      <c r="H153" s="132">
        <v>0</v>
      </c>
      <c r="I153" s="77">
        <f>INT((H153*Valores!$C$2*100*1.006901)+0.5)/100</f>
        <v>0</v>
      </c>
      <c r="J153" s="145">
        <v>0</v>
      </c>
      <c r="K153" s="77">
        <f>INT((J153*Valores!$C$2*100*1.006901)+0.5)/100</f>
        <v>0</v>
      </c>
      <c r="L153" s="120">
        <v>0</v>
      </c>
      <c r="M153" s="77">
        <f>INT((L153*Valores!$C$2*100*1.006901)+0.5)/100</f>
        <v>0</v>
      </c>
      <c r="N153" s="77">
        <f t="shared" si="28"/>
        <v>1281.13229037</v>
      </c>
      <c r="O153" s="77">
        <f t="shared" si="29"/>
        <v>0</v>
      </c>
      <c r="P153" s="61">
        <f>Valores!$C$20</f>
        <v>3087.7323995700003</v>
      </c>
      <c r="Q153" s="61">
        <f>Valores!$D$4</f>
        <v>2354.08</v>
      </c>
      <c r="R153" s="79">
        <f>Valores!$C$27</f>
        <v>2168.79427093</v>
      </c>
      <c r="S153" s="79">
        <f>Valores!$C$41</f>
        <v>668.82392024000001</v>
      </c>
      <c r="T153" s="61">
        <f>Valores!$C$23</f>
        <v>2267.09801556</v>
      </c>
      <c r="U153" s="77">
        <f t="shared" si="21"/>
        <v>2267.09801556</v>
      </c>
      <c r="V153" s="77">
        <v>0</v>
      </c>
      <c r="W153" s="77">
        <v>0</v>
      </c>
      <c r="X153" s="116">
        <v>0</v>
      </c>
      <c r="Y153" s="77">
        <f>X153*Valores!$C$2*1.006901</f>
        <v>0</v>
      </c>
      <c r="Z153" s="77">
        <v>0</v>
      </c>
      <c r="AA153" s="89">
        <f>Valores!$C$29</f>
        <v>132.58872368000002</v>
      </c>
      <c r="AB153" s="77">
        <f t="shared" si="22"/>
        <v>0</v>
      </c>
      <c r="AC153" s="77">
        <f>Valores!$C$30</f>
        <v>132.59</v>
      </c>
      <c r="AD153" s="116">
        <v>0</v>
      </c>
      <c r="AE153" s="77">
        <f>AD153*Valores!$C$2*1.006901</f>
        <v>0</v>
      </c>
      <c r="AF153" s="77">
        <f>Valores!$C$51</f>
        <v>269.71857087000001</v>
      </c>
      <c r="AG153" s="77">
        <f>Valores!$C$52</f>
        <v>77.068202540000016</v>
      </c>
      <c r="AH153" s="77">
        <f>SUM(G153,I153,K153,M153,N153,O153,P153,Q153,R153,S153,U153,V153,W153,Y153,Z153,AA153,AB153,AC153,AE153,AF153,AG153)*Valores!$C$54</f>
        <v>0</v>
      </c>
      <c r="AI153" s="139">
        <f t="shared" si="26"/>
        <v>18044.586393760001</v>
      </c>
      <c r="AJ153" s="61">
        <f>Valores!$C$35</f>
        <v>216.04</v>
      </c>
      <c r="AK153" s="79">
        <f>Valores!$C$7</f>
        <v>179.82244959000002</v>
      </c>
      <c r="AL153" s="89">
        <v>113.02463725000001</v>
      </c>
      <c r="AM153" s="79">
        <f>IF($G$4="SI",SUM(AK153+AL153),AK153)*Valores!$C$54</f>
        <v>0</v>
      </c>
      <c r="AN153" s="12">
        <f t="shared" si="23"/>
        <v>508.88708683999999</v>
      </c>
      <c r="AO153" s="13">
        <f>AI153*-Valores!$C$56</f>
        <v>-2345.7962311888</v>
      </c>
      <c r="AP153" s="13">
        <f>AI153*-Valores!$C$57</f>
        <v>-90.222931968800012</v>
      </c>
      <c r="AQ153" s="78">
        <f>AI153*-Valores!$C$58</f>
        <v>-812.00638771920001</v>
      </c>
      <c r="AR153" s="78">
        <f>AI153*-Valores!$C$59</f>
        <v>-487.20383263152007</v>
      </c>
      <c r="AS153" s="78">
        <f>AI153*-Valores!$C$60</f>
        <v>-54.133759181280006</v>
      </c>
      <c r="AT153" s="15">
        <f t="shared" si="24"/>
        <v>15305.447929723199</v>
      </c>
      <c r="AU153" s="15">
        <f t="shared" si="25"/>
        <v>15576.116725629599</v>
      </c>
      <c r="AV153" s="78">
        <f>AI153*Valores!$C$61</f>
        <v>2887.1338230016004</v>
      </c>
      <c r="AW153" s="78">
        <f>AI153*Valores!$C$62</f>
        <v>812.00638771920001</v>
      </c>
      <c r="AX153" s="78">
        <f>AI153*Valores!$C$64</f>
        <v>180.44586393760002</v>
      </c>
      <c r="AY153" s="78">
        <f>AI153*Valores!$C$65</f>
        <v>631.56052378160007</v>
      </c>
      <c r="AZ153" s="78">
        <f>AI153*Valores!$C$66</f>
        <v>108.26751836256001</v>
      </c>
      <c r="BA153" s="78">
        <f t="shared" si="27"/>
        <v>974.40766526304014</v>
      </c>
      <c r="BB153" s="20"/>
      <c r="BC153" s="20">
        <v>25</v>
      </c>
      <c r="BD153" s="9" t="s">
        <v>467</v>
      </c>
    </row>
    <row r="154" spans="1:56" s="9" customFormat="1" ht="11.25" customHeight="1" x14ac:dyDescent="0.15">
      <c r="A154" s="20">
        <v>153</v>
      </c>
      <c r="B154" s="20"/>
      <c r="C154" s="9" t="s">
        <v>284</v>
      </c>
      <c r="E154" s="10" t="s">
        <v>285</v>
      </c>
      <c r="F154" s="123">
        <v>947</v>
      </c>
      <c r="G154" s="7">
        <f>INT((F154*Valores!$C$2*100*1.006901)+0.5)/100</f>
        <v>4983.9399999999996</v>
      </c>
      <c r="H154" s="132">
        <v>0</v>
      </c>
      <c r="I154" s="77">
        <f>INT((H154*Valores!$C$2*100*1.006901)+0.5)/100</f>
        <v>0</v>
      </c>
      <c r="J154" s="145">
        <v>0</v>
      </c>
      <c r="K154" s="77">
        <f>INT((J154*Valores!$C$2*100*1.006901)+0.5)/100</f>
        <v>0</v>
      </c>
      <c r="L154" s="120">
        <v>0</v>
      </c>
      <c r="M154" s="77">
        <f>INT((L154*Valores!$C$2*100*1.006901)+0.5)/100</f>
        <v>0</v>
      </c>
      <c r="N154" s="77">
        <f t="shared" si="28"/>
        <v>1187.9792903699999</v>
      </c>
      <c r="O154" s="77">
        <f t="shared" si="29"/>
        <v>0</v>
      </c>
      <c r="P154" s="61">
        <f>Valores!$C$20</f>
        <v>3087.7323995700003</v>
      </c>
      <c r="Q154" s="61">
        <f>Valores!$D$4</f>
        <v>2354.08</v>
      </c>
      <c r="R154" s="79">
        <f>Valores!$C$27</f>
        <v>2168.79427093</v>
      </c>
      <c r="S154" s="79">
        <f>Valores!$C$41</f>
        <v>668.82392024000001</v>
      </c>
      <c r="T154" s="61">
        <f>Valores!$C$23</f>
        <v>2267.09801556</v>
      </c>
      <c r="U154" s="77">
        <f t="shared" si="21"/>
        <v>2267.09801556</v>
      </c>
      <c r="V154" s="77">
        <v>0</v>
      </c>
      <c r="W154" s="77">
        <v>0</v>
      </c>
      <c r="X154" s="116">
        <v>0</v>
      </c>
      <c r="Y154" s="77">
        <f>X154*Valores!$C$2*1.006901</f>
        <v>0</v>
      </c>
      <c r="Z154" s="77">
        <v>0</v>
      </c>
      <c r="AA154" s="89">
        <f>Valores!$C$29</f>
        <v>132.58872368000002</v>
      </c>
      <c r="AB154" s="77">
        <f t="shared" si="22"/>
        <v>0</v>
      </c>
      <c r="AC154" s="77">
        <f>Valores!$C$30</f>
        <v>132.59</v>
      </c>
      <c r="AD154" s="116">
        <v>0</v>
      </c>
      <c r="AE154" s="77">
        <f>AD154*Valores!$C$2*1.006901</f>
        <v>0</v>
      </c>
      <c r="AF154" s="77">
        <f>Valores!$C$51</f>
        <v>269.71857087000001</v>
      </c>
      <c r="AG154" s="77">
        <f>Valores!$C$52</f>
        <v>77.068202540000016</v>
      </c>
      <c r="AH154" s="77">
        <f>SUM(G154,I154,K154,M154,N154,O154,P154,Q154,R154,S154,U154,V154,W154,Y154,Z154,AA154,AB154,AC154,AE154,AF154,AG154)*Valores!$C$54</f>
        <v>0</v>
      </c>
      <c r="AI154" s="139">
        <f t="shared" si="26"/>
        <v>17330.413393760002</v>
      </c>
      <c r="AJ154" s="61">
        <f>Valores!$C$35</f>
        <v>216.04</v>
      </c>
      <c r="AK154" s="79">
        <f>Valores!$C$7</f>
        <v>179.82244959000002</v>
      </c>
      <c r="AL154" s="89">
        <v>113.02463725000001</v>
      </c>
      <c r="AM154" s="79">
        <f>IF($G$4="SI",SUM(AK154+AL154),AK154)*Valores!$C$54</f>
        <v>0</v>
      </c>
      <c r="AN154" s="12">
        <f t="shared" si="23"/>
        <v>508.88708683999999</v>
      </c>
      <c r="AO154" s="13">
        <f>AI154*-Valores!$C$56</f>
        <v>-2252.9537411888004</v>
      </c>
      <c r="AP154" s="13">
        <f>AI154*-Valores!$C$57</f>
        <v>-86.652066968800014</v>
      </c>
      <c r="AQ154" s="78">
        <f>AI154*-Valores!$C$58</f>
        <v>-779.8686027192</v>
      </c>
      <c r="AR154" s="78">
        <f>AI154*-Valores!$C$59</f>
        <v>-467.92116163152008</v>
      </c>
      <c r="AS154" s="78">
        <f>AI154*-Valores!$C$60</f>
        <v>-51.991240181280006</v>
      </c>
      <c r="AT154" s="15">
        <f t="shared" si="24"/>
        <v>14719.8260697232</v>
      </c>
      <c r="AU154" s="15">
        <f t="shared" si="25"/>
        <v>14979.782270629603</v>
      </c>
      <c r="AV154" s="78">
        <f>AI154*Valores!$C$61</f>
        <v>2772.8661430016004</v>
      </c>
      <c r="AW154" s="78">
        <f>AI154*Valores!$C$62</f>
        <v>779.8686027192</v>
      </c>
      <c r="AX154" s="78">
        <f>AI154*Valores!$C$64</f>
        <v>173.30413393760003</v>
      </c>
      <c r="AY154" s="78">
        <f>AI154*Valores!$C$65</f>
        <v>606.56446878160011</v>
      </c>
      <c r="AZ154" s="78">
        <f>AI154*Valores!$C$66</f>
        <v>103.98248036256001</v>
      </c>
      <c r="BA154" s="78">
        <f t="shared" si="27"/>
        <v>935.84232326304016</v>
      </c>
      <c r="BB154" s="20"/>
      <c r="BC154" s="55">
        <v>22</v>
      </c>
      <c r="BD154" s="9" t="s">
        <v>467</v>
      </c>
    </row>
    <row r="155" spans="1:56" s="9" customFormat="1" ht="11.25" customHeight="1" x14ac:dyDescent="0.15">
      <c r="A155" s="20">
        <v>154</v>
      </c>
      <c r="B155" s="20"/>
      <c r="C155" s="9" t="s">
        <v>286</v>
      </c>
      <c r="E155" s="10" t="s">
        <v>287</v>
      </c>
      <c r="F155" s="123">
        <v>1800</v>
      </c>
      <c r="G155" s="7">
        <f>INT((F155*Valores!$C$2*100*1.006901)+0.5)/100</f>
        <v>9473.17</v>
      </c>
      <c r="H155" s="132">
        <v>0</v>
      </c>
      <c r="I155" s="77">
        <f>INT((H155*Valores!$C$2*100*1.006901)+0.5)/100</f>
        <v>0</v>
      </c>
      <c r="J155" s="145">
        <v>0</v>
      </c>
      <c r="K155" s="77">
        <f>INT((J155*Valores!$C$2*100*1.006901)+0.5)/100</f>
        <v>0</v>
      </c>
      <c r="L155" s="120">
        <v>0</v>
      </c>
      <c r="M155" s="77">
        <f>INT((L155*Valores!$C$2*100*1.006901)+0.5)/100</f>
        <v>0</v>
      </c>
      <c r="N155" s="77">
        <f t="shared" si="28"/>
        <v>1933.0224172874998</v>
      </c>
      <c r="O155" s="77">
        <f t="shared" si="29"/>
        <v>0</v>
      </c>
      <c r="P155" s="61">
        <f>Valores!$C$15</f>
        <v>3241.8587356399998</v>
      </c>
      <c r="Q155" s="61">
        <f>Valores!$D$4</f>
        <v>2354.08</v>
      </c>
      <c r="R155" s="61">
        <f>Valores!$C$26</f>
        <v>2369.1575009200001</v>
      </c>
      <c r="S155" s="87">
        <f>Valores!$C$43</f>
        <v>1146.5480996900001</v>
      </c>
      <c r="T155" s="77">
        <f>Valores!$C$23</f>
        <v>2267.09801556</v>
      </c>
      <c r="U155" s="77">
        <f t="shared" si="21"/>
        <v>2267.09801556</v>
      </c>
      <c r="V155" s="77">
        <v>0</v>
      </c>
      <c r="W155" s="77">
        <v>0</v>
      </c>
      <c r="X155" s="116">
        <v>0</v>
      </c>
      <c r="Y155" s="77">
        <f>X155*Valores!$C$2*1.006901</f>
        <v>0</v>
      </c>
      <c r="Z155" s="77">
        <v>0</v>
      </c>
      <c r="AA155" s="89">
        <f>Valores!$C$29</f>
        <v>132.58872368000002</v>
      </c>
      <c r="AB155" s="77">
        <f t="shared" si="22"/>
        <v>0</v>
      </c>
      <c r="AC155" s="77">
        <f>Valores!$C$30</f>
        <v>132.59</v>
      </c>
      <c r="AD155" s="116">
        <v>0</v>
      </c>
      <c r="AE155" s="77">
        <f>AD155*Valores!$C$2*1.006901</f>
        <v>0</v>
      </c>
      <c r="AF155" s="77">
        <f>Valores!$C$51</f>
        <v>269.71857087000001</v>
      </c>
      <c r="AG155" s="77">
        <f>Valores!$C$52</f>
        <v>77.068202540000016</v>
      </c>
      <c r="AH155" s="77">
        <f>SUM(G155,I155,K155,M155,N155,O155,P155,Q155,R155,S155,U155,V155,W155,Y155,Z155,AA155,AB155,AC155,AE155,AF155,AG155)*Valores!$C$54</f>
        <v>0</v>
      </c>
      <c r="AI155" s="139">
        <f t="shared" si="26"/>
        <v>23396.900266187502</v>
      </c>
      <c r="AJ155" s="61">
        <f>Valores!$C$35</f>
        <v>216.04</v>
      </c>
      <c r="AK155" s="79">
        <f>Valores!$C$9</f>
        <v>308.25267214000002</v>
      </c>
      <c r="AL155" s="89">
        <v>0</v>
      </c>
      <c r="AM155" s="79">
        <f>IF($G$4="SI",SUM(AK155+AL155),AK155)*Valores!$C$54</f>
        <v>0</v>
      </c>
      <c r="AN155" s="12">
        <f t="shared" si="23"/>
        <v>524.29267214000004</v>
      </c>
      <c r="AO155" s="13">
        <f>AI155*-Valores!$C$56</f>
        <v>-3041.5970346043755</v>
      </c>
      <c r="AP155" s="13">
        <f>AI155*-Valores!$C$57</f>
        <v>-116.98450133093752</v>
      </c>
      <c r="AQ155" s="78">
        <f>AI155*-Valores!$C$58</f>
        <v>-1052.8605119784374</v>
      </c>
      <c r="AR155" s="78">
        <f>AI155*-Valores!$C$59</f>
        <v>-631.71630718706263</v>
      </c>
      <c r="AS155" s="78">
        <f>AI155*-Valores!$C$60</f>
        <v>-70.190700798562503</v>
      </c>
      <c r="AT155" s="15">
        <f t="shared" si="24"/>
        <v>19709.75089041375</v>
      </c>
      <c r="AU155" s="15">
        <f t="shared" si="25"/>
        <v>20060.704394406563</v>
      </c>
      <c r="AV155" s="78">
        <f>AI155*Valores!$C$61</f>
        <v>3743.5040425900006</v>
      </c>
      <c r="AW155" s="78">
        <f>AI155*Valores!$C$62</f>
        <v>1052.8605119784374</v>
      </c>
      <c r="AX155" s="78">
        <f>AI155*Valores!$C$64</f>
        <v>233.96900266187504</v>
      </c>
      <c r="AY155" s="78">
        <f>AI155*Valores!$C$65</f>
        <v>818.89150931656263</v>
      </c>
      <c r="AZ155" s="78">
        <f>AI155*Valores!$C$66</f>
        <v>140.38140159712501</v>
      </c>
      <c r="BA155" s="78">
        <f t="shared" si="27"/>
        <v>1263.4326143741253</v>
      </c>
      <c r="BB155" s="20"/>
      <c r="BC155" s="20"/>
      <c r="BD155" s="9" t="s">
        <v>467</v>
      </c>
    </row>
    <row r="156" spans="1:56" s="9" customFormat="1" ht="11.25" customHeight="1" x14ac:dyDescent="0.15">
      <c r="A156" s="55">
        <v>155</v>
      </c>
      <c r="B156" s="55" t="s">
        <v>462</v>
      </c>
      <c r="C156" s="52" t="s">
        <v>288</v>
      </c>
      <c r="D156" s="52"/>
      <c r="E156" s="53" t="s">
        <v>289</v>
      </c>
      <c r="F156" s="124">
        <v>1278</v>
      </c>
      <c r="G156" s="7">
        <f>INT((F156*Valores!$C$2*100*1.006901)+0.5)/100</f>
        <v>6725.95</v>
      </c>
      <c r="H156" s="131">
        <v>0</v>
      </c>
      <c r="I156" s="77">
        <f>INT((H156*Valores!$C$2*100*1.006901)+0.5)/100</f>
        <v>0</v>
      </c>
      <c r="J156" s="146">
        <v>0</v>
      </c>
      <c r="K156" s="77">
        <f>INT((J156*Valores!$C$2*100*1.006901)+0.5)/100</f>
        <v>0</v>
      </c>
      <c r="L156" s="121">
        <v>0</v>
      </c>
      <c r="M156" s="77">
        <f>INT((L156*Valores!$C$2*100*1.006901)+0.5)/100</f>
        <v>0</v>
      </c>
      <c r="N156" s="80">
        <f t="shared" si="28"/>
        <v>1463.6125157534998</v>
      </c>
      <c r="O156" s="80">
        <f t="shared" si="29"/>
        <v>0</v>
      </c>
      <c r="P156" s="85">
        <f>Valores!$C$15</f>
        <v>3241.8587356399998</v>
      </c>
      <c r="Q156" s="85">
        <f>Valores!$D$4</f>
        <v>2354.08</v>
      </c>
      <c r="R156" s="85">
        <f>Valores!$C$26</f>
        <v>2369.1575009200001</v>
      </c>
      <c r="S156" s="88">
        <f>Valores!$C$42</f>
        <v>764.36875613000007</v>
      </c>
      <c r="T156" s="80">
        <f>Valores!$C$23</f>
        <v>2267.09801556</v>
      </c>
      <c r="U156" s="80">
        <f t="shared" si="21"/>
        <v>2267.09801556</v>
      </c>
      <c r="V156" s="80">
        <v>0</v>
      </c>
      <c r="W156" s="80">
        <v>0</v>
      </c>
      <c r="X156" s="115">
        <v>0</v>
      </c>
      <c r="Y156" s="77">
        <f>X156*Valores!$C$2*1.006901</f>
        <v>0</v>
      </c>
      <c r="Z156" s="80">
        <v>0</v>
      </c>
      <c r="AA156" s="90">
        <f>Valores!$C$29</f>
        <v>132.58872368000002</v>
      </c>
      <c r="AB156" s="80">
        <f t="shared" si="22"/>
        <v>0</v>
      </c>
      <c r="AC156" s="80">
        <f>Valores!$C$30</f>
        <v>132.59</v>
      </c>
      <c r="AD156" s="115">
        <v>0</v>
      </c>
      <c r="AE156" s="77">
        <f>AD156*Valores!$C$2*1.006901</f>
        <v>0</v>
      </c>
      <c r="AF156" s="80">
        <f>Valores!$C$51</f>
        <v>269.71857087000001</v>
      </c>
      <c r="AG156" s="80">
        <f>Valores!$C$52</f>
        <v>77.068202540000016</v>
      </c>
      <c r="AH156" s="80">
        <f>SUM(G156,I156,K156,M156,N156,O156,P156,Q156,R156,S156,U156,V156,W156,Y156,Z156,AA156,AB156,AC156,AE156,AF156,AG156)*Valores!$C$54</f>
        <v>0</v>
      </c>
      <c r="AI156" s="140">
        <f t="shared" si="26"/>
        <v>19798.0910210935</v>
      </c>
      <c r="AJ156" s="85">
        <f>Valores!$C$35</f>
        <v>216.04</v>
      </c>
      <c r="AK156" s="82">
        <f>Valores!$C$8</f>
        <v>205.50849410000001</v>
      </c>
      <c r="AL156" s="90">
        <v>113.02463725000001</v>
      </c>
      <c r="AM156" s="82">
        <f>IF($G$4="SI",SUM(AK156+AL156),AK156)*Valores!$C$54</f>
        <v>0</v>
      </c>
      <c r="AN156" s="184">
        <f t="shared" si="23"/>
        <v>534.57313135000004</v>
      </c>
      <c r="AO156" s="153">
        <f>AI156*-Valores!$C$56</f>
        <v>-2573.7518327421549</v>
      </c>
      <c r="AP156" s="153">
        <f>AI156*-Valores!$C$57</f>
        <v>-98.990455105467504</v>
      </c>
      <c r="AQ156" s="81">
        <f>AI156*-Valores!$C$58</f>
        <v>-890.91409594920742</v>
      </c>
      <c r="AR156" s="81">
        <f>AI156*-Valores!$C$59</f>
        <v>-534.54845756952454</v>
      </c>
      <c r="AS156" s="81">
        <f>AI156*-Valores!$C$60</f>
        <v>-59.394273063280501</v>
      </c>
      <c r="AT156" s="54">
        <f t="shared" si="24"/>
        <v>16769.007768646668</v>
      </c>
      <c r="AU156" s="54">
        <f t="shared" si="25"/>
        <v>17065.979133963072</v>
      </c>
      <c r="AV156" s="81">
        <f>AI156*Valores!$C$61</f>
        <v>3167.6945633749601</v>
      </c>
      <c r="AW156" s="81">
        <f>AI156*Valores!$C$62</f>
        <v>890.91409594920742</v>
      </c>
      <c r="AX156" s="81">
        <f>AI156*Valores!$C$64</f>
        <v>197.98091021093501</v>
      </c>
      <c r="AY156" s="81">
        <f>AI156*Valores!$C$65</f>
        <v>692.93318573827253</v>
      </c>
      <c r="AZ156" s="81">
        <f>AI156*Valores!$C$66</f>
        <v>118.788546126561</v>
      </c>
      <c r="BA156" s="81">
        <f t="shared" si="27"/>
        <v>1069.0969151390491</v>
      </c>
      <c r="BB156" s="55"/>
      <c r="BC156" s="55">
        <v>27</v>
      </c>
      <c r="BD156" s="52" t="s">
        <v>467</v>
      </c>
    </row>
    <row r="157" spans="1:56" s="9" customFormat="1" ht="11.25" customHeight="1" x14ac:dyDescent="0.15">
      <c r="A157" s="20">
        <v>156</v>
      </c>
      <c r="B157" s="20"/>
      <c r="C157" s="9" t="s">
        <v>290</v>
      </c>
      <c r="E157" s="10" t="s">
        <v>291</v>
      </c>
      <c r="F157" s="123">
        <v>1214</v>
      </c>
      <c r="G157" s="7">
        <f>INT((F157*Valores!$C$2*100*1.006901)+0.5)/100</f>
        <v>6389.12</v>
      </c>
      <c r="H157" s="132">
        <v>0</v>
      </c>
      <c r="I157" s="77">
        <f>INT((H157*Valores!$C$2*100*1.006901)+0.5)/100</f>
        <v>0</v>
      </c>
      <c r="J157" s="145">
        <v>0</v>
      </c>
      <c r="K157" s="77">
        <f>INT((J157*Valores!$C$2*100*1.006901)+0.5)/100</f>
        <v>0</v>
      </c>
      <c r="L157" s="120">
        <v>0</v>
      </c>
      <c r="M157" s="77">
        <f>INT((L157*Valores!$C$2*100*1.006901)+0.5)/100</f>
        <v>0</v>
      </c>
      <c r="N157" s="77">
        <f t="shared" si="28"/>
        <v>1413.0880157534998</v>
      </c>
      <c r="O157" s="77">
        <f t="shared" si="29"/>
        <v>0</v>
      </c>
      <c r="P157" s="61">
        <f>Valores!$C$20</f>
        <v>3087.7323995700003</v>
      </c>
      <c r="Q157" s="61">
        <f>Valores!$D$4</f>
        <v>2354.08</v>
      </c>
      <c r="R157" s="77">
        <f>Valores!$C$26</f>
        <v>2369.1575009200001</v>
      </c>
      <c r="S157" s="79">
        <f>Valores!$C$42</f>
        <v>764.36875613000007</v>
      </c>
      <c r="T157" s="77">
        <f>Valores!$C$23</f>
        <v>2267.09801556</v>
      </c>
      <c r="U157" s="77">
        <f t="shared" si="21"/>
        <v>2267.09801556</v>
      </c>
      <c r="V157" s="77">
        <v>0</v>
      </c>
      <c r="W157" s="77">
        <v>0</v>
      </c>
      <c r="X157" s="116">
        <v>0</v>
      </c>
      <c r="Y157" s="77">
        <f>X157*Valores!$C$2*1.006901</f>
        <v>0</v>
      </c>
      <c r="Z157" s="77">
        <v>0</v>
      </c>
      <c r="AA157" s="89">
        <f>Valores!$C$29</f>
        <v>132.58872368000002</v>
      </c>
      <c r="AB157" s="77">
        <f t="shared" si="22"/>
        <v>0</v>
      </c>
      <c r="AC157" s="77">
        <f>Valores!$C$30</f>
        <v>132.59</v>
      </c>
      <c r="AD157" s="116">
        <v>0</v>
      </c>
      <c r="AE157" s="77">
        <f>AD157*Valores!$C$2*1.006901</f>
        <v>0</v>
      </c>
      <c r="AF157" s="77">
        <f>Valores!$C$51</f>
        <v>269.71857087000001</v>
      </c>
      <c r="AG157" s="77">
        <f>Valores!$C$52</f>
        <v>77.068202540000016</v>
      </c>
      <c r="AH157" s="77">
        <f>SUM(G157,I157,K157,M157,N157,O157,P157,Q157,R157,S157,U157,V157,W157,Y157,Z157,AA157,AB157,AC157,AE157,AF157,AG157)*Valores!$C$54</f>
        <v>0</v>
      </c>
      <c r="AI157" s="139">
        <f t="shared" si="26"/>
        <v>19256.610185023503</v>
      </c>
      <c r="AJ157" s="61">
        <f>Valores!$C$35</f>
        <v>216.04</v>
      </c>
      <c r="AK157" s="79">
        <f>Valores!$C$8</f>
        <v>205.50849410000001</v>
      </c>
      <c r="AL157" s="89">
        <v>0</v>
      </c>
      <c r="AM157" s="79">
        <f>IF($G$4="SI",SUM(AK157+AL157),AK157)*Valores!$C$54</f>
        <v>0</v>
      </c>
      <c r="AN157" s="12">
        <f t="shared" si="23"/>
        <v>421.54849409999997</v>
      </c>
      <c r="AO157" s="13">
        <f>AI157*-Valores!$C$56</f>
        <v>-2503.3593240530554</v>
      </c>
      <c r="AP157" s="13">
        <f>AI157*-Valores!$C$57</f>
        <v>-96.283050925117522</v>
      </c>
      <c r="AQ157" s="78">
        <f>AI157*-Valores!$C$58</f>
        <v>-866.54745832605761</v>
      </c>
      <c r="AR157" s="78">
        <f>AI157*-Valores!$C$59</f>
        <v>-519.92847499563459</v>
      </c>
      <c r="AS157" s="78">
        <f>AI157*-Valores!$C$60</f>
        <v>-57.769830555070506</v>
      </c>
      <c r="AT157" s="15">
        <f t="shared" si="24"/>
        <v>16211.96884581927</v>
      </c>
      <c r="AU157" s="15">
        <f t="shared" si="25"/>
        <v>16500.817998594623</v>
      </c>
      <c r="AV157" s="78">
        <f>AI157*Valores!$C$61</f>
        <v>3081.0576296037607</v>
      </c>
      <c r="AW157" s="78">
        <f>AI157*Valores!$C$62</f>
        <v>866.54745832605761</v>
      </c>
      <c r="AX157" s="78">
        <f>AI157*Valores!$C$64</f>
        <v>192.56610185023504</v>
      </c>
      <c r="AY157" s="78">
        <f>AI157*Valores!$C$65</f>
        <v>673.98135647582262</v>
      </c>
      <c r="AZ157" s="78">
        <f>AI157*Valores!$C$66</f>
        <v>115.53966111014101</v>
      </c>
      <c r="BA157" s="78">
        <f t="shared" si="27"/>
        <v>1039.8569499912692</v>
      </c>
      <c r="BB157" s="20"/>
      <c r="BC157" s="20"/>
      <c r="BD157" s="9" t="s">
        <v>467</v>
      </c>
    </row>
    <row r="158" spans="1:56" s="9" customFormat="1" ht="11.25" customHeight="1" x14ac:dyDescent="0.15">
      <c r="A158" s="20">
        <v>157</v>
      </c>
      <c r="B158" s="20"/>
      <c r="C158" s="9" t="s">
        <v>292</v>
      </c>
      <c r="E158" s="10" t="s">
        <v>293</v>
      </c>
      <c r="F158" s="123">
        <f>1106+78</f>
        <v>1184</v>
      </c>
      <c r="G158" s="7">
        <f>INT((F158*Valores!$C$2*100*1.006901)+0.5)/100</f>
        <v>6231.24</v>
      </c>
      <c r="H158" s="132">
        <v>0</v>
      </c>
      <c r="I158" s="77">
        <f>INT((H158*Valores!$C$2*100*1.006901)+0.5)/100</f>
        <v>0</v>
      </c>
      <c r="J158" s="145">
        <v>0</v>
      </c>
      <c r="K158" s="77">
        <f>INT((J158*Valores!$C$2*100*1.006901)+0.5)/100</f>
        <v>0</v>
      </c>
      <c r="L158" s="120">
        <v>0</v>
      </c>
      <c r="M158" s="77">
        <f>INT((L158*Valores!$C$2*100*1.006901)+0.5)/100</f>
        <v>0</v>
      </c>
      <c r="N158" s="77">
        <f t="shared" si="28"/>
        <v>1384.7813194604998</v>
      </c>
      <c r="O158" s="77">
        <f t="shared" si="29"/>
        <v>0</v>
      </c>
      <c r="P158" s="61">
        <f>Valores!$C$20</f>
        <v>3087.7323995700003</v>
      </c>
      <c r="Q158" s="61">
        <f>Valores!$D$4</f>
        <v>2354.08</v>
      </c>
      <c r="R158" s="77">
        <v>0</v>
      </c>
      <c r="S158" s="79">
        <f>Valores!$C$42</f>
        <v>764.36875613000007</v>
      </c>
      <c r="T158" s="61">
        <f>Valores!$C$24</f>
        <v>2236.2667069399999</v>
      </c>
      <c r="U158" s="77">
        <f t="shared" si="21"/>
        <v>2236.2667069399999</v>
      </c>
      <c r="V158" s="77">
        <v>0</v>
      </c>
      <c r="W158" s="77">
        <v>0</v>
      </c>
      <c r="X158" s="116">
        <v>0</v>
      </c>
      <c r="Y158" s="77">
        <f>X158*Valores!$C$2*1.006901</f>
        <v>0</v>
      </c>
      <c r="Z158" s="77">
        <v>0</v>
      </c>
      <c r="AA158" s="89">
        <f>Valores!$C$29</f>
        <v>132.58872368000002</v>
      </c>
      <c r="AB158" s="77">
        <f t="shared" si="22"/>
        <v>0</v>
      </c>
      <c r="AC158" s="77">
        <f>Valores!$C$30</f>
        <v>132.59</v>
      </c>
      <c r="AD158" s="116">
        <v>0</v>
      </c>
      <c r="AE158" s="77">
        <f>AD158*Valores!$C$2*1.006901</f>
        <v>0</v>
      </c>
      <c r="AF158" s="77">
        <f>Valores!$C$51</f>
        <v>269.71857087000001</v>
      </c>
      <c r="AG158" s="77">
        <f>Valores!$C$52</f>
        <v>77.068202540000016</v>
      </c>
      <c r="AH158" s="77">
        <f>SUM(G158,I158,K158,M158,N158,O158,P158,Q158,R158,S158,U158,V158,W158,Y158,Z158,AA158,AB158,AC158,AE158,AF158,AG158)*Valores!$C$54</f>
        <v>0</v>
      </c>
      <c r="AI158" s="139">
        <f t="shared" si="26"/>
        <v>16670.434679190497</v>
      </c>
      <c r="AJ158" s="61">
        <f>Valores!$C$35</f>
        <v>216.04</v>
      </c>
      <c r="AK158" s="79">
        <f>Valores!$C$8</f>
        <v>205.50849410000001</v>
      </c>
      <c r="AL158" s="89">
        <v>0</v>
      </c>
      <c r="AM158" s="79">
        <f>IF($G$4="SI",SUM(AK158+AL158),AK158)*Valores!$C$54</f>
        <v>0</v>
      </c>
      <c r="AN158" s="12">
        <f t="shared" si="23"/>
        <v>421.54849409999997</v>
      </c>
      <c r="AO158" s="13">
        <f>AI158*-Valores!$C$56</f>
        <v>-2167.1565082947645</v>
      </c>
      <c r="AP158" s="13">
        <f>AI158*-Valores!$C$57</f>
        <v>-83.352173395952491</v>
      </c>
      <c r="AQ158" s="78">
        <f>AI158*-Valores!$C$58</f>
        <v>-750.1695605635723</v>
      </c>
      <c r="AR158" s="78">
        <f>AI158*-Valores!$C$59</f>
        <v>-450.1017363381435</v>
      </c>
      <c r="AS158" s="78">
        <f>AI158*-Valores!$C$60</f>
        <v>-50.011304037571492</v>
      </c>
      <c r="AT158" s="15">
        <f t="shared" si="24"/>
        <v>14091.304931036208</v>
      </c>
      <c r="AU158" s="15">
        <f t="shared" si="25"/>
        <v>14341.361451224066</v>
      </c>
      <c r="AV158" s="78">
        <f>AI158*Valores!$C$61</f>
        <v>2667.2695486704797</v>
      </c>
      <c r="AW158" s="78">
        <f>AI158*Valores!$C$62</f>
        <v>750.1695605635723</v>
      </c>
      <c r="AX158" s="78">
        <f>AI158*Valores!$C$64</f>
        <v>166.70434679190498</v>
      </c>
      <c r="AY158" s="78">
        <f>AI158*Valores!$C$65</f>
        <v>583.46521377166744</v>
      </c>
      <c r="AZ158" s="78">
        <f>AI158*Valores!$C$66</f>
        <v>100.02260807514298</v>
      </c>
      <c r="BA158" s="78">
        <f t="shared" si="27"/>
        <v>900.20347267628688</v>
      </c>
      <c r="BB158" s="20"/>
      <c r="BC158" s="20"/>
      <c r="BD158" s="9" t="s">
        <v>466</v>
      </c>
    </row>
    <row r="159" spans="1:56" s="9" customFormat="1" ht="11.25" customHeight="1" x14ac:dyDescent="0.15">
      <c r="A159" s="20">
        <v>158</v>
      </c>
      <c r="B159" s="20"/>
      <c r="C159" s="9" t="s">
        <v>294</v>
      </c>
      <c r="E159" s="10" t="s">
        <v>295</v>
      </c>
      <c r="F159" s="123">
        <v>971</v>
      </c>
      <c r="G159" s="7">
        <f>INT((F159*Valores!$C$2*100*1.006901)+0.5)/100</f>
        <v>5110.25</v>
      </c>
      <c r="H159" s="132">
        <v>0</v>
      </c>
      <c r="I159" s="77">
        <f>INT((H159*Valores!$C$2*100*1.006901)+0.5)/100</f>
        <v>0</v>
      </c>
      <c r="J159" s="145">
        <v>0</v>
      </c>
      <c r="K159" s="77">
        <f>INT((J159*Valores!$C$2*100*1.006901)+0.5)/100</f>
        <v>0</v>
      </c>
      <c r="L159" s="120">
        <v>0</v>
      </c>
      <c r="M159" s="77">
        <f>INT((L159*Valores!$C$2*100*1.006901)+0.5)/100</f>
        <v>0</v>
      </c>
      <c r="N159" s="77">
        <f t="shared" si="28"/>
        <v>1206.92579037</v>
      </c>
      <c r="O159" s="77">
        <f t="shared" si="29"/>
        <v>0</v>
      </c>
      <c r="P159" s="61">
        <f>Valores!$C$20</f>
        <v>3087.7323995700003</v>
      </c>
      <c r="Q159" s="61">
        <f>Valores!$D$4</f>
        <v>2354.08</v>
      </c>
      <c r="R159" s="61">
        <f>Valores!$C$27</f>
        <v>2168.79427093</v>
      </c>
      <c r="S159" s="87">
        <f>Valores!$C$41</f>
        <v>668.82392024000001</v>
      </c>
      <c r="T159" s="77">
        <f>Valores!$C$23</f>
        <v>2267.09801556</v>
      </c>
      <c r="U159" s="77">
        <f t="shared" si="21"/>
        <v>2267.09801556</v>
      </c>
      <c r="V159" s="77">
        <v>0</v>
      </c>
      <c r="W159" s="77">
        <v>0</v>
      </c>
      <c r="X159" s="116">
        <v>0</v>
      </c>
      <c r="Y159" s="77">
        <f>X159*Valores!$C$2*1.006901</f>
        <v>0</v>
      </c>
      <c r="Z159" s="77">
        <v>0</v>
      </c>
      <c r="AA159" s="89">
        <f>Valores!$C$29</f>
        <v>132.58872368000002</v>
      </c>
      <c r="AB159" s="77">
        <f t="shared" si="22"/>
        <v>0</v>
      </c>
      <c r="AC159" s="77">
        <f>Valores!$C$30</f>
        <v>132.59</v>
      </c>
      <c r="AD159" s="116">
        <v>0</v>
      </c>
      <c r="AE159" s="77">
        <f>AD159*Valores!$C$2*1.006901</f>
        <v>0</v>
      </c>
      <c r="AF159" s="77">
        <f>Valores!$C$51</f>
        <v>269.71857087000001</v>
      </c>
      <c r="AG159" s="77">
        <f>Valores!$C$52</f>
        <v>77.068202540000016</v>
      </c>
      <c r="AH159" s="77">
        <f>SUM(G159,I159,K159,M159,N159,O159,P159,Q159,R159,S159,U159,V159,W159,Y159,Z159,AA159,AB159,AC159,AE159,AF159,AG159)*Valores!$C$54</f>
        <v>0</v>
      </c>
      <c r="AI159" s="139">
        <f t="shared" si="26"/>
        <v>17475.669893760001</v>
      </c>
      <c r="AJ159" s="61">
        <f>Valores!$C$35</f>
        <v>216.04</v>
      </c>
      <c r="AK159" s="79">
        <f>Valores!$C$7</f>
        <v>179.82244959000002</v>
      </c>
      <c r="AL159" s="89">
        <v>102.96569626000002</v>
      </c>
      <c r="AM159" s="79">
        <f>IF($G$4="SI",SUM(AK159+AL159),AK159)*Valores!$C$54</f>
        <v>0</v>
      </c>
      <c r="AN159" s="12">
        <f t="shared" si="23"/>
        <v>498.82814585</v>
      </c>
      <c r="AO159" s="13">
        <f>AI159*-Valores!$C$56</f>
        <v>-2271.8370861888002</v>
      </c>
      <c r="AP159" s="13">
        <f>AI159*-Valores!$C$57</f>
        <v>-87.37834946880001</v>
      </c>
      <c r="AQ159" s="78">
        <f>AI159*-Valores!$C$58</f>
        <v>-786.40514521919999</v>
      </c>
      <c r="AR159" s="78">
        <f>AI159*-Valores!$C$59</f>
        <v>-471.84308713152006</v>
      </c>
      <c r="AS159" s="78">
        <f>AI159*-Valores!$C$60</f>
        <v>-52.427009681280005</v>
      </c>
      <c r="AT159" s="15">
        <f t="shared" si="24"/>
        <v>14828.877458733201</v>
      </c>
      <c r="AU159" s="15">
        <f t="shared" si="25"/>
        <v>15091.0125071396</v>
      </c>
      <c r="AV159" s="78">
        <f>AI159*Valores!$C$61</f>
        <v>2796.1071830016003</v>
      </c>
      <c r="AW159" s="78">
        <f>AI159*Valores!$C$62</f>
        <v>786.40514521919999</v>
      </c>
      <c r="AX159" s="78">
        <f>AI159*Valores!$C$64</f>
        <v>174.75669893760002</v>
      </c>
      <c r="AY159" s="78">
        <f>AI159*Valores!$C$65</f>
        <v>611.64844628160006</v>
      </c>
      <c r="AZ159" s="78">
        <f>AI159*Valores!$C$66</f>
        <v>104.85401936256001</v>
      </c>
      <c r="BA159" s="78">
        <f t="shared" si="27"/>
        <v>943.68617426304013</v>
      </c>
      <c r="BB159" s="20">
        <v>12</v>
      </c>
      <c r="BC159" s="55">
        <v>12</v>
      </c>
      <c r="BD159" s="9" t="s">
        <v>467</v>
      </c>
    </row>
    <row r="160" spans="1:56" s="9" customFormat="1" ht="11.25" customHeight="1" x14ac:dyDescent="0.15">
      <c r="A160" s="20">
        <v>159</v>
      </c>
      <c r="B160" s="20"/>
      <c r="C160" s="9" t="s">
        <v>294</v>
      </c>
      <c r="E160" s="10" t="s">
        <v>386</v>
      </c>
      <c r="F160" s="123">
        <v>971</v>
      </c>
      <c r="G160" s="7">
        <f>INT((F160*Valores!$C$2*100*1.006901)+0.5)/100</f>
        <v>5110.25</v>
      </c>
      <c r="H160" s="132">
        <v>0</v>
      </c>
      <c r="I160" s="77">
        <f>INT((H160*Valores!$C$2*100*1.006901)+0.5)/100</f>
        <v>0</v>
      </c>
      <c r="J160" s="145">
        <v>0</v>
      </c>
      <c r="K160" s="77">
        <f>INT((J160*Valores!$C$2*100*1.006901)+0.5)/100</f>
        <v>0</v>
      </c>
      <c r="L160" s="120">
        <v>0</v>
      </c>
      <c r="M160" s="77">
        <f>INT((L160*Valores!$C$2*100*1.006901)+0.5)/100</f>
        <v>0</v>
      </c>
      <c r="N160" s="77">
        <f t="shared" si="28"/>
        <v>1594.3566260954999</v>
      </c>
      <c r="O160" s="77">
        <f t="shared" si="29"/>
        <v>0</v>
      </c>
      <c r="P160" s="61">
        <f>Valores!$C$20</f>
        <v>3087.7323995700003</v>
      </c>
      <c r="Q160" s="61">
        <f>Valores!$D$4</f>
        <v>2354.08</v>
      </c>
      <c r="R160" s="61">
        <f>Valores!$C$27</f>
        <v>2168.79427093</v>
      </c>
      <c r="S160" s="87">
        <f>Valores!$C$43</f>
        <v>1146.5480996900001</v>
      </c>
      <c r="T160" s="77">
        <f>Valores!$C$23</f>
        <v>2267.09801556</v>
      </c>
      <c r="U160" s="77">
        <f t="shared" si="21"/>
        <v>2267.09801556</v>
      </c>
      <c r="V160" s="77">
        <v>0</v>
      </c>
      <c r="W160" s="77">
        <v>0</v>
      </c>
      <c r="X160" s="113">
        <v>400</v>
      </c>
      <c r="Y160" s="77">
        <f>X160*Valores!$C$2*1.006901</f>
        <v>2105.1480587199999</v>
      </c>
      <c r="Z160" s="61">
        <f>SUM(K160,I160,G160,S160)*Valores!$C$3</f>
        <v>938.51971495350006</v>
      </c>
      <c r="AA160" s="89">
        <f>Valores!$C$29</f>
        <v>132.58872368000002</v>
      </c>
      <c r="AB160" s="77">
        <f t="shared" si="22"/>
        <v>0</v>
      </c>
      <c r="AC160" s="77">
        <f>Valores!$C$30</f>
        <v>132.59</v>
      </c>
      <c r="AD160" s="116">
        <v>94</v>
      </c>
      <c r="AE160" s="77">
        <f>AD160*Valores!$C$2*1.006901</f>
        <v>494.70979379919999</v>
      </c>
      <c r="AF160" s="77">
        <f>Valores!$C$51</f>
        <v>269.71857087000001</v>
      </c>
      <c r="AG160" s="77">
        <f>Valores!$C$52</f>
        <v>77.068202540000016</v>
      </c>
      <c r="AH160" s="77">
        <f>SUM(G160,I160,K160,M160,N160,O160,P160,Q160,R160,S160,U160,V160,W160,Y160,Z160,AA160,AB160,AC160,AE160,AF160,AG160)*Valores!$C$54</f>
        <v>0</v>
      </c>
      <c r="AI160" s="139">
        <f t="shared" si="26"/>
        <v>21879.202476408202</v>
      </c>
      <c r="AJ160" s="61">
        <f>Valores!$C$35</f>
        <v>216.04</v>
      </c>
      <c r="AK160" s="79">
        <f>Valores!$C$9</f>
        <v>308.25267214000002</v>
      </c>
      <c r="AL160" s="89">
        <v>102.96569626000002</v>
      </c>
      <c r="AM160" s="79">
        <f>IF($G$4="SI",SUM(AK160+AL160),AK160)*Valores!$C$54</f>
        <v>0</v>
      </c>
      <c r="AN160" s="12">
        <f t="shared" si="23"/>
        <v>627.25836840000011</v>
      </c>
      <c r="AO160" s="13">
        <f>AI160*-Valores!$C$56</f>
        <v>-2844.2963219330663</v>
      </c>
      <c r="AP160" s="13">
        <f>AI160*-Valores!$C$57</f>
        <v>-109.39601238204101</v>
      </c>
      <c r="AQ160" s="78">
        <f>AI160*-Valores!$C$58</f>
        <v>-984.56411143836908</v>
      </c>
      <c r="AR160" s="78">
        <f>AI160*-Valores!$C$59</f>
        <v>-590.73846686302147</v>
      </c>
      <c r="AS160" s="78">
        <f>AI160*-Valores!$C$60</f>
        <v>-65.637607429224602</v>
      </c>
      <c r="AT160" s="15">
        <f t="shared" si="24"/>
        <v>18568.204399054724</v>
      </c>
      <c r="AU160" s="15">
        <f t="shared" si="25"/>
        <v>18896.392436200847</v>
      </c>
      <c r="AV160" s="78">
        <f>AI160*Valores!$C$61</f>
        <v>3500.6723962253122</v>
      </c>
      <c r="AW160" s="78">
        <f>AI160*Valores!$C$62</f>
        <v>984.56411143836908</v>
      </c>
      <c r="AX160" s="78">
        <f>AI160*Valores!$C$64</f>
        <v>218.79202476408202</v>
      </c>
      <c r="AY160" s="78">
        <f>AI160*Valores!$C$65</f>
        <v>765.77208667428715</v>
      </c>
      <c r="AZ160" s="78">
        <f>AI160*Valores!$C$66</f>
        <v>131.2752148584492</v>
      </c>
      <c r="BA160" s="78">
        <f t="shared" si="27"/>
        <v>1181.4769337260429</v>
      </c>
      <c r="BB160" s="20">
        <v>12</v>
      </c>
      <c r="BC160" s="20">
        <v>18</v>
      </c>
      <c r="BD160" s="9" t="s">
        <v>467</v>
      </c>
    </row>
    <row r="161" spans="1:56" s="9" customFormat="1" ht="11.25" customHeight="1" x14ac:dyDescent="0.15">
      <c r="A161" s="55">
        <v>160</v>
      </c>
      <c r="B161" s="55" t="s">
        <v>462</v>
      </c>
      <c r="C161" s="52" t="s">
        <v>294</v>
      </c>
      <c r="D161" s="52"/>
      <c r="E161" s="53" t="s">
        <v>463</v>
      </c>
      <c r="F161" s="124">
        <v>971</v>
      </c>
      <c r="G161" s="7">
        <f>INT((F161*Valores!$C$2*100*1.006901)+0.5)/100</f>
        <v>5110.25</v>
      </c>
      <c r="H161" s="131">
        <v>0</v>
      </c>
      <c r="I161" s="77">
        <f>INT((H161*Valores!$C$2*100*1.006901)+0.5)/100</f>
        <v>0</v>
      </c>
      <c r="J161" s="146">
        <v>0</v>
      </c>
      <c r="K161" s="77">
        <f>INT((J161*Valores!$C$2*100*1.006901)+0.5)/100</f>
        <v>0</v>
      </c>
      <c r="L161" s="121">
        <v>0</v>
      </c>
      <c r="M161" s="77">
        <f>INT((L161*Valores!$C$2*100*1.006901)+0.5)/100</f>
        <v>0</v>
      </c>
      <c r="N161" s="80">
        <f t="shared" si="28"/>
        <v>1455.4564806199801</v>
      </c>
      <c r="O161" s="80">
        <f t="shared" si="29"/>
        <v>0</v>
      </c>
      <c r="P161" s="85">
        <f>Valores!$C$20</f>
        <v>3087.7323995700003</v>
      </c>
      <c r="Q161" s="85">
        <f>Valores!$D$4</f>
        <v>2354.08</v>
      </c>
      <c r="R161" s="85">
        <f>Valores!$C$27</f>
        <v>2168.79427093</v>
      </c>
      <c r="S161" s="88">
        <v>225.81</v>
      </c>
      <c r="T161" s="80">
        <f>Valores!$C$23</f>
        <v>2267.09801556</v>
      </c>
      <c r="U161" s="80">
        <f t="shared" si="21"/>
        <v>2267.09801556</v>
      </c>
      <c r="V161" s="80">
        <v>0</v>
      </c>
      <c r="W161" s="80">
        <v>0</v>
      </c>
      <c r="X161" s="114">
        <v>399</v>
      </c>
      <c r="Y161" s="77">
        <f>X161*Valores!$C$2*1.006901</f>
        <v>2099.8851885732001</v>
      </c>
      <c r="Z161" s="85">
        <f>SUM(K161,I161,G161,S161)*Valores!$C$3</f>
        <v>800.40899999999999</v>
      </c>
      <c r="AA161" s="90">
        <f>Valores!$C$29</f>
        <v>132.58872368000002</v>
      </c>
      <c r="AB161" s="80">
        <f t="shared" si="22"/>
        <v>0</v>
      </c>
      <c r="AC161" s="80">
        <f>Valores!$C$30</f>
        <v>132.59</v>
      </c>
      <c r="AD161" s="115">
        <v>94</v>
      </c>
      <c r="AE161" s="77">
        <f>AD161*Valores!$C$2*1.006901</f>
        <v>494.70979379919999</v>
      </c>
      <c r="AF161" s="80">
        <f>Valores!$C$51</f>
        <v>269.71857087000001</v>
      </c>
      <c r="AG161" s="80">
        <f>Valores!$C$52</f>
        <v>77.068202540000016</v>
      </c>
      <c r="AH161" s="80">
        <f>SUM(G161,I161,K161,M161,N161,O161,P161,Q161,R161,S161,U161,V161,W161,Y161,Z161,AA161,AB161,AC161,AE161,AF161,AG161)*Valores!$C$54</f>
        <v>0</v>
      </c>
      <c r="AI161" s="140">
        <f t="shared" si="26"/>
        <v>20676.190646142382</v>
      </c>
      <c r="AJ161" s="85">
        <f>Valores!$C$35</f>
        <v>216.04</v>
      </c>
      <c r="AK161" s="82">
        <v>0</v>
      </c>
      <c r="AL161" s="90">
        <v>0</v>
      </c>
      <c r="AM161" s="82">
        <f>IF($G$4="SI",SUM(AK161+AL161),AK161)*Valores!$C$54</f>
        <v>0</v>
      </c>
      <c r="AN161" s="184">
        <f t="shared" si="23"/>
        <v>216.04</v>
      </c>
      <c r="AO161" s="153">
        <f>AI161*-Valores!$C$56</f>
        <v>-2687.9047839985096</v>
      </c>
      <c r="AP161" s="153">
        <f>AI161*-Valores!$C$57</f>
        <v>-103.38095323071191</v>
      </c>
      <c r="AQ161" s="81">
        <f>AI161*-Valores!$C$58</f>
        <v>-930.42857907640712</v>
      </c>
      <c r="AR161" s="81">
        <f>AI161*-Valores!$C$59</f>
        <v>-558.25714744584434</v>
      </c>
      <c r="AS161" s="81">
        <f>AI161*-Valores!$C$60</f>
        <v>-62.028571938427149</v>
      </c>
      <c r="AT161" s="54">
        <f t="shared" si="24"/>
        <v>17170.516329836752</v>
      </c>
      <c r="AU161" s="54">
        <f t="shared" si="25"/>
        <v>17480.659189528888</v>
      </c>
      <c r="AV161" s="81">
        <f>AI161*Valores!$C$61</f>
        <v>3308.1905033827811</v>
      </c>
      <c r="AW161" s="81">
        <f>AI161*Valores!$C$62</f>
        <v>930.42857907640712</v>
      </c>
      <c r="AX161" s="81">
        <f>AI161*Valores!$C$64</f>
        <v>206.76190646142382</v>
      </c>
      <c r="AY161" s="81">
        <f>AI161*Valores!$C$65</f>
        <v>723.66667261498344</v>
      </c>
      <c r="AZ161" s="81">
        <f>AI161*Valores!$C$66</f>
        <v>124.0571438768543</v>
      </c>
      <c r="BA161" s="81">
        <f t="shared" si="27"/>
        <v>1116.5142948916887</v>
      </c>
      <c r="BB161" s="55">
        <v>12</v>
      </c>
      <c r="BC161" s="55">
        <v>18</v>
      </c>
      <c r="BD161" s="52" t="s">
        <v>466</v>
      </c>
    </row>
    <row r="162" spans="1:56" s="9" customFormat="1" ht="11.25" customHeight="1" x14ac:dyDescent="0.15">
      <c r="A162" s="20">
        <v>161</v>
      </c>
      <c r="B162" s="20"/>
      <c r="C162" s="9" t="s">
        <v>296</v>
      </c>
      <c r="E162" s="10" t="s">
        <v>297</v>
      </c>
      <c r="F162" s="123">
        <v>810</v>
      </c>
      <c r="G162" s="7">
        <f>INT((F162*Valores!$C$2*100*1.006901)+0.5)/100</f>
        <v>4262.92</v>
      </c>
      <c r="H162" s="132">
        <v>0</v>
      </c>
      <c r="I162" s="77">
        <f>INT((H162*Valores!$C$2*100*1.006901)+0.5)/100</f>
        <v>0</v>
      </c>
      <c r="J162" s="145">
        <v>0</v>
      </c>
      <c r="K162" s="77">
        <f>INT((J162*Valores!$C$2*100*1.006901)+0.5)/100</f>
        <v>0</v>
      </c>
      <c r="L162" s="120">
        <v>0</v>
      </c>
      <c r="M162" s="77">
        <f>INT((L162*Valores!$C$2*100*1.006901)+0.5)/100</f>
        <v>0</v>
      </c>
      <c r="N162" s="77">
        <f t="shared" si="28"/>
        <v>1075.201594077</v>
      </c>
      <c r="O162" s="77">
        <f t="shared" si="29"/>
        <v>0</v>
      </c>
      <c r="P162" s="61">
        <f>Valores!$C$20</f>
        <v>3087.7323995700003</v>
      </c>
      <c r="Q162" s="61">
        <f>Valores!$D$4</f>
        <v>2354.08</v>
      </c>
      <c r="R162" s="61">
        <f>Valores!$C$27</f>
        <v>2168.79427093</v>
      </c>
      <c r="S162" s="87">
        <f>Valores!$C$41</f>
        <v>668.82392024000001</v>
      </c>
      <c r="T162" s="61">
        <f>Valores!$C$24</f>
        <v>2236.2667069399999</v>
      </c>
      <c r="U162" s="77">
        <f t="shared" si="21"/>
        <v>2236.2667069399999</v>
      </c>
      <c r="V162" s="77">
        <v>0</v>
      </c>
      <c r="W162" s="77">
        <v>0</v>
      </c>
      <c r="X162" s="116">
        <v>0</v>
      </c>
      <c r="Y162" s="77">
        <f>X162*Valores!$C$2*1.006901</f>
        <v>0</v>
      </c>
      <c r="Z162" s="77">
        <v>0</v>
      </c>
      <c r="AA162" s="89">
        <f>Valores!$C$29</f>
        <v>132.58872368000002</v>
      </c>
      <c r="AB162" s="77">
        <f t="shared" si="22"/>
        <v>0</v>
      </c>
      <c r="AC162" s="77">
        <f>Valores!$C$30</f>
        <v>132.59</v>
      </c>
      <c r="AD162" s="116">
        <v>0</v>
      </c>
      <c r="AE162" s="77">
        <f>AD162*Valores!$C$2*1.006901</f>
        <v>0</v>
      </c>
      <c r="AF162" s="77">
        <f>Valores!$C$51</f>
        <v>269.71857087000001</v>
      </c>
      <c r="AG162" s="77">
        <f>Valores!$C$52</f>
        <v>77.068202540000016</v>
      </c>
      <c r="AH162" s="77">
        <f>SUM(G162,I162,K162,M162,N162,O162,P162,Q162,R162,S162,U162,V162,W162,Y162,Z162,AA162,AB162,AC162,AE162,AF162,AG162)*Valores!$C$54</f>
        <v>0</v>
      </c>
      <c r="AI162" s="139">
        <f t="shared" si="26"/>
        <v>16465.784388847002</v>
      </c>
      <c r="AJ162" s="61">
        <f>Valores!$C$35</f>
        <v>216.04</v>
      </c>
      <c r="AK162" s="79">
        <f>Valores!$C$7</f>
        <v>179.82244959000002</v>
      </c>
      <c r="AL162" s="89">
        <v>90.419709800000007</v>
      </c>
      <c r="AM162" s="79">
        <f>IF($G$4="SI",SUM(AK162+AL162),AK162)*Valores!$C$54</f>
        <v>0</v>
      </c>
      <c r="AN162" s="12">
        <f t="shared" si="23"/>
        <v>486.28215939</v>
      </c>
      <c r="AO162" s="13">
        <f>AI162*-Valores!$C$56</f>
        <v>-2140.5519705501101</v>
      </c>
      <c r="AP162" s="13">
        <f>AI162*-Valores!$C$57</f>
        <v>-82.328921944235006</v>
      </c>
      <c r="AQ162" s="78">
        <f>AI162*-Valores!$C$58</f>
        <v>-740.9602974981151</v>
      </c>
      <c r="AR162" s="78">
        <f>AI162*-Valores!$C$59</f>
        <v>-444.57617849886907</v>
      </c>
      <c r="AS162" s="78">
        <f>AI162*-Valores!$C$60</f>
        <v>-49.397353166541002</v>
      </c>
      <c r="AT162" s="15">
        <f t="shared" si="24"/>
        <v>13988.225358244543</v>
      </c>
      <c r="AU162" s="15">
        <f t="shared" si="25"/>
        <v>14235.212124077249</v>
      </c>
      <c r="AV162" s="78">
        <f>AI162*Valores!$C$61</f>
        <v>2634.5255022155202</v>
      </c>
      <c r="AW162" s="78">
        <f>AI162*Valores!$C$62</f>
        <v>740.9602974981151</v>
      </c>
      <c r="AX162" s="78">
        <f>AI162*Valores!$C$64</f>
        <v>164.65784388847001</v>
      </c>
      <c r="AY162" s="78">
        <f>AI162*Valores!$C$65</f>
        <v>576.30245360964511</v>
      </c>
      <c r="AZ162" s="78">
        <f>AI162*Valores!$C$66</f>
        <v>98.794706333082004</v>
      </c>
      <c r="BA162" s="78">
        <f t="shared" si="27"/>
        <v>889.15235699773814</v>
      </c>
      <c r="BB162" s="20"/>
      <c r="BC162" s="20"/>
      <c r="BD162" s="9" t="s">
        <v>467</v>
      </c>
    </row>
    <row r="163" spans="1:56" s="9" customFormat="1" ht="11.25" customHeight="1" x14ac:dyDescent="0.15">
      <c r="A163" s="20">
        <v>162</v>
      </c>
      <c r="B163" s="20"/>
      <c r="C163" s="9" t="s">
        <v>298</v>
      </c>
      <c r="E163" s="10" t="s">
        <v>299</v>
      </c>
      <c r="F163" s="123">
        <v>1065</v>
      </c>
      <c r="G163" s="7">
        <f>INT((F163*Valores!$C$2*100*1.006901)+0.5)/100</f>
        <v>5604.96</v>
      </c>
      <c r="H163" s="132">
        <v>0</v>
      </c>
      <c r="I163" s="77">
        <f>INT((H163*Valores!$C$2*100*1.006901)+0.5)/100</f>
        <v>0</v>
      </c>
      <c r="J163" s="145">
        <v>0</v>
      </c>
      <c r="K163" s="77">
        <f>INT((J163*Valores!$C$2*100*1.006901)+0.5)/100</f>
        <v>0</v>
      </c>
      <c r="L163" s="120">
        <v>0</v>
      </c>
      <c r="M163" s="77">
        <f>INT((L163*Valores!$C$2*100*1.006901)+0.5)/100</f>
        <v>0</v>
      </c>
      <c r="N163" s="77">
        <f t="shared" si="28"/>
        <v>1281.13229037</v>
      </c>
      <c r="O163" s="77">
        <f t="shared" si="29"/>
        <v>0</v>
      </c>
      <c r="P163" s="61">
        <f>Valores!$C$20</f>
        <v>3087.7323995700003</v>
      </c>
      <c r="Q163" s="61">
        <f>Valores!$D$4</f>
        <v>2354.08</v>
      </c>
      <c r="R163" s="79">
        <f>Valores!$C$27</f>
        <v>2168.79427093</v>
      </c>
      <c r="S163" s="79">
        <f>Valores!$C$41</f>
        <v>668.82392024000001</v>
      </c>
      <c r="T163" s="61">
        <f>Valores!$C$23</f>
        <v>2267.09801556</v>
      </c>
      <c r="U163" s="77">
        <f t="shared" si="21"/>
        <v>2267.09801556</v>
      </c>
      <c r="V163" s="77">
        <v>0</v>
      </c>
      <c r="W163" s="77">
        <v>0</v>
      </c>
      <c r="X163" s="116">
        <v>0</v>
      </c>
      <c r="Y163" s="77">
        <f>X163*Valores!$C$2*1.006901</f>
        <v>0</v>
      </c>
      <c r="Z163" s="77">
        <v>0</v>
      </c>
      <c r="AA163" s="89">
        <f>Valores!$C$29</f>
        <v>132.58872368000002</v>
      </c>
      <c r="AB163" s="77">
        <f t="shared" si="22"/>
        <v>0</v>
      </c>
      <c r="AC163" s="77">
        <f>Valores!$C$30</f>
        <v>132.59</v>
      </c>
      <c r="AD163" s="116">
        <v>0</v>
      </c>
      <c r="AE163" s="77">
        <f>AD163*Valores!$C$2*1.006901</f>
        <v>0</v>
      </c>
      <c r="AF163" s="77">
        <f>Valores!$C$51</f>
        <v>269.71857087000001</v>
      </c>
      <c r="AG163" s="77">
        <f>Valores!$C$52</f>
        <v>77.068202540000016</v>
      </c>
      <c r="AH163" s="77">
        <f>SUM(G163,I163,K163,M163,N163,O163,P163,Q163,R163,S163,U163,V163,W163,Y163,Z163,AA163,AB163,AC163,AE163,AF163,AG163)*Valores!$C$54</f>
        <v>0</v>
      </c>
      <c r="AI163" s="139">
        <f t="shared" si="26"/>
        <v>18044.586393760001</v>
      </c>
      <c r="AJ163" s="61">
        <f>Valores!$C$35</f>
        <v>216.04</v>
      </c>
      <c r="AK163" s="79">
        <f>Valores!$C$7</f>
        <v>179.82244959000002</v>
      </c>
      <c r="AL163" s="89">
        <v>113.02463725000001</v>
      </c>
      <c r="AM163" s="79">
        <f>IF($G$4="SI",SUM(AK163+AL163),AK163)*Valores!$C$54</f>
        <v>0</v>
      </c>
      <c r="AN163" s="12">
        <f t="shared" si="23"/>
        <v>508.88708683999999</v>
      </c>
      <c r="AO163" s="13">
        <f>AI163*-Valores!$C$56</f>
        <v>-2345.7962311888</v>
      </c>
      <c r="AP163" s="13">
        <f>AI163*-Valores!$C$57</f>
        <v>-90.222931968800012</v>
      </c>
      <c r="AQ163" s="78">
        <f>AI163*-Valores!$C$58</f>
        <v>-812.00638771920001</v>
      </c>
      <c r="AR163" s="78">
        <f>AI163*-Valores!$C$59</f>
        <v>-487.20383263152007</v>
      </c>
      <c r="AS163" s="78">
        <f>AI163*-Valores!$C$60</f>
        <v>-54.133759181280006</v>
      </c>
      <c r="AT163" s="15">
        <f t="shared" si="24"/>
        <v>15305.447929723199</v>
      </c>
      <c r="AU163" s="15">
        <f t="shared" si="25"/>
        <v>15576.116725629599</v>
      </c>
      <c r="AV163" s="78">
        <f>AI163*Valores!$C$61</f>
        <v>2887.1338230016004</v>
      </c>
      <c r="AW163" s="78">
        <f>AI163*Valores!$C$62</f>
        <v>812.00638771920001</v>
      </c>
      <c r="AX163" s="78">
        <f>AI163*Valores!$C$64</f>
        <v>180.44586393760002</v>
      </c>
      <c r="AY163" s="78">
        <f>AI163*Valores!$C$65</f>
        <v>631.56052378160007</v>
      </c>
      <c r="AZ163" s="78">
        <f>AI163*Valores!$C$66</f>
        <v>108.26751836256001</v>
      </c>
      <c r="BA163" s="78">
        <f t="shared" si="27"/>
        <v>974.40766526304014</v>
      </c>
      <c r="BB163" s="20"/>
      <c r="BC163" s="20">
        <v>27</v>
      </c>
      <c r="BD163" s="9" t="s">
        <v>467</v>
      </c>
    </row>
    <row r="164" spans="1:56" s="9" customFormat="1" ht="11.25" customHeight="1" x14ac:dyDescent="0.15">
      <c r="A164" s="20">
        <v>163</v>
      </c>
      <c r="B164" s="20"/>
      <c r="C164" s="9" t="s">
        <v>298</v>
      </c>
      <c r="E164" s="10" t="s">
        <v>440</v>
      </c>
      <c r="F164" s="123">
        <v>1065</v>
      </c>
      <c r="G164" s="7">
        <f>INT((F164*Valores!$C$2*100*1.006901)+0.5)/100</f>
        <v>5604.96</v>
      </c>
      <c r="H164" s="132">
        <v>0</v>
      </c>
      <c r="I164" s="77">
        <f>INT((H164*Valores!$C$2*100*1.006901)+0.5)/100</f>
        <v>0</v>
      </c>
      <c r="J164" s="145">
        <v>0</v>
      </c>
      <c r="K164" s="77">
        <f>INT((J164*Valores!$C$2*100*1.006901)+0.5)/100</f>
        <v>0</v>
      </c>
      <c r="L164" s="120">
        <v>0</v>
      </c>
      <c r="M164" s="77">
        <f>INT((L164*Valores!$C$2*100*1.006901)+0.5)/100</f>
        <v>0</v>
      </c>
      <c r="N164" s="77">
        <f t="shared" si="28"/>
        <v>1281.13229037</v>
      </c>
      <c r="O164" s="77">
        <f t="shared" si="29"/>
        <v>0</v>
      </c>
      <c r="P164" s="61">
        <f>Valores!$C$20</f>
        <v>3087.7323995700003</v>
      </c>
      <c r="Q164" s="61">
        <f>Valores!$D$4</f>
        <v>2354.08</v>
      </c>
      <c r="R164" s="79">
        <f>Valores!$C$27</f>
        <v>2168.79427093</v>
      </c>
      <c r="S164" s="138">
        <f>Valores!$C$41</f>
        <v>668.82392024000001</v>
      </c>
      <c r="T164" s="77">
        <f>Valores!$C$23</f>
        <v>2267.09801556</v>
      </c>
      <c r="U164" s="77">
        <f t="shared" si="21"/>
        <v>2267.09801556</v>
      </c>
      <c r="V164" s="77">
        <v>0</v>
      </c>
      <c r="W164" s="77">
        <v>0</v>
      </c>
      <c r="X164" s="116">
        <v>0</v>
      </c>
      <c r="Y164" s="77">
        <f>X164*Valores!$C$2*1.006901</f>
        <v>0</v>
      </c>
      <c r="Z164" s="77">
        <v>0</v>
      </c>
      <c r="AA164" s="89">
        <f>Valores!$C$29</f>
        <v>132.58872368000002</v>
      </c>
      <c r="AB164" s="77">
        <f t="shared" si="22"/>
        <v>0</v>
      </c>
      <c r="AC164" s="77">
        <f>Valores!$C$30</f>
        <v>132.59</v>
      </c>
      <c r="AD164" s="116">
        <v>94</v>
      </c>
      <c r="AE164" s="77">
        <f>AD164*Valores!$C$2*1.006901</f>
        <v>494.70979379919999</v>
      </c>
      <c r="AF164" s="77">
        <f>Valores!$C$51</f>
        <v>269.71857087000001</v>
      </c>
      <c r="AG164" s="77">
        <f>Valores!$C$52</f>
        <v>77.068202540000016</v>
      </c>
      <c r="AH164" s="77">
        <f>SUM(G164,I164,K164,M164,N164,O164,P164,Q164,R164,S164,U164,V164,W164,Y164,Z164,AA164,AB164,AC164,AE164,AF164,AG164)*Valores!$C$54</f>
        <v>0</v>
      </c>
      <c r="AI164" s="139">
        <f t="shared" si="26"/>
        <v>18539.296187559201</v>
      </c>
      <c r="AJ164" s="61">
        <f>Valores!$C$35</f>
        <v>216.04</v>
      </c>
      <c r="AK164" s="79">
        <f>Valores!$C$7</f>
        <v>179.82244959000002</v>
      </c>
      <c r="AL164" s="89">
        <v>113.02463725000001</v>
      </c>
      <c r="AM164" s="79">
        <f>IF($G$4="SI",SUM(AK164+AL164),AK164)*Valores!$C$54</f>
        <v>0</v>
      </c>
      <c r="AN164" s="12">
        <f t="shared" si="23"/>
        <v>508.88708683999999</v>
      </c>
      <c r="AO164" s="13">
        <f>AI164*-Valores!$C$56</f>
        <v>-2410.1085043826961</v>
      </c>
      <c r="AP164" s="13">
        <f>AI164*-Valores!$C$57</f>
        <v>-92.696480937796011</v>
      </c>
      <c r="AQ164" s="78">
        <f>AI164*-Valores!$C$58</f>
        <v>-834.26832844016405</v>
      </c>
      <c r="AR164" s="78">
        <f>AI164*-Valores!$C$59</f>
        <v>-500.5609970640985</v>
      </c>
      <c r="AS164" s="78">
        <f>AI164*-Valores!$C$60</f>
        <v>-55.617888562677607</v>
      </c>
      <c r="AT164" s="15">
        <f t="shared" si="24"/>
        <v>15711.109960638543</v>
      </c>
      <c r="AU164" s="15">
        <f t="shared" si="25"/>
        <v>15989.199403451932</v>
      </c>
      <c r="AV164" s="78">
        <f>AI164*Valores!$C$61</f>
        <v>2966.2873900094723</v>
      </c>
      <c r="AW164" s="78">
        <f>AI164*Valores!$C$62</f>
        <v>834.26832844016405</v>
      </c>
      <c r="AX164" s="78">
        <f>AI164*Valores!$C$64</f>
        <v>185.39296187559202</v>
      </c>
      <c r="AY164" s="78">
        <f>AI164*Valores!$C$65</f>
        <v>648.87536656457212</v>
      </c>
      <c r="AZ164" s="78">
        <f>AI164*Valores!$C$66</f>
        <v>111.23577712535521</v>
      </c>
      <c r="BA164" s="78">
        <f t="shared" si="27"/>
        <v>1001.121994128197</v>
      </c>
      <c r="BB164" s="20"/>
      <c r="BC164" s="55">
        <v>27</v>
      </c>
      <c r="BD164" s="9" t="s">
        <v>467</v>
      </c>
    </row>
    <row r="165" spans="1:56" s="9" customFormat="1" ht="11.25" customHeight="1" x14ac:dyDescent="0.15">
      <c r="A165" s="20">
        <v>164</v>
      </c>
      <c r="B165" s="20"/>
      <c r="C165" s="9" t="s">
        <v>300</v>
      </c>
      <c r="E165" s="10" t="s">
        <v>301</v>
      </c>
      <c r="F165" s="123">
        <v>98</v>
      </c>
      <c r="G165" s="7">
        <f>INT((F165*Valores!$C$2*100*1.006901)+0.5)/100</f>
        <v>515.76</v>
      </c>
      <c r="H165" s="132">
        <v>2686</v>
      </c>
      <c r="I165" s="77">
        <f>INT((H165*Valores!$C$2*100*1.006901)+0.5)/100</f>
        <v>14136.07</v>
      </c>
      <c r="J165" s="145">
        <v>0</v>
      </c>
      <c r="K165" s="77">
        <f>INT((J165*Valores!$C$2*100*1.006901)+0.5)/100</f>
        <v>0</v>
      </c>
      <c r="L165" s="120">
        <v>0</v>
      </c>
      <c r="M165" s="77">
        <f>INT((L165*Valores!$C$2*100*1.006901)+0.5)/100</f>
        <v>0</v>
      </c>
      <c r="N165" s="77">
        <f t="shared" si="28"/>
        <v>3262.4227827015002</v>
      </c>
      <c r="O165" s="77">
        <f t="shared" si="29"/>
        <v>0</v>
      </c>
      <c r="P165" s="87">
        <f>Valores!$C$15</f>
        <v>3241.8587356399998</v>
      </c>
      <c r="Q165" s="61">
        <f>Valores!$D$4</f>
        <v>2354.08</v>
      </c>
      <c r="R165" s="61">
        <f>Valores!$C$26</f>
        <v>2369.1575009200001</v>
      </c>
      <c r="S165" s="87">
        <f>Valores!$C$43</f>
        <v>1146.5480996900001</v>
      </c>
      <c r="T165" s="77">
        <f>Valores!$C$23</f>
        <v>2267.09801556</v>
      </c>
      <c r="U165" s="77">
        <f t="shared" si="21"/>
        <v>2267.09801556</v>
      </c>
      <c r="V165" s="77">
        <v>0</v>
      </c>
      <c r="W165" s="77">
        <v>0</v>
      </c>
      <c r="X165" s="113">
        <v>700</v>
      </c>
      <c r="Y165" s="77">
        <f>X165*Valores!$C$2*1.006901</f>
        <v>3684.0091027600001</v>
      </c>
      <c r="Z165" s="61">
        <f>SUM(K165,I165,G165,S165)*Valores!$C$3</f>
        <v>2369.7567149534998</v>
      </c>
      <c r="AA165" s="89">
        <f>Valores!$C$29</f>
        <v>132.58872368000002</v>
      </c>
      <c r="AB165" s="77">
        <f t="shared" si="22"/>
        <v>0</v>
      </c>
      <c r="AC165" s="77">
        <f>Valores!$C$30</f>
        <v>132.59</v>
      </c>
      <c r="AD165" s="116">
        <v>94</v>
      </c>
      <c r="AE165" s="77">
        <f>AD165*Valores!$C$2*1.006901</f>
        <v>494.70979379919999</v>
      </c>
      <c r="AF165" s="77">
        <f>Valores!$C$51</f>
        <v>269.71857087000001</v>
      </c>
      <c r="AG165" s="77">
        <f>Valores!$C$52</f>
        <v>77.068202540000016</v>
      </c>
      <c r="AH165" s="77">
        <f>SUM(G165,I165,K165,M165,N165,O165,P165,Q165,R165,S165,U165,V165,W165,Y165,Z165,AA165,AB165,AC165,AE165,AF165,AG165)*Valores!$C$54</f>
        <v>0</v>
      </c>
      <c r="AI165" s="139">
        <f t="shared" si="26"/>
        <v>36453.436243114193</v>
      </c>
      <c r="AJ165" s="61">
        <f>Valores!$C$35</f>
        <v>216.04</v>
      </c>
      <c r="AK165" s="79">
        <f>Valores!$C$9</f>
        <v>308.25267214000002</v>
      </c>
      <c r="AL165" s="89">
        <v>0</v>
      </c>
      <c r="AM165" s="79">
        <f>IF($G$4="SI",SUM(AK165+AL165),AK165)*Valores!$C$54</f>
        <v>0</v>
      </c>
      <c r="AN165" s="12">
        <f t="shared" si="23"/>
        <v>524.29267214000004</v>
      </c>
      <c r="AO165" s="13">
        <f>AI165*-Valores!$C$56</f>
        <v>-4738.9467116048454</v>
      </c>
      <c r="AP165" s="13">
        <f>AI165*-Valores!$C$57</f>
        <v>-182.26718121557096</v>
      </c>
      <c r="AQ165" s="78">
        <f>AI165*-Valores!$C$58</f>
        <v>-1640.4046309401385</v>
      </c>
      <c r="AR165" s="78">
        <f>AI165*-Valores!$C$59</f>
        <v>-984.24277856408332</v>
      </c>
      <c r="AS165" s="78">
        <f>AI165*-Valores!$C$60</f>
        <v>-109.36030872934258</v>
      </c>
      <c r="AT165" s="15">
        <f t="shared" si="24"/>
        <v>30416.110391493639</v>
      </c>
      <c r="AU165" s="15">
        <f t="shared" si="25"/>
        <v>30962.911935140353</v>
      </c>
      <c r="AV165" s="78">
        <f>AI165*Valores!$C$61</f>
        <v>5832.5497988982706</v>
      </c>
      <c r="AW165" s="78">
        <f>AI165*Valores!$C$62</f>
        <v>1640.4046309401385</v>
      </c>
      <c r="AX165" s="78">
        <f>AI165*Valores!$C$64</f>
        <v>364.53436243114191</v>
      </c>
      <c r="AY165" s="78">
        <f>AI165*Valores!$C$65</f>
        <v>1275.8702685089968</v>
      </c>
      <c r="AZ165" s="78">
        <f>AI165*Valores!$C$66</f>
        <v>218.72061745868515</v>
      </c>
      <c r="BA165" s="78">
        <f t="shared" si="27"/>
        <v>1968.4855571281666</v>
      </c>
      <c r="BB165" s="20"/>
      <c r="BC165" s="20">
        <v>45</v>
      </c>
      <c r="BD165" s="9" t="s">
        <v>467</v>
      </c>
    </row>
    <row r="166" spans="1:56" s="9" customFormat="1" ht="11.25" customHeight="1" x14ac:dyDescent="0.15">
      <c r="A166" s="55">
        <v>165</v>
      </c>
      <c r="B166" s="55" t="s">
        <v>462</v>
      </c>
      <c r="C166" s="52" t="s">
        <v>302</v>
      </c>
      <c r="D166" s="52"/>
      <c r="E166" s="53" t="s">
        <v>303</v>
      </c>
      <c r="F166" s="124">
        <v>93</v>
      </c>
      <c r="G166" s="7">
        <f>INT((F166*Valores!$C$2*100*1.006901)+0.5)/100</f>
        <v>489.45</v>
      </c>
      <c r="H166" s="114">
        <v>2547</v>
      </c>
      <c r="I166" s="77">
        <f>INT((H166*Valores!$C$2*100*1.006901)+0.5)/100</f>
        <v>13404.53</v>
      </c>
      <c r="J166" s="146">
        <v>0</v>
      </c>
      <c r="K166" s="77">
        <f>INT((J166*Valores!$C$2*100*1.006901)+0.5)/100</f>
        <v>0</v>
      </c>
      <c r="L166" s="121">
        <v>0</v>
      </c>
      <c r="M166" s="77">
        <f>INT((L166*Valores!$C$2*100*1.006901)+0.5)/100</f>
        <v>0</v>
      </c>
      <c r="N166" s="80">
        <f t="shared" si="28"/>
        <v>3148.7452827015004</v>
      </c>
      <c r="O166" s="80">
        <f t="shared" si="29"/>
        <v>0</v>
      </c>
      <c r="P166" s="88">
        <f>Valores!$C$20</f>
        <v>3087.7323995700003</v>
      </c>
      <c r="Q166" s="85">
        <f>Valores!$D$4</f>
        <v>2354.08</v>
      </c>
      <c r="R166" s="85">
        <f>Valores!$C$26</f>
        <v>2369.1575009200001</v>
      </c>
      <c r="S166" s="88">
        <f>Valores!$C$43</f>
        <v>1146.5480996900001</v>
      </c>
      <c r="T166" s="80">
        <f>Valores!$C$23</f>
        <v>2267.09801556</v>
      </c>
      <c r="U166" s="80">
        <f t="shared" si="21"/>
        <v>2267.09801556</v>
      </c>
      <c r="V166" s="80">
        <v>0</v>
      </c>
      <c r="W166" s="80">
        <v>0</v>
      </c>
      <c r="X166" s="114">
        <v>700</v>
      </c>
      <c r="Y166" s="77">
        <f>X166*Valores!$C$2*1.006901</f>
        <v>3684.0091027600001</v>
      </c>
      <c r="Z166" s="85">
        <f>SUM(K166,I166,G166,S166)*Valores!$C$3</f>
        <v>2256.0792149535</v>
      </c>
      <c r="AA166" s="90">
        <f>Valores!$C$29</f>
        <v>132.58872368000002</v>
      </c>
      <c r="AB166" s="80">
        <f t="shared" si="22"/>
        <v>0</v>
      </c>
      <c r="AC166" s="80">
        <f>Valores!$C$30</f>
        <v>132.59</v>
      </c>
      <c r="AD166" s="115">
        <v>94</v>
      </c>
      <c r="AE166" s="77">
        <f>AD166*Valores!$C$2*1.006901</f>
        <v>494.70979379919999</v>
      </c>
      <c r="AF166" s="80">
        <f>Valores!$C$51</f>
        <v>269.71857087000001</v>
      </c>
      <c r="AG166" s="80">
        <f>Valores!$C$52</f>
        <v>77.068202540000016</v>
      </c>
      <c r="AH166" s="80">
        <f>SUM(G166,I166,K166,M166,N166,O166,P166,Q166,R166,S166,U166,V166,W166,Y166,Z166,AA166,AB166,AC166,AE166,AF166,AG166)*Valores!$C$54</f>
        <v>0</v>
      </c>
      <c r="AI166" s="140">
        <f t="shared" si="26"/>
        <v>35314.104907044195</v>
      </c>
      <c r="AJ166" s="85">
        <f>Valores!$C$35</f>
        <v>216.04</v>
      </c>
      <c r="AK166" s="82">
        <f>Valores!$C$9</f>
        <v>308.25267214000002</v>
      </c>
      <c r="AL166" s="90">
        <v>0</v>
      </c>
      <c r="AM166" s="82">
        <f>IF($G$4="SI",SUM(AK166+AL166),AK166)*Valores!$C$54</f>
        <v>0</v>
      </c>
      <c r="AN166" s="184">
        <f t="shared" si="23"/>
        <v>524.29267214000004</v>
      </c>
      <c r="AO166" s="153">
        <f>AI166*-Valores!$C$56</f>
        <v>-4590.8336379157454</v>
      </c>
      <c r="AP166" s="153">
        <f>AI166*-Valores!$C$57</f>
        <v>-176.57052453522098</v>
      </c>
      <c r="AQ166" s="81">
        <f>AI166*-Valores!$C$58</f>
        <v>-1589.1347208169886</v>
      </c>
      <c r="AR166" s="81">
        <f>AI166*-Valores!$C$59</f>
        <v>-953.48083249019339</v>
      </c>
      <c r="AS166" s="81">
        <f>AI166*-Valores!$C$60</f>
        <v>-105.94231472113259</v>
      </c>
      <c r="AT166" s="54">
        <f t="shared" si="24"/>
        <v>29481.858695916239</v>
      </c>
      <c r="AU166" s="54">
        <f t="shared" si="25"/>
        <v>30011.570269521901</v>
      </c>
      <c r="AV166" s="81">
        <f>AI166*Valores!$C$61</f>
        <v>5650.2567851270715</v>
      </c>
      <c r="AW166" s="81">
        <f>AI166*Valores!$C$62</f>
        <v>1589.1347208169886</v>
      </c>
      <c r="AX166" s="81">
        <f>AI166*Valores!$C$64</f>
        <v>353.14104907044197</v>
      </c>
      <c r="AY166" s="81">
        <f>AI166*Valores!$C$65</f>
        <v>1235.9936717465469</v>
      </c>
      <c r="AZ166" s="81">
        <f>AI166*Valores!$C$66</f>
        <v>211.88462944226518</v>
      </c>
      <c r="BA166" s="81">
        <f t="shared" si="27"/>
        <v>1906.9616649803866</v>
      </c>
      <c r="BB166" s="55"/>
      <c r="BC166" s="55">
        <v>45</v>
      </c>
      <c r="BD166" s="52" t="s">
        <v>467</v>
      </c>
    </row>
    <row r="167" spans="1:56" s="9" customFormat="1" ht="11.25" customHeight="1" x14ac:dyDescent="0.15">
      <c r="A167" s="20">
        <v>166</v>
      </c>
      <c r="B167" s="20"/>
      <c r="C167" s="9" t="s">
        <v>304</v>
      </c>
      <c r="E167" s="10" t="s">
        <v>305</v>
      </c>
      <c r="F167" s="123">
        <v>89</v>
      </c>
      <c r="G167" s="7">
        <f>INT((F167*Valores!$C$2*100*1.006901)+0.5)/100</f>
        <v>468.4</v>
      </c>
      <c r="H167" s="132">
        <v>2251</v>
      </c>
      <c r="I167" s="77">
        <f>INT((H167*Valores!$C$2*100*1.006901)+0.5)/100</f>
        <v>11846.72</v>
      </c>
      <c r="J167" s="145">
        <v>0</v>
      </c>
      <c r="K167" s="77">
        <f>INT((J167*Valores!$C$2*100*1.006901)+0.5)/100</f>
        <v>0</v>
      </c>
      <c r="L167" s="120">
        <v>0</v>
      </c>
      <c r="M167" s="77">
        <f>INT((L167*Valores!$C$2*100*1.006901)+0.5)/100</f>
        <v>0</v>
      </c>
      <c r="N167" s="77">
        <f t="shared" si="28"/>
        <v>2911.9162827014998</v>
      </c>
      <c r="O167" s="77">
        <f t="shared" si="29"/>
        <v>0</v>
      </c>
      <c r="P167" s="87">
        <f>Valores!$C$20</f>
        <v>3087.7323995700003</v>
      </c>
      <c r="Q167" s="61">
        <f>Valores!$D$4</f>
        <v>2354.08</v>
      </c>
      <c r="R167" s="61">
        <f>Valores!$C$26</f>
        <v>2369.1575009200001</v>
      </c>
      <c r="S167" s="87">
        <f>Valores!$C$43</f>
        <v>1146.5480996900001</v>
      </c>
      <c r="T167" s="77">
        <f>Valores!$C$23</f>
        <v>2267.09801556</v>
      </c>
      <c r="U167" s="77">
        <f t="shared" si="21"/>
        <v>2267.09801556</v>
      </c>
      <c r="V167" s="77">
        <v>0</v>
      </c>
      <c r="W167" s="77">
        <v>0</v>
      </c>
      <c r="X167" s="113">
        <v>700</v>
      </c>
      <c r="Y167" s="77">
        <f>X167*Valores!$C$2*1.006901</f>
        <v>3684.0091027600001</v>
      </c>
      <c r="Z167" s="61">
        <f>SUM(K167,I167,G167,S167)*Valores!$C$3</f>
        <v>2019.2502149534998</v>
      </c>
      <c r="AA167" s="89">
        <f>Valores!$C$29</f>
        <v>132.58872368000002</v>
      </c>
      <c r="AB167" s="77">
        <f t="shared" si="22"/>
        <v>0</v>
      </c>
      <c r="AC167" s="77">
        <f>Valores!$C$30</f>
        <v>132.59</v>
      </c>
      <c r="AD167" s="116">
        <v>94</v>
      </c>
      <c r="AE167" s="77">
        <f>AD167*Valores!$C$2*1.006901</f>
        <v>494.70979379919999</v>
      </c>
      <c r="AF167" s="77">
        <f>Valores!$C$51</f>
        <v>269.71857087000001</v>
      </c>
      <c r="AG167" s="77">
        <f>Valores!$C$52</f>
        <v>77.068202540000016</v>
      </c>
      <c r="AH167" s="77">
        <f>SUM(G167,I167,K167,M167,N167,O167,P167,Q167,R167,S167,U167,V167,W167,Y167,Z167,AA167,AB167,AC167,AE167,AF167,AG167)*Valores!$C$54</f>
        <v>0</v>
      </c>
      <c r="AI167" s="139">
        <f t="shared" si="26"/>
        <v>33261.586907044199</v>
      </c>
      <c r="AJ167" s="61">
        <f>Valores!$C$35</f>
        <v>216.04</v>
      </c>
      <c r="AK167" s="79">
        <f>Valores!$C$9</f>
        <v>308.25267214000002</v>
      </c>
      <c r="AL167" s="89">
        <v>226.04927450000002</v>
      </c>
      <c r="AM167" s="79">
        <f>IF($G$4="SI",SUM(AK167+AL167),AK167)*Valores!$C$54</f>
        <v>0</v>
      </c>
      <c r="AN167" s="12">
        <f t="shared" si="23"/>
        <v>750.34194664000006</v>
      </c>
      <c r="AO167" s="13">
        <f>AI167*-Valores!$C$56</f>
        <v>-4324.0062979157456</v>
      </c>
      <c r="AP167" s="13">
        <f>AI167*-Valores!$C$57</f>
        <v>-166.30793453522099</v>
      </c>
      <c r="AQ167" s="78">
        <f>AI167*-Valores!$C$58</f>
        <v>-1496.7714108169889</v>
      </c>
      <c r="AR167" s="78">
        <f>AI167*-Valores!$C$59</f>
        <v>-898.06284649019346</v>
      </c>
      <c r="AS167" s="78">
        <f>AI167*-Valores!$C$60</f>
        <v>-99.784760721132599</v>
      </c>
      <c r="AT167" s="15">
        <f t="shared" si="24"/>
        <v>28024.843210416242</v>
      </c>
      <c r="AU167" s="15">
        <f t="shared" si="25"/>
        <v>28523.767014021902</v>
      </c>
      <c r="AV167" s="78">
        <f>AI167*Valores!$C$61</f>
        <v>5321.8539051270718</v>
      </c>
      <c r="AW167" s="78">
        <f>AI167*Valores!$C$62</f>
        <v>1496.7714108169889</v>
      </c>
      <c r="AX167" s="78">
        <f>AI167*Valores!$C$64</f>
        <v>332.61586907044199</v>
      </c>
      <c r="AY167" s="78">
        <f>AI167*Valores!$C$65</f>
        <v>1164.155541746547</v>
      </c>
      <c r="AZ167" s="78">
        <f>AI167*Valores!$C$66</f>
        <v>199.5695214422652</v>
      </c>
      <c r="BA167" s="78">
        <f t="shared" si="27"/>
        <v>1796.1256929803869</v>
      </c>
      <c r="BB167" s="20"/>
      <c r="BC167" s="20">
        <v>45</v>
      </c>
      <c r="BD167" s="9" t="s">
        <v>467</v>
      </c>
    </row>
    <row r="168" spans="1:56" s="9" customFormat="1" ht="11.25" customHeight="1" x14ac:dyDescent="0.15">
      <c r="A168" s="20">
        <v>167</v>
      </c>
      <c r="B168" s="20"/>
      <c r="C168" s="9" t="s">
        <v>306</v>
      </c>
      <c r="E168" s="10" t="s">
        <v>307</v>
      </c>
      <c r="F168" s="123">
        <v>83</v>
      </c>
      <c r="G168" s="7">
        <f>INT((F168*Valores!$C$2*100*1.006901)+0.5)/100</f>
        <v>436.82</v>
      </c>
      <c r="H168" s="132">
        <v>2352</v>
      </c>
      <c r="I168" s="77">
        <f>INT((H168*Valores!$C$2*100*1.006901)+0.5)/100</f>
        <v>12378.27</v>
      </c>
      <c r="J168" s="145">
        <v>0</v>
      </c>
      <c r="K168" s="77">
        <f>INT((J168*Valores!$C$2*100*1.006901)+0.5)/100</f>
        <v>0</v>
      </c>
      <c r="L168" s="120">
        <v>0</v>
      </c>
      <c r="M168" s="77">
        <f>INT((L168*Valores!$C$2*100*1.006901)+0.5)/100</f>
        <v>0</v>
      </c>
      <c r="N168" s="77">
        <f t="shared" si="28"/>
        <v>2986.9117827015002</v>
      </c>
      <c r="O168" s="77">
        <f t="shared" si="29"/>
        <v>0</v>
      </c>
      <c r="P168" s="61">
        <f>Valores!$C$20</f>
        <v>3087.7323995700003</v>
      </c>
      <c r="Q168" s="61">
        <f>Valores!$D$4</f>
        <v>2354.08</v>
      </c>
      <c r="R168" s="77">
        <v>0</v>
      </c>
      <c r="S168" s="79">
        <f>Valores!$C$43</f>
        <v>1146.5480996900001</v>
      </c>
      <c r="T168" s="77">
        <f>Valores!$C$23</f>
        <v>2267.09801556</v>
      </c>
      <c r="U168" s="77">
        <f t="shared" si="21"/>
        <v>2267.09801556</v>
      </c>
      <c r="V168" s="77">
        <v>0</v>
      </c>
      <c r="W168" s="77">
        <v>0</v>
      </c>
      <c r="X168" s="113">
        <v>700</v>
      </c>
      <c r="Y168" s="77">
        <f>X168*Valores!$C$2*1.006901</f>
        <v>3684.0091027600001</v>
      </c>
      <c r="Z168" s="61">
        <f>SUM(K168,I168,G168,S168)*Valores!$C$3</f>
        <v>2094.2457149534998</v>
      </c>
      <c r="AA168" s="89">
        <f>Valores!$C$29</f>
        <v>132.58872368000002</v>
      </c>
      <c r="AB168" s="77">
        <f t="shared" si="22"/>
        <v>0</v>
      </c>
      <c r="AC168" s="77">
        <f>Valores!$C$30</f>
        <v>132.59</v>
      </c>
      <c r="AD168" s="116">
        <v>94</v>
      </c>
      <c r="AE168" s="77">
        <f>AD168*Valores!$C$2*1.006901</f>
        <v>494.70979379919999</v>
      </c>
      <c r="AF168" s="77">
        <f>Valores!$C$51</f>
        <v>269.71857087000001</v>
      </c>
      <c r="AG168" s="77">
        <f>Valores!$C$52</f>
        <v>77.068202540000016</v>
      </c>
      <c r="AH168" s="77">
        <f>SUM(G168,I168,K168,M168,N168,O168,P168,Q168,R168,S168,U168,V168,W168,Y168,Z168,AA168,AB168,AC168,AE168,AF168,AG168)*Valores!$C$54</f>
        <v>0</v>
      </c>
      <c r="AI168" s="139">
        <f t="shared" si="26"/>
        <v>31542.390406124199</v>
      </c>
      <c r="AJ168" s="61">
        <f>Valores!$C$35</f>
        <v>216.04</v>
      </c>
      <c r="AK168" s="79">
        <f>Valores!$C$9</f>
        <v>308.25267214000002</v>
      </c>
      <c r="AL168" s="89">
        <v>0</v>
      </c>
      <c r="AM168" s="79">
        <f>IF($G$4="SI",SUM(AK168+AL168),AK168)*Valores!$C$54</f>
        <v>0</v>
      </c>
      <c r="AN168" s="12">
        <f t="shared" si="23"/>
        <v>524.29267214000004</v>
      </c>
      <c r="AO168" s="13">
        <f>AI168*-Valores!$C$56</f>
        <v>-4100.5107527961463</v>
      </c>
      <c r="AP168" s="13">
        <f>AI168*-Valores!$C$57</f>
        <v>-157.71195203062101</v>
      </c>
      <c r="AQ168" s="78">
        <f>AI168*-Valores!$C$58</f>
        <v>-1419.4075682755888</v>
      </c>
      <c r="AR168" s="78">
        <f>AI168*-Valores!$C$59</f>
        <v>-851.64454096535349</v>
      </c>
      <c r="AS168" s="78">
        <f>AI168*-Valores!$C$60</f>
        <v>-94.627171218372595</v>
      </c>
      <c r="AT168" s="15">
        <f t="shared" si="24"/>
        <v>26389.052805161838</v>
      </c>
      <c r="AU168" s="15">
        <f t="shared" si="25"/>
        <v>26862.188661253706</v>
      </c>
      <c r="AV168" s="78">
        <f>AI168*Valores!$C$61</f>
        <v>5046.7824649798722</v>
      </c>
      <c r="AW168" s="78">
        <f>AI168*Valores!$C$62</f>
        <v>1419.4075682755888</v>
      </c>
      <c r="AX168" s="78">
        <f>AI168*Valores!$C$64</f>
        <v>315.42390406124201</v>
      </c>
      <c r="AY168" s="78">
        <f>AI168*Valores!$C$65</f>
        <v>1103.9836642143471</v>
      </c>
      <c r="AZ168" s="78">
        <f>AI168*Valores!$C$66</f>
        <v>189.25434243674519</v>
      </c>
      <c r="BA168" s="78">
        <f t="shared" si="27"/>
        <v>1703.2890819307067</v>
      </c>
      <c r="BB168" s="20"/>
      <c r="BC168" s="20">
        <v>45</v>
      </c>
      <c r="BD168" s="9" t="s">
        <v>466</v>
      </c>
    </row>
    <row r="169" spans="1:56" s="9" customFormat="1" ht="11.25" customHeight="1" x14ac:dyDescent="0.15">
      <c r="A169" s="20">
        <v>168</v>
      </c>
      <c r="B169" s="20"/>
      <c r="C169" s="9" t="s">
        <v>308</v>
      </c>
      <c r="E169" s="10" t="s">
        <v>309</v>
      </c>
      <c r="F169" s="123">
        <v>83</v>
      </c>
      <c r="G169" s="7">
        <f>INT((F169*Valores!$C$2*100*1.006901)+0.5)/100</f>
        <v>436.82</v>
      </c>
      <c r="H169" s="132">
        <v>2092</v>
      </c>
      <c r="I169" s="77">
        <f>INT((H169*Valores!$C$2*100*1.006901)+0.5)/100</f>
        <v>11009.92</v>
      </c>
      <c r="J169" s="145">
        <v>0</v>
      </c>
      <c r="K169" s="77">
        <f>INT((J169*Valores!$C$2*100*1.006901)+0.5)/100</f>
        <v>0</v>
      </c>
      <c r="L169" s="120">
        <v>0</v>
      </c>
      <c r="M169" s="77">
        <f>INT((L169*Valores!$C$2*100*1.006901)+0.5)/100</f>
        <v>0</v>
      </c>
      <c r="N169" s="77">
        <f t="shared" si="28"/>
        <v>2781.6592827015002</v>
      </c>
      <c r="O169" s="77">
        <f t="shared" si="29"/>
        <v>0</v>
      </c>
      <c r="P169" s="61">
        <f>Valores!$C$20</f>
        <v>3087.7323995700003</v>
      </c>
      <c r="Q169" s="61">
        <f>Valores!$D$4</f>
        <v>2354.08</v>
      </c>
      <c r="R169" s="77">
        <v>0</v>
      </c>
      <c r="S169" s="79">
        <f>Valores!$C$43</f>
        <v>1146.5480996900001</v>
      </c>
      <c r="T169" s="77">
        <f>Valores!$C$23</f>
        <v>2267.09801556</v>
      </c>
      <c r="U169" s="77">
        <f t="shared" si="21"/>
        <v>2267.09801556</v>
      </c>
      <c r="V169" s="77">
        <v>0</v>
      </c>
      <c r="W169" s="77">
        <v>0</v>
      </c>
      <c r="X169" s="113">
        <v>700</v>
      </c>
      <c r="Y169" s="77">
        <f>X169*Valores!$C$2*1.006901</f>
        <v>3684.0091027600001</v>
      </c>
      <c r="Z169" s="61">
        <f>SUM(K169,I169,G169,S169)*Valores!$C$3</f>
        <v>1888.9932149535</v>
      </c>
      <c r="AA169" s="89">
        <f>Valores!$C$29</f>
        <v>132.58872368000002</v>
      </c>
      <c r="AB169" s="77">
        <f t="shared" si="22"/>
        <v>0</v>
      </c>
      <c r="AC169" s="77">
        <f>Valores!$C$30</f>
        <v>132.59</v>
      </c>
      <c r="AD169" s="116">
        <v>94</v>
      </c>
      <c r="AE169" s="77">
        <f>AD169*Valores!$C$2*1.006901</f>
        <v>494.70979379919999</v>
      </c>
      <c r="AF169" s="77">
        <f>Valores!$C$51</f>
        <v>269.71857087000001</v>
      </c>
      <c r="AG169" s="77">
        <f>Valores!$C$52</f>
        <v>77.068202540000016</v>
      </c>
      <c r="AH169" s="77">
        <f>SUM(G169,I169,K169,M169,N169,O169,P169,Q169,R169,S169,U169,V169,W169,Y169,Z169,AA169,AB169,AC169,AE169,AF169,AG169)*Valores!$C$54</f>
        <v>0</v>
      </c>
      <c r="AI169" s="139">
        <f t="shared" si="26"/>
        <v>29763.5354061242</v>
      </c>
      <c r="AJ169" s="61">
        <f>Valores!$C$35</f>
        <v>216.04</v>
      </c>
      <c r="AK169" s="79">
        <f>Valores!$C$9</f>
        <v>308.25267214000002</v>
      </c>
      <c r="AL169" s="89">
        <v>0</v>
      </c>
      <c r="AM169" s="79">
        <f>IF($G$4="SI",SUM(AK169+AL169),AK169)*Valores!$C$54</f>
        <v>0</v>
      </c>
      <c r="AN169" s="12">
        <f t="shared" si="23"/>
        <v>524.29267214000004</v>
      </c>
      <c r="AO169" s="13">
        <f>AI169*-Valores!$C$56</f>
        <v>-3869.2596027961463</v>
      </c>
      <c r="AP169" s="13">
        <f>AI169*-Valores!$C$57</f>
        <v>-148.81767703062101</v>
      </c>
      <c r="AQ169" s="78">
        <f>AI169*-Valores!$C$58</f>
        <v>-1339.359093275589</v>
      </c>
      <c r="AR169" s="78">
        <f>AI169*-Valores!$C$59</f>
        <v>-803.61545596535348</v>
      </c>
      <c r="AS169" s="78">
        <f>AI169*-Valores!$C$60</f>
        <v>-89.290606218372602</v>
      </c>
      <c r="AT169" s="15">
        <f t="shared" si="24"/>
        <v>24930.391705161841</v>
      </c>
      <c r="AU169" s="15">
        <f t="shared" si="25"/>
        <v>25376.844736253708</v>
      </c>
      <c r="AV169" s="78">
        <f>AI169*Valores!$C$61</f>
        <v>4762.1656649798724</v>
      </c>
      <c r="AW169" s="78">
        <f>AI169*Valores!$C$62</f>
        <v>1339.359093275589</v>
      </c>
      <c r="AX169" s="78">
        <f>AI169*Valores!$C$64</f>
        <v>297.63535406124203</v>
      </c>
      <c r="AY169" s="78">
        <f>AI169*Valores!$C$65</f>
        <v>1041.723739214347</v>
      </c>
      <c r="AZ169" s="78">
        <f>AI169*Valores!$C$66</f>
        <v>178.5812124367452</v>
      </c>
      <c r="BA169" s="78">
        <f t="shared" si="27"/>
        <v>1607.230911930707</v>
      </c>
      <c r="BB169" s="20"/>
      <c r="BC169" s="55">
        <v>45</v>
      </c>
      <c r="BD169" s="9" t="s">
        <v>466</v>
      </c>
    </row>
    <row r="170" spans="1:56" s="9" customFormat="1" ht="11.25" customHeight="1" x14ac:dyDescent="0.15">
      <c r="A170" s="20">
        <v>169</v>
      </c>
      <c r="B170" s="20"/>
      <c r="C170" s="9" t="s">
        <v>310</v>
      </c>
      <c r="E170" s="10" t="s">
        <v>311</v>
      </c>
      <c r="F170" s="123">
        <v>82</v>
      </c>
      <c r="G170" s="7">
        <f>INT((F170*Valores!$C$2*100*1.006901)+0.5)/100</f>
        <v>431.56</v>
      </c>
      <c r="H170" s="132">
        <v>1941</v>
      </c>
      <c r="I170" s="77">
        <f>INT((H170*Valores!$C$2*100*1.006901)+0.5)/100</f>
        <v>10215.23</v>
      </c>
      <c r="J170" s="145">
        <v>0</v>
      </c>
      <c r="K170" s="77">
        <f>INT((J170*Valores!$C$2*100*1.006901)+0.5)/100</f>
        <v>0</v>
      </c>
      <c r="L170" s="120">
        <v>0</v>
      </c>
      <c r="M170" s="77">
        <f>INT((L170*Valores!$C$2*100*1.006901)+0.5)/100</f>
        <v>0</v>
      </c>
      <c r="N170" s="77">
        <f t="shared" si="28"/>
        <v>2661.6667827015003</v>
      </c>
      <c r="O170" s="77">
        <f t="shared" si="29"/>
        <v>0</v>
      </c>
      <c r="P170" s="61">
        <f>Valores!$C$20</f>
        <v>3087.7323995700003</v>
      </c>
      <c r="Q170" s="61">
        <f>Valores!$D$4</f>
        <v>2354.08</v>
      </c>
      <c r="R170" s="77">
        <v>0</v>
      </c>
      <c r="S170" s="79">
        <f>Valores!$C$43</f>
        <v>1146.5480996900001</v>
      </c>
      <c r="T170" s="77">
        <f>Valores!$C$23</f>
        <v>2267.09801556</v>
      </c>
      <c r="U170" s="77">
        <f t="shared" si="21"/>
        <v>2267.09801556</v>
      </c>
      <c r="V170" s="77">
        <v>0</v>
      </c>
      <c r="W170" s="77">
        <v>0</v>
      </c>
      <c r="X170" s="113">
        <v>700</v>
      </c>
      <c r="Y170" s="77">
        <f>X170*Valores!$C$2*1.006901</f>
        <v>3684.0091027600001</v>
      </c>
      <c r="Z170" s="61">
        <f>SUM(K170,I170,G170,S170)*Valores!$C$3</f>
        <v>1769.0007149534999</v>
      </c>
      <c r="AA170" s="89">
        <f>Valores!$C$29</f>
        <v>132.58872368000002</v>
      </c>
      <c r="AB170" s="77">
        <f t="shared" si="22"/>
        <v>0</v>
      </c>
      <c r="AC170" s="77">
        <f>Valores!$C$30</f>
        <v>132.59</v>
      </c>
      <c r="AD170" s="116">
        <v>94</v>
      </c>
      <c r="AE170" s="77">
        <f>AD170*Valores!$C$2*1.006901</f>
        <v>494.70979379919999</v>
      </c>
      <c r="AF170" s="77">
        <f>Valores!$C$51</f>
        <v>269.71857087000001</v>
      </c>
      <c r="AG170" s="77">
        <f>Valores!$C$52</f>
        <v>77.068202540000016</v>
      </c>
      <c r="AH170" s="77">
        <f>SUM(G170,I170,K170,M170,N170,O170,P170,Q170,R170,S170,U170,V170,W170,Y170,Z170,AA170,AB170,AC170,AE170,AF170,AG170)*Valores!$C$54</f>
        <v>0</v>
      </c>
      <c r="AI170" s="139">
        <f t="shared" si="26"/>
        <v>28723.600406124202</v>
      </c>
      <c r="AJ170" s="61">
        <f>Valores!$C$35</f>
        <v>216.04</v>
      </c>
      <c r="AK170" s="79">
        <f>Valores!$C$9</f>
        <v>308.25267214000002</v>
      </c>
      <c r="AL170" s="89">
        <v>0</v>
      </c>
      <c r="AM170" s="79">
        <f>IF($G$4="SI",SUM(AK170+AL170),AK170)*Valores!$C$54</f>
        <v>0</v>
      </c>
      <c r="AN170" s="12">
        <f t="shared" si="23"/>
        <v>524.29267214000004</v>
      </c>
      <c r="AO170" s="13">
        <f>AI170*-Valores!$C$56</f>
        <v>-3734.0680527961463</v>
      </c>
      <c r="AP170" s="13">
        <f>AI170*-Valores!$C$57</f>
        <v>-143.618002030621</v>
      </c>
      <c r="AQ170" s="78">
        <f>AI170*-Valores!$C$58</f>
        <v>-1292.562018275589</v>
      </c>
      <c r="AR170" s="78">
        <f>AI170*-Valores!$C$59</f>
        <v>-775.53721096535355</v>
      </c>
      <c r="AS170" s="78">
        <f>AI170*-Valores!$C$60</f>
        <v>-86.170801218372603</v>
      </c>
      <c r="AT170" s="15">
        <f t="shared" si="24"/>
        <v>24077.645005161849</v>
      </c>
      <c r="AU170" s="15">
        <f t="shared" si="25"/>
        <v>24508.499011253709</v>
      </c>
      <c r="AV170" s="78">
        <f>AI170*Valores!$C$61</f>
        <v>4595.776064979872</v>
      </c>
      <c r="AW170" s="78">
        <f>AI170*Valores!$C$62</f>
        <v>1292.562018275589</v>
      </c>
      <c r="AX170" s="78">
        <f>AI170*Valores!$C$64</f>
        <v>287.236004061242</v>
      </c>
      <c r="AY170" s="78">
        <f>AI170*Valores!$C$65</f>
        <v>1005.3260142143472</v>
      </c>
      <c r="AZ170" s="78">
        <f>AI170*Valores!$C$66</f>
        <v>172.34160243674521</v>
      </c>
      <c r="BA170" s="78">
        <f t="shared" si="27"/>
        <v>1551.0744219307069</v>
      </c>
      <c r="BB170" s="20"/>
      <c r="BC170" s="20">
        <v>45</v>
      </c>
      <c r="BD170" s="9" t="s">
        <v>466</v>
      </c>
    </row>
    <row r="171" spans="1:56" s="9" customFormat="1" ht="11.25" customHeight="1" x14ac:dyDescent="0.15">
      <c r="A171" s="55">
        <v>170</v>
      </c>
      <c r="B171" s="55" t="s">
        <v>462</v>
      </c>
      <c r="C171" s="52" t="s">
        <v>312</v>
      </c>
      <c r="D171" s="52"/>
      <c r="E171" s="53" t="s">
        <v>313</v>
      </c>
      <c r="F171" s="124">
        <v>79</v>
      </c>
      <c r="G171" s="7">
        <f>INT((F171*Valores!$C$2*100*1.006901)+0.5)/100</f>
        <v>415.77</v>
      </c>
      <c r="H171" s="131">
        <v>2161</v>
      </c>
      <c r="I171" s="77">
        <f>INT((H171*Valores!$C$2*100*1.006901)+0.5)/100</f>
        <v>11373.06</v>
      </c>
      <c r="J171" s="146">
        <v>0</v>
      </c>
      <c r="K171" s="77">
        <f>INT((J171*Valores!$C$2*100*1.006901)+0.5)/100</f>
        <v>0</v>
      </c>
      <c r="L171" s="121">
        <v>0</v>
      </c>
      <c r="M171" s="77">
        <f>INT((L171*Valores!$C$2*100*1.006901)+0.5)/100</f>
        <v>0</v>
      </c>
      <c r="N171" s="80">
        <f t="shared" si="28"/>
        <v>2832.9727827015004</v>
      </c>
      <c r="O171" s="80">
        <f t="shared" si="29"/>
        <v>0</v>
      </c>
      <c r="P171" s="85">
        <f>Valores!$C$20</f>
        <v>3087.7323995700003</v>
      </c>
      <c r="Q171" s="85">
        <f>Valores!$D$4</f>
        <v>2354.08</v>
      </c>
      <c r="R171" s="80">
        <v>0</v>
      </c>
      <c r="S171" s="82">
        <f>Valores!$C$43</f>
        <v>1146.5480996900001</v>
      </c>
      <c r="T171" s="80">
        <f>Valores!$C$23</f>
        <v>2267.09801556</v>
      </c>
      <c r="U171" s="80">
        <f t="shared" si="21"/>
        <v>2267.09801556</v>
      </c>
      <c r="V171" s="80">
        <v>0</v>
      </c>
      <c r="W171" s="80">
        <v>0</v>
      </c>
      <c r="X171" s="114">
        <v>700</v>
      </c>
      <c r="Y171" s="77">
        <f>X171*Valores!$C$2*1.006901</f>
        <v>3684.0091027600001</v>
      </c>
      <c r="Z171" s="85">
        <f>SUM(K171,I171,G171,S171)*Valores!$C$3</f>
        <v>1940.3067149535</v>
      </c>
      <c r="AA171" s="90">
        <f>Valores!$C$29</f>
        <v>132.58872368000002</v>
      </c>
      <c r="AB171" s="80">
        <f t="shared" si="22"/>
        <v>0</v>
      </c>
      <c r="AC171" s="80">
        <f>Valores!$C$30</f>
        <v>132.59</v>
      </c>
      <c r="AD171" s="115">
        <v>94</v>
      </c>
      <c r="AE171" s="77">
        <f>AD171*Valores!$C$2*1.006901</f>
        <v>494.70979379919999</v>
      </c>
      <c r="AF171" s="80">
        <f>Valores!$C$51</f>
        <v>269.71857087000001</v>
      </c>
      <c r="AG171" s="80">
        <f>Valores!$C$52</f>
        <v>77.068202540000016</v>
      </c>
      <c r="AH171" s="80">
        <f>SUM(G171,I171,K171,M171,N171,O171,P171,Q171,R171,S171,U171,V171,W171,Y171,Z171,AA171,AB171,AC171,AE171,AF171,AG171)*Valores!$C$54</f>
        <v>0</v>
      </c>
      <c r="AI171" s="140">
        <f t="shared" si="26"/>
        <v>30208.2524061242</v>
      </c>
      <c r="AJ171" s="85">
        <f>Valores!$C$35</f>
        <v>216.04</v>
      </c>
      <c r="AK171" s="82">
        <f>Valores!$C$9</f>
        <v>308.25267214000002</v>
      </c>
      <c r="AL171" s="90">
        <v>0</v>
      </c>
      <c r="AM171" s="82">
        <f>IF($G$4="SI",SUM(AK171+AL171),AK171)*Valores!$C$54</f>
        <v>0</v>
      </c>
      <c r="AN171" s="184">
        <f t="shared" si="23"/>
        <v>524.29267214000004</v>
      </c>
      <c r="AO171" s="153">
        <f>AI171*-Valores!$C$56</f>
        <v>-3927.0728127961461</v>
      </c>
      <c r="AP171" s="153">
        <f>AI171*-Valores!$C$57</f>
        <v>-151.041262030621</v>
      </c>
      <c r="AQ171" s="81">
        <f>AI171*-Valores!$C$58</f>
        <v>-1359.371358275589</v>
      </c>
      <c r="AR171" s="81">
        <f>AI171*-Valores!$C$59</f>
        <v>-815.62281496535354</v>
      </c>
      <c r="AS171" s="81">
        <f>AI171*-Valores!$C$60</f>
        <v>-90.624757218372608</v>
      </c>
      <c r="AT171" s="54">
        <f t="shared" si="24"/>
        <v>25295.059645161848</v>
      </c>
      <c r="AU171" s="54">
        <f t="shared" si="25"/>
        <v>25748.18343125371</v>
      </c>
      <c r="AV171" s="81">
        <f>AI171*Valores!$C$61</f>
        <v>4833.320384979872</v>
      </c>
      <c r="AW171" s="81">
        <f>AI171*Valores!$C$62</f>
        <v>1359.371358275589</v>
      </c>
      <c r="AX171" s="81">
        <f>AI171*Valores!$C$64</f>
        <v>302.082524061242</v>
      </c>
      <c r="AY171" s="81">
        <f>AI171*Valores!$C$65</f>
        <v>1057.2888342143472</v>
      </c>
      <c r="AZ171" s="81">
        <f>AI171*Valores!$C$66</f>
        <v>181.24951443674522</v>
      </c>
      <c r="BA171" s="81">
        <f t="shared" si="27"/>
        <v>1631.2456299307069</v>
      </c>
      <c r="BB171" s="55"/>
      <c r="BC171" s="55">
        <v>45</v>
      </c>
      <c r="BD171" s="52" t="s">
        <v>466</v>
      </c>
    </row>
    <row r="172" spans="1:56" s="9" customFormat="1" ht="11.25" customHeight="1" x14ac:dyDescent="0.15">
      <c r="A172" s="20">
        <v>171</v>
      </c>
      <c r="B172" s="20"/>
      <c r="C172" s="9" t="s">
        <v>314</v>
      </c>
      <c r="E172" s="10" t="s">
        <v>315</v>
      </c>
      <c r="F172" s="123">
        <v>98</v>
      </c>
      <c r="G172" s="7">
        <f>INT((F172*Valores!$C$2*100*1.006901)+0.5)/100</f>
        <v>515.76</v>
      </c>
      <c r="H172" s="132">
        <v>2686</v>
      </c>
      <c r="I172" s="77">
        <f>INT((H172*Valores!$C$2*100*1.006901)+0.5)/100</f>
        <v>14136.07</v>
      </c>
      <c r="J172" s="145">
        <v>0</v>
      </c>
      <c r="K172" s="77">
        <f>INT((J172*Valores!$C$2*100*1.006901)+0.5)/100</f>
        <v>0</v>
      </c>
      <c r="L172" s="120">
        <v>0</v>
      </c>
      <c r="M172" s="77">
        <f>INT((L172*Valores!$C$2*100*1.006901)+0.5)/100</f>
        <v>0</v>
      </c>
      <c r="N172" s="77">
        <f t="shared" si="28"/>
        <v>3262.4227827015002</v>
      </c>
      <c r="O172" s="77">
        <f t="shared" si="29"/>
        <v>0</v>
      </c>
      <c r="P172" s="77">
        <f>Valores!$C$20</f>
        <v>3087.7323995700003</v>
      </c>
      <c r="Q172" s="61">
        <f>Valores!$D$4</f>
        <v>2354.08</v>
      </c>
      <c r="R172" s="77">
        <v>0</v>
      </c>
      <c r="S172" s="79">
        <f>Valores!$C$43</f>
        <v>1146.5480996900001</v>
      </c>
      <c r="T172" s="77">
        <f>Valores!$C$23</f>
        <v>2267.09801556</v>
      </c>
      <c r="U172" s="77">
        <f t="shared" si="21"/>
        <v>2267.09801556</v>
      </c>
      <c r="V172" s="77">
        <v>0</v>
      </c>
      <c r="W172" s="77">
        <v>0</v>
      </c>
      <c r="X172" s="113">
        <v>700</v>
      </c>
      <c r="Y172" s="77">
        <f>X172*Valores!$C$2*1.006901</f>
        <v>3684.0091027600001</v>
      </c>
      <c r="Z172" s="61">
        <f>SUM(K172,I172,G172,S172)*Valores!$C$3</f>
        <v>2369.7567149534998</v>
      </c>
      <c r="AA172" s="89">
        <f>Valores!$C$29</f>
        <v>132.58872368000002</v>
      </c>
      <c r="AB172" s="77">
        <f t="shared" si="22"/>
        <v>0</v>
      </c>
      <c r="AC172" s="77">
        <f>Valores!$C$30</f>
        <v>132.59</v>
      </c>
      <c r="AD172" s="116">
        <v>0</v>
      </c>
      <c r="AE172" s="77">
        <f>AD172*Valores!$C$2*1.006901</f>
        <v>0</v>
      </c>
      <c r="AF172" s="77">
        <f>Valores!$C$51</f>
        <v>269.71857087000001</v>
      </c>
      <c r="AG172" s="77">
        <f>Valores!$C$52</f>
        <v>77.068202540000016</v>
      </c>
      <c r="AH172" s="77">
        <f>SUM(G172,I172,K172,M172,N172,O172,P172,Q172,R172,S172,U172,V172,W172,Y172,Z172,AA172,AB172,AC172,AE172,AF172,AG172)*Valores!$C$54</f>
        <v>0</v>
      </c>
      <c r="AI172" s="139">
        <f t="shared" si="26"/>
        <v>33435.442612325001</v>
      </c>
      <c r="AJ172" s="61">
        <f>Valores!$C$35</f>
        <v>216.04</v>
      </c>
      <c r="AK172" s="79">
        <f>Valores!$C$9</f>
        <v>308.25267214000002</v>
      </c>
      <c r="AL172" s="89">
        <v>0</v>
      </c>
      <c r="AM172" s="79">
        <f>IF($G$4="SI",SUM(AK172+AL172),AK172)*Valores!$C$54</f>
        <v>0</v>
      </c>
      <c r="AN172" s="12">
        <f t="shared" si="23"/>
        <v>524.29267214000004</v>
      </c>
      <c r="AO172" s="13">
        <f>AI172*-Valores!$C$56</f>
        <v>-4346.6075396022507</v>
      </c>
      <c r="AP172" s="13">
        <f>AI172*-Valores!$C$57</f>
        <v>-167.177213061625</v>
      </c>
      <c r="AQ172" s="78">
        <f>AI172*-Valores!$C$58</f>
        <v>-1504.594917554625</v>
      </c>
      <c r="AR172" s="78">
        <f>AI172*-Valores!$C$59</f>
        <v>-902.75695053277514</v>
      </c>
      <c r="AS172" s="78">
        <f>AI172*-Valores!$C$60</f>
        <v>-100.306327836975</v>
      </c>
      <c r="AT172" s="15">
        <f t="shared" si="24"/>
        <v>27941.355614246502</v>
      </c>
      <c r="AU172" s="15">
        <f t="shared" si="25"/>
        <v>28442.887253431378</v>
      </c>
      <c r="AV172" s="78">
        <f>AI172*Valores!$C$61</f>
        <v>5349.6708179719999</v>
      </c>
      <c r="AW172" s="78">
        <f>AI172*Valores!$C$62</f>
        <v>1504.594917554625</v>
      </c>
      <c r="AX172" s="78">
        <f>AI172*Valores!$C$64</f>
        <v>334.35442612324999</v>
      </c>
      <c r="AY172" s="78">
        <f>AI172*Valores!$C$65</f>
        <v>1170.2404914313752</v>
      </c>
      <c r="AZ172" s="78">
        <f>AI172*Valores!$C$66</f>
        <v>200.61265567395</v>
      </c>
      <c r="BA172" s="78">
        <f t="shared" si="27"/>
        <v>1805.5139010655503</v>
      </c>
      <c r="BB172" s="20"/>
      <c r="BC172" s="20"/>
      <c r="BD172" s="9" t="s">
        <v>466</v>
      </c>
    </row>
    <row r="173" spans="1:56" s="9" customFormat="1" ht="11.25" customHeight="1" x14ac:dyDescent="0.15">
      <c r="A173" s="20">
        <v>172</v>
      </c>
      <c r="B173" s="20"/>
      <c r="C173" s="9" t="s">
        <v>316</v>
      </c>
      <c r="E173" s="10" t="s">
        <v>317</v>
      </c>
      <c r="F173" s="123">
        <v>93</v>
      </c>
      <c r="G173" s="7">
        <f>INT((F173*Valores!$C$2*100*1.006901)+0.5)/100</f>
        <v>489.45</v>
      </c>
      <c r="H173" s="132">
        <v>2547</v>
      </c>
      <c r="I173" s="77">
        <f>INT((H173*Valores!$C$2*100*1.006901)+0.5)/100</f>
        <v>13404.53</v>
      </c>
      <c r="J173" s="145">
        <v>0</v>
      </c>
      <c r="K173" s="77">
        <f>INT((J173*Valores!$C$2*100*1.006901)+0.5)/100</f>
        <v>0</v>
      </c>
      <c r="L173" s="120">
        <v>0</v>
      </c>
      <c r="M173" s="77">
        <f>INT((L173*Valores!$C$2*100*1.006901)+0.5)/100</f>
        <v>0</v>
      </c>
      <c r="N173" s="77">
        <f t="shared" si="28"/>
        <v>3148.7452827015004</v>
      </c>
      <c r="O173" s="77">
        <f t="shared" si="29"/>
        <v>0</v>
      </c>
      <c r="P173" s="87">
        <f>Valores!$C$20</f>
        <v>3087.7323995700003</v>
      </c>
      <c r="Q173" s="61">
        <f>Valores!$D$4</f>
        <v>2354.08</v>
      </c>
      <c r="R173" s="77">
        <v>0</v>
      </c>
      <c r="S173" s="79">
        <f>Valores!$C$43</f>
        <v>1146.5480996900001</v>
      </c>
      <c r="T173" s="77">
        <f>Valores!$C$23</f>
        <v>2267.09801556</v>
      </c>
      <c r="U173" s="77">
        <f t="shared" si="21"/>
        <v>2267.09801556</v>
      </c>
      <c r="V173" s="77">
        <v>0</v>
      </c>
      <c r="W173" s="77">
        <v>0</v>
      </c>
      <c r="X173" s="113">
        <v>700</v>
      </c>
      <c r="Y173" s="77">
        <f>X173*Valores!$C$2*1.006901</f>
        <v>3684.0091027600001</v>
      </c>
      <c r="Z173" s="61">
        <f>SUM(K173,I173,G173,S173)*Valores!$C$3</f>
        <v>2256.0792149535</v>
      </c>
      <c r="AA173" s="89">
        <f>Valores!$C$29</f>
        <v>132.58872368000002</v>
      </c>
      <c r="AB173" s="77">
        <f t="shared" si="22"/>
        <v>0</v>
      </c>
      <c r="AC173" s="77">
        <f>Valores!$C$30</f>
        <v>132.59</v>
      </c>
      <c r="AD173" s="116">
        <v>0</v>
      </c>
      <c r="AE173" s="77">
        <f>AD173*Valores!$C$2*1.006901</f>
        <v>0</v>
      </c>
      <c r="AF173" s="77">
        <f>Valores!$C$51</f>
        <v>269.71857087000001</v>
      </c>
      <c r="AG173" s="77">
        <f>Valores!$C$52</f>
        <v>77.068202540000016</v>
      </c>
      <c r="AH173" s="77">
        <f>SUM(G173,I173,K173,M173,N173,O173,P173,Q173,R173,S173,U173,V173,W173,Y173,Z173,AA173,AB173,AC173,AE173,AF173,AG173)*Valores!$C$54</f>
        <v>0</v>
      </c>
      <c r="AI173" s="139">
        <f t="shared" si="26"/>
        <v>32450.237612325007</v>
      </c>
      <c r="AJ173" s="61">
        <f>Valores!$C$35</f>
        <v>216.04</v>
      </c>
      <c r="AK173" s="79">
        <f>Valores!$C$9</f>
        <v>308.25267214000002</v>
      </c>
      <c r="AL173" s="89">
        <v>0</v>
      </c>
      <c r="AM173" s="79">
        <f>IF($G$4="SI",SUM(AK173+AL173),AK173)*Valores!$C$54</f>
        <v>0</v>
      </c>
      <c r="AN173" s="12">
        <f t="shared" si="23"/>
        <v>524.29267214000004</v>
      </c>
      <c r="AO173" s="13">
        <f>AI173*-Valores!$C$56</f>
        <v>-4218.5308896022507</v>
      </c>
      <c r="AP173" s="13">
        <f>AI173*-Valores!$C$57</f>
        <v>-162.25118806162504</v>
      </c>
      <c r="AQ173" s="78">
        <f>AI173*-Valores!$C$58</f>
        <v>-1460.2606925546252</v>
      </c>
      <c r="AR173" s="78">
        <f>AI173*-Valores!$C$59</f>
        <v>-876.15641553277533</v>
      </c>
      <c r="AS173" s="78">
        <f>AI173*-Valores!$C$60</f>
        <v>-97.350712836975021</v>
      </c>
      <c r="AT173" s="15">
        <f t="shared" si="24"/>
        <v>27133.48751424651</v>
      </c>
      <c r="AU173" s="15">
        <f t="shared" si="25"/>
        <v>27620.241078431383</v>
      </c>
      <c r="AV173" s="78">
        <f>AI173*Valores!$C$61</f>
        <v>5192.0380179720014</v>
      </c>
      <c r="AW173" s="78">
        <f>AI173*Valores!$C$62</f>
        <v>1460.2606925546252</v>
      </c>
      <c r="AX173" s="78">
        <f>AI173*Valores!$C$64</f>
        <v>324.50237612325009</v>
      </c>
      <c r="AY173" s="78">
        <f>AI173*Valores!$C$65</f>
        <v>1135.7583164313753</v>
      </c>
      <c r="AZ173" s="78">
        <f>AI173*Valores!$C$66</f>
        <v>194.70142567395004</v>
      </c>
      <c r="BA173" s="78">
        <f t="shared" si="27"/>
        <v>1752.3128310655507</v>
      </c>
      <c r="BB173" s="20"/>
      <c r="BC173" s="20"/>
      <c r="BD173" s="9" t="s">
        <v>467</v>
      </c>
    </row>
    <row r="174" spans="1:56" s="9" customFormat="1" ht="11.25" customHeight="1" x14ac:dyDescent="0.15">
      <c r="A174" s="20">
        <v>173</v>
      </c>
      <c r="B174" s="20"/>
      <c r="C174" s="9" t="s">
        <v>318</v>
      </c>
      <c r="E174" s="10" t="s">
        <v>319</v>
      </c>
      <c r="F174" s="123">
        <v>1278</v>
      </c>
      <c r="G174" s="7">
        <f>INT((F174*Valores!$C$2*100*1.006901)+0.5)/100</f>
        <v>6725.95</v>
      </c>
      <c r="H174" s="132">
        <v>0</v>
      </c>
      <c r="I174" s="77">
        <f>INT((H174*Valores!$C$2*100*1.006901)+0.5)/100</f>
        <v>0</v>
      </c>
      <c r="J174" s="145">
        <v>0</v>
      </c>
      <c r="K174" s="77">
        <f>INT((J174*Valores!$C$2*100*1.006901)+0.5)/100</f>
        <v>0</v>
      </c>
      <c r="L174" s="120">
        <v>0</v>
      </c>
      <c r="M174" s="77">
        <f>INT((L174*Valores!$C$2*100*1.006901)+0.5)/100</f>
        <v>0</v>
      </c>
      <c r="N174" s="77">
        <f t="shared" si="28"/>
        <v>2231.4268871055001</v>
      </c>
      <c r="O174" s="77">
        <f t="shared" si="29"/>
        <v>0</v>
      </c>
      <c r="P174" s="61">
        <f>Valores!$C$20</f>
        <v>3087.7323995700003</v>
      </c>
      <c r="Q174" s="61">
        <f>Valores!$D$4</f>
        <v>2354.08</v>
      </c>
      <c r="R174" s="77">
        <v>0</v>
      </c>
      <c r="S174" s="79">
        <f>Valores!$C$43</f>
        <v>1146.5480996900001</v>
      </c>
      <c r="T174" s="77">
        <f>Valores!$C$23</f>
        <v>2267.09801556</v>
      </c>
      <c r="U174" s="77">
        <f t="shared" si="21"/>
        <v>2267.09801556</v>
      </c>
      <c r="V174" s="77">
        <v>0</v>
      </c>
      <c r="W174" s="77">
        <v>0</v>
      </c>
      <c r="X174" s="113">
        <v>900</v>
      </c>
      <c r="Y174" s="77">
        <f>X174*Valores!$C$2*1.006901</f>
        <v>4736.5831321200003</v>
      </c>
      <c r="Z174" s="61">
        <f>SUM(K174,I174,G174,S174)*Valores!$C$3</f>
        <v>1180.8747149535</v>
      </c>
      <c r="AA174" s="89">
        <f>Valores!$C$29</f>
        <v>132.58872368000002</v>
      </c>
      <c r="AB174" s="77">
        <f t="shared" si="22"/>
        <v>0</v>
      </c>
      <c r="AC174" s="77">
        <f>Valores!$C$30</f>
        <v>132.59</v>
      </c>
      <c r="AD174" s="116">
        <v>94</v>
      </c>
      <c r="AE174" s="77">
        <f>AD174*Valores!$C$2*1.006901</f>
        <v>494.70979379919999</v>
      </c>
      <c r="AF174" s="77">
        <f>Valores!$C$51</f>
        <v>269.71857087000001</v>
      </c>
      <c r="AG174" s="77">
        <f>Valores!$C$52</f>
        <v>77.068202540000016</v>
      </c>
      <c r="AH174" s="77">
        <f>SUM(G174,I174,K174,M174,N174,O174,P174,Q174,R174,S174,U174,V174,W174,Y174,Z174,AA174,AB174,AC174,AE174,AF174,AG174)*Valores!$C$54</f>
        <v>0</v>
      </c>
      <c r="AI174" s="139">
        <f t="shared" si="26"/>
        <v>24836.968539888203</v>
      </c>
      <c r="AJ174" s="61">
        <f>Valores!$C$35</f>
        <v>216.04</v>
      </c>
      <c r="AK174" s="79">
        <f>Valores!$C$9</f>
        <v>308.25267214000002</v>
      </c>
      <c r="AL174" s="89">
        <v>226.04927450000002</v>
      </c>
      <c r="AM174" s="79">
        <f>IF($G$4="SI",SUM(AK174+AL174),AK174)*Valores!$C$54</f>
        <v>0</v>
      </c>
      <c r="AN174" s="12">
        <f t="shared" si="23"/>
        <v>750.34194664000006</v>
      </c>
      <c r="AO174" s="13">
        <f>AI174*-Valores!$C$56</f>
        <v>-3228.8059101854665</v>
      </c>
      <c r="AP174" s="13">
        <f>AI174*-Valores!$C$57</f>
        <v>-124.18484269944102</v>
      </c>
      <c r="AQ174" s="78">
        <f>AI174*-Valores!$C$58</f>
        <v>-1117.663584294969</v>
      </c>
      <c r="AR174" s="78">
        <f>AI174*-Valores!$C$59</f>
        <v>-670.59815057698154</v>
      </c>
      <c r="AS174" s="78">
        <f>AI174*-Valores!$C$60</f>
        <v>-74.510905619664612</v>
      </c>
      <c r="AT174" s="15">
        <f t="shared" si="24"/>
        <v>21116.656149348328</v>
      </c>
      <c r="AU174" s="15">
        <f t="shared" si="25"/>
        <v>21489.210677446652</v>
      </c>
      <c r="AV174" s="78">
        <f>AI174*Valores!$C$61</f>
        <v>3973.9149663821127</v>
      </c>
      <c r="AW174" s="78">
        <f>AI174*Valores!$C$62</f>
        <v>1117.663584294969</v>
      </c>
      <c r="AX174" s="78">
        <f>AI174*Valores!$C$64</f>
        <v>248.36968539888204</v>
      </c>
      <c r="AY174" s="78">
        <f>AI174*Valores!$C$65</f>
        <v>869.29389889608717</v>
      </c>
      <c r="AZ174" s="78">
        <f>AI174*Valores!$C$66</f>
        <v>149.02181123932922</v>
      </c>
      <c r="BA174" s="78">
        <f t="shared" si="27"/>
        <v>1341.1963011539631</v>
      </c>
      <c r="BB174" s="20"/>
      <c r="BC174" s="55">
        <v>36</v>
      </c>
      <c r="BD174" s="9" t="s">
        <v>467</v>
      </c>
    </row>
    <row r="175" spans="1:56" s="9" customFormat="1" ht="11.25" customHeight="1" x14ac:dyDescent="0.15">
      <c r="A175" s="20">
        <v>174</v>
      </c>
      <c r="B175" s="20"/>
      <c r="C175" s="9" t="s">
        <v>320</v>
      </c>
      <c r="E175" s="10" t="s">
        <v>321</v>
      </c>
      <c r="F175" s="123">
        <v>217</v>
      </c>
      <c r="G175" s="7">
        <f>INT((F175*Valores!$C$2*100*1.006901)+0.5)/100</f>
        <v>1142.04</v>
      </c>
      <c r="H175" s="132">
        <f>2245</f>
        <v>2245</v>
      </c>
      <c r="I175" s="77">
        <f>INT((H175*Valores!$C$2*100*1.006901)+0.5)/100</f>
        <v>11815.14</v>
      </c>
      <c r="J175" s="145">
        <v>0</v>
      </c>
      <c r="K175" s="77">
        <f>INT((J175*Valores!$C$2*100*1.006901)+0.5)/100</f>
        <v>0</v>
      </c>
      <c r="L175" s="120">
        <v>1300</v>
      </c>
      <c r="M175" s="77">
        <f>INT((L175*Valores!$C$2*100*1.006901)+0.5)/100</f>
        <v>6841.73</v>
      </c>
      <c r="N175" s="77">
        <f t="shared" si="28"/>
        <v>3481.8834172874999</v>
      </c>
      <c r="O175" s="77">
        <f t="shared" si="29"/>
        <v>0</v>
      </c>
      <c r="P175" s="61">
        <f>Valores!$C$16</f>
        <v>3262.4095850500003</v>
      </c>
      <c r="Q175" s="61">
        <f>Valores!$D$4</f>
        <v>2354.08</v>
      </c>
      <c r="R175" s="61">
        <f>Valores!$C$26</f>
        <v>2369.1575009200001</v>
      </c>
      <c r="S175" s="87">
        <f>Valores!$C$43</f>
        <v>1146.5480996900001</v>
      </c>
      <c r="T175" s="77">
        <f>Valores!$C$23</f>
        <v>2267.09801556</v>
      </c>
      <c r="U175" s="77">
        <f t="shared" si="21"/>
        <v>2267.09801556</v>
      </c>
      <c r="V175" s="77">
        <v>0</v>
      </c>
      <c r="W175" s="77">
        <v>0</v>
      </c>
      <c r="X175" s="116">
        <v>0</v>
      </c>
      <c r="Y175" s="77">
        <f>X175*Valores!$C$2*1.006901</f>
        <v>0</v>
      </c>
      <c r="Z175" s="77">
        <v>0</v>
      </c>
      <c r="AA175" s="89">
        <f>Valores!$C$29</f>
        <v>132.58872368000002</v>
      </c>
      <c r="AB175" s="77">
        <f t="shared" si="22"/>
        <v>0</v>
      </c>
      <c r="AC175" s="77">
        <f>Valores!$C$30</f>
        <v>132.59</v>
      </c>
      <c r="AD175" s="116">
        <v>0</v>
      </c>
      <c r="AE175" s="77">
        <f>AD175*Valores!$C$2*1.006901</f>
        <v>0</v>
      </c>
      <c r="AF175" s="77">
        <f>Valores!$C$51</f>
        <v>269.71857087000001</v>
      </c>
      <c r="AG175" s="77">
        <f>Valores!$C$52</f>
        <v>77.068202540000016</v>
      </c>
      <c r="AH175" s="77">
        <f>SUM(G175,I175,K175,M175,N175,O175,P175,Q175,R175,S175,U175,V175,W175,Y175,Z175,AA175,AB175,AC175,AE175,AF175,AG175)*Valores!$C$54</f>
        <v>0</v>
      </c>
      <c r="AI175" s="139">
        <f t="shared" si="26"/>
        <v>35292.052115597493</v>
      </c>
      <c r="AJ175" s="61">
        <f>Valores!$C$35</f>
        <v>216.04</v>
      </c>
      <c r="AK175" s="79">
        <f>Valores!$C$9</f>
        <v>308.25267214000002</v>
      </c>
      <c r="AL175" s="89">
        <v>0</v>
      </c>
      <c r="AM175" s="79">
        <f>IF($G$4="SI",SUM(AK175+AL175),AK175)*Valores!$C$54</f>
        <v>0</v>
      </c>
      <c r="AN175" s="12">
        <f t="shared" si="23"/>
        <v>524.29267214000004</v>
      </c>
      <c r="AO175" s="13">
        <f>AI175*-Valores!$C$56</f>
        <v>-4587.966775027674</v>
      </c>
      <c r="AP175" s="13">
        <f>AI175*-Valores!$C$57</f>
        <v>-176.46026057798747</v>
      </c>
      <c r="AQ175" s="78">
        <f>AI175*-Valores!$C$58</f>
        <v>-1588.1423452018871</v>
      </c>
      <c r="AR175" s="78">
        <f>AI175*-Valores!$C$59</f>
        <v>-952.8854071211324</v>
      </c>
      <c r="AS175" s="78">
        <f>AI175*-Valores!$C$60</f>
        <v>-105.87615634679248</v>
      </c>
      <c r="AT175" s="15">
        <f t="shared" si="24"/>
        <v>29463.775406929944</v>
      </c>
      <c r="AU175" s="15">
        <f t="shared" si="25"/>
        <v>29993.156188663907</v>
      </c>
      <c r="AV175" s="78">
        <f>AI175*Valores!$C$61</f>
        <v>5646.728338495599</v>
      </c>
      <c r="AW175" s="78">
        <f>AI175*Valores!$C$62</f>
        <v>1588.1423452018871</v>
      </c>
      <c r="AX175" s="78">
        <f>AI175*Valores!$C$64</f>
        <v>352.92052115597494</v>
      </c>
      <c r="AY175" s="78">
        <f>AI175*Valores!$C$65</f>
        <v>1235.2218240459124</v>
      </c>
      <c r="AZ175" s="78">
        <f>AI175*Valores!$C$66</f>
        <v>211.75231269358497</v>
      </c>
      <c r="BA175" s="78">
        <f t="shared" si="27"/>
        <v>1905.7708142422646</v>
      </c>
      <c r="BB175" s="20"/>
      <c r="BC175" s="20">
        <v>45</v>
      </c>
      <c r="BD175" s="9" t="s">
        <v>467</v>
      </c>
    </row>
    <row r="176" spans="1:56" s="9" customFormat="1" ht="11.25" customHeight="1" x14ac:dyDescent="0.15">
      <c r="A176" s="55">
        <v>175</v>
      </c>
      <c r="B176" s="55" t="s">
        <v>462</v>
      </c>
      <c r="C176" s="52" t="s">
        <v>322</v>
      </c>
      <c r="D176" s="52"/>
      <c r="E176" s="53" t="s">
        <v>323</v>
      </c>
      <c r="F176" s="124">
        <v>185</v>
      </c>
      <c r="G176" s="7">
        <f>INT((F176*Valores!$C$2*100*1.006901)+0.5)/100</f>
        <v>973.63</v>
      </c>
      <c r="H176" s="131">
        <f>1835</f>
        <v>1835</v>
      </c>
      <c r="I176" s="77">
        <f>INT((H176*Valores!$C$2*100*1.006901)+0.5)/100</f>
        <v>9657.3700000000008</v>
      </c>
      <c r="J176" s="146">
        <v>0</v>
      </c>
      <c r="K176" s="77">
        <f>INT((J176*Valores!$C$2*100*1.006901)+0.5)/100</f>
        <v>0</v>
      </c>
      <c r="L176" s="121">
        <v>1300</v>
      </c>
      <c r="M176" s="77">
        <f>INT((L176*Valores!$C$2*100*1.006901)+0.5)/100</f>
        <v>6841.73</v>
      </c>
      <c r="N176" s="80">
        <f t="shared" si="28"/>
        <v>3132.9564172875002</v>
      </c>
      <c r="O176" s="80">
        <f t="shared" si="29"/>
        <v>0</v>
      </c>
      <c r="P176" s="85">
        <f>Valores!$C$16</f>
        <v>3262.4095850500003</v>
      </c>
      <c r="Q176" s="85">
        <f>Valores!$D$4</f>
        <v>2354.08</v>
      </c>
      <c r="R176" s="85">
        <f>Valores!$C$26</f>
        <v>2369.1575009200001</v>
      </c>
      <c r="S176" s="88">
        <f>Valores!$C$43</f>
        <v>1146.5480996900001</v>
      </c>
      <c r="T176" s="80">
        <f>Valores!$C$23</f>
        <v>2267.09801556</v>
      </c>
      <c r="U176" s="80">
        <f t="shared" si="21"/>
        <v>2267.09801556</v>
      </c>
      <c r="V176" s="80">
        <v>0</v>
      </c>
      <c r="W176" s="80">
        <v>0</v>
      </c>
      <c r="X176" s="115">
        <v>0</v>
      </c>
      <c r="Y176" s="77">
        <f>X176*Valores!$C$2*1.006901</f>
        <v>0</v>
      </c>
      <c r="Z176" s="80">
        <v>0</v>
      </c>
      <c r="AA176" s="90">
        <f>Valores!$C$29</f>
        <v>132.58872368000002</v>
      </c>
      <c r="AB176" s="80">
        <f t="shared" si="22"/>
        <v>0</v>
      </c>
      <c r="AC176" s="80">
        <f>Valores!$C$30</f>
        <v>132.59</v>
      </c>
      <c r="AD176" s="115">
        <v>0</v>
      </c>
      <c r="AE176" s="77">
        <f>AD176*Valores!$C$2*1.006901</f>
        <v>0</v>
      </c>
      <c r="AF176" s="80">
        <f>Valores!$C$51</f>
        <v>269.71857087000001</v>
      </c>
      <c r="AG176" s="80">
        <f>Valores!$C$52</f>
        <v>77.068202540000016</v>
      </c>
      <c r="AH176" s="80">
        <f>SUM(G176,I176,K176,M176,N176,O176,P176,Q176,R176,S176,U176,V176,W176,Y176,Z176,AA176,AB176,AC176,AE176,AF176,AG176)*Valores!$C$54</f>
        <v>0</v>
      </c>
      <c r="AI176" s="140">
        <f t="shared" si="26"/>
        <v>32616.945115597504</v>
      </c>
      <c r="AJ176" s="85">
        <f>Valores!$C$35</f>
        <v>216.04</v>
      </c>
      <c r="AK176" s="82">
        <f>Valores!$C$9</f>
        <v>308.25267214000002</v>
      </c>
      <c r="AL176" s="90">
        <v>0</v>
      </c>
      <c r="AM176" s="82">
        <f>IF($G$4="SI",SUM(AK176+AL176),AK176)*Valores!$C$54</f>
        <v>0</v>
      </c>
      <c r="AN176" s="184">
        <f t="shared" si="23"/>
        <v>524.29267214000004</v>
      </c>
      <c r="AO176" s="153">
        <f>AI176*-Valores!$C$56</f>
        <v>-4240.2028650276752</v>
      </c>
      <c r="AP176" s="153">
        <f>AI176*-Valores!$C$57</f>
        <v>-163.08472557798751</v>
      </c>
      <c r="AQ176" s="81">
        <f>AI176*-Valores!$C$58</f>
        <v>-1467.7625302018876</v>
      </c>
      <c r="AR176" s="81">
        <f>AI176*-Valores!$C$59</f>
        <v>-880.65751812113274</v>
      </c>
      <c r="AS176" s="81">
        <f>AI176*-Valores!$C$60</f>
        <v>-97.850835346792508</v>
      </c>
      <c r="AT176" s="54">
        <f t="shared" si="24"/>
        <v>27270.187666929953</v>
      </c>
      <c r="AU176" s="54">
        <f t="shared" si="25"/>
        <v>27759.441843663917</v>
      </c>
      <c r="AV176" s="81">
        <f>AI176*Valores!$C$61</f>
        <v>5218.7112184956004</v>
      </c>
      <c r="AW176" s="81">
        <f>AI176*Valores!$C$62</f>
        <v>1467.7625302018876</v>
      </c>
      <c r="AX176" s="81">
        <f>AI176*Valores!$C$64</f>
        <v>326.16945115597503</v>
      </c>
      <c r="AY176" s="81">
        <f>AI176*Valores!$C$65</f>
        <v>1141.5930790459126</v>
      </c>
      <c r="AZ176" s="81">
        <f>AI176*Valores!$C$66</f>
        <v>195.70167069358502</v>
      </c>
      <c r="BA176" s="81">
        <f t="shared" si="27"/>
        <v>1761.3150362422653</v>
      </c>
      <c r="BB176" s="55"/>
      <c r="BC176" s="55">
        <v>45</v>
      </c>
      <c r="BD176" s="52" t="s">
        <v>467</v>
      </c>
    </row>
    <row r="177" spans="1:56" s="9" customFormat="1" ht="11.25" customHeight="1" x14ac:dyDescent="0.15">
      <c r="A177" s="20">
        <v>176</v>
      </c>
      <c r="B177" s="20"/>
      <c r="C177" s="9" t="s">
        <v>324</v>
      </c>
      <c r="E177" s="10" t="s">
        <v>325</v>
      </c>
      <c r="F177" s="123">
        <v>160</v>
      </c>
      <c r="G177" s="7">
        <f>INT((F177*Valores!$C$2*100*1.006901)+0.5)/100</f>
        <v>842.06</v>
      </c>
      <c r="H177" s="132">
        <f>1484</f>
        <v>1484</v>
      </c>
      <c r="I177" s="77">
        <f>INT((H177*Valores!$C$2*100*1.006901)+0.5)/100</f>
        <v>7810.1</v>
      </c>
      <c r="J177" s="145">
        <v>0</v>
      </c>
      <c r="K177" s="77">
        <f>INT((J177*Valores!$C$2*100*1.006901)+0.5)/100</f>
        <v>0</v>
      </c>
      <c r="L177" s="120">
        <v>1300</v>
      </c>
      <c r="M177" s="77">
        <f>INT((L177*Valores!$C$2*100*1.006901)+0.5)/100</f>
        <v>6841.73</v>
      </c>
      <c r="N177" s="77">
        <f t="shared" si="28"/>
        <v>2836.1304172875002</v>
      </c>
      <c r="O177" s="77">
        <f t="shared" si="29"/>
        <v>0</v>
      </c>
      <c r="P177" s="61">
        <f>Valores!$C$16</f>
        <v>3262.4095850500003</v>
      </c>
      <c r="Q177" s="61">
        <f>Valores!$D$4</f>
        <v>2354.08</v>
      </c>
      <c r="R177" s="61">
        <f>Valores!$C$26</f>
        <v>2369.1575009200001</v>
      </c>
      <c r="S177" s="87">
        <f>Valores!$C$43</f>
        <v>1146.5480996900001</v>
      </c>
      <c r="T177" s="77">
        <f>Valores!$C$23</f>
        <v>2267.09801556</v>
      </c>
      <c r="U177" s="77">
        <f t="shared" ref="U177:U240" si="30">T177*(1+$I$2)</f>
        <v>2267.09801556</v>
      </c>
      <c r="V177" s="77">
        <v>0</v>
      </c>
      <c r="W177" s="77">
        <v>0</v>
      </c>
      <c r="X177" s="116">
        <v>0</v>
      </c>
      <c r="Y177" s="77">
        <f>X177*Valores!$C$2*1.006901</f>
        <v>0</v>
      </c>
      <c r="Z177" s="77">
        <v>0</v>
      </c>
      <c r="AA177" s="89">
        <f>Valores!$C$29</f>
        <v>132.58872368000002</v>
      </c>
      <c r="AB177" s="77">
        <f t="shared" si="22"/>
        <v>0</v>
      </c>
      <c r="AC177" s="77">
        <f>Valores!$C$30</f>
        <v>132.59</v>
      </c>
      <c r="AD177" s="116">
        <v>0</v>
      </c>
      <c r="AE177" s="77">
        <f>AD177*Valores!$C$2*1.006901</f>
        <v>0</v>
      </c>
      <c r="AF177" s="77">
        <f>Valores!$C$51</f>
        <v>269.71857087000001</v>
      </c>
      <c r="AG177" s="77">
        <f>Valores!$C$52</f>
        <v>77.068202540000016</v>
      </c>
      <c r="AH177" s="77">
        <f>SUM(G177,I177,K177,M177,N177,O177,P177,Q177,R177,S177,U177,V177,W177,Y177,Z177,AA177,AB177,AC177,AE177,AF177,AG177)*Valores!$C$54</f>
        <v>0</v>
      </c>
      <c r="AI177" s="139">
        <f t="shared" si="26"/>
        <v>30341.279115597499</v>
      </c>
      <c r="AJ177" s="61">
        <f>Valores!$C$35</f>
        <v>216.04</v>
      </c>
      <c r="AK177" s="79">
        <f>Valores!$C$9</f>
        <v>308.25267214000002</v>
      </c>
      <c r="AL177" s="89">
        <v>226.04927450000002</v>
      </c>
      <c r="AM177" s="79">
        <f>IF($G$4="SI",SUM(AK177+AL177),AK177)*Valores!$C$54</f>
        <v>0</v>
      </c>
      <c r="AN177" s="12">
        <f t="shared" si="23"/>
        <v>750.34194664000006</v>
      </c>
      <c r="AO177" s="13">
        <f>AI177*-Valores!$C$56</f>
        <v>-3944.3662850276751</v>
      </c>
      <c r="AP177" s="13">
        <f>AI177*-Valores!$C$57</f>
        <v>-151.70639557798751</v>
      </c>
      <c r="AQ177" s="78">
        <f>AI177*-Valores!$C$58</f>
        <v>-1365.3575602018875</v>
      </c>
      <c r="AR177" s="78">
        <f>AI177*-Valores!$C$59</f>
        <v>-819.2145361211326</v>
      </c>
      <c r="AS177" s="78">
        <f>AI177*-Valores!$C$60</f>
        <v>-91.023837346792504</v>
      </c>
      <c r="AT177" s="15">
        <f t="shared" si="24"/>
        <v>25630.190821429951</v>
      </c>
      <c r="AU177" s="15">
        <f t="shared" si="25"/>
        <v>26085.310008163913</v>
      </c>
      <c r="AV177" s="78">
        <f>AI177*Valores!$C$61</f>
        <v>4854.6046584956002</v>
      </c>
      <c r="AW177" s="78">
        <f>AI177*Valores!$C$62</f>
        <v>1365.3575602018875</v>
      </c>
      <c r="AX177" s="78">
        <f>AI177*Valores!$C$64</f>
        <v>303.41279115597501</v>
      </c>
      <c r="AY177" s="78">
        <f>AI177*Valores!$C$65</f>
        <v>1061.9447690459126</v>
      </c>
      <c r="AZ177" s="78">
        <f>AI177*Valores!$C$66</f>
        <v>182.04767469358501</v>
      </c>
      <c r="BA177" s="78">
        <f t="shared" si="27"/>
        <v>1638.4290722422652</v>
      </c>
      <c r="BB177" s="20"/>
      <c r="BC177" s="20">
        <v>45</v>
      </c>
      <c r="BD177" s="9" t="s">
        <v>467</v>
      </c>
    </row>
    <row r="178" spans="1:56" s="9" customFormat="1" ht="11.25" customHeight="1" x14ac:dyDescent="0.15">
      <c r="A178" s="20">
        <v>177</v>
      </c>
      <c r="B178" s="20"/>
      <c r="C178" s="9" t="s">
        <v>326</v>
      </c>
      <c r="E178" s="10" t="s">
        <v>327</v>
      </c>
      <c r="F178" s="123">
        <v>178</v>
      </c>
      <c r="G178" s="7">
        <f>INT((F178*Valores!$C$2*100*1.006901)+0.5)/100</f>
        <v>936.79</v>
      </c>
      <c r="H178" s="132">
        <f>1842</f>
        <v>1842</v>
      </c>
      <c r="I178" s="77">
        <f>INT((H178*Valores!$C$2*100*1.006901)+0.5)/100</f>
        <v>9694.2099999999991</v>
      </c>
      <c r="J178" s="145">
        <v>0</v>
      </c>
      <c r="K178" s="77">
        <f>INT((J178*Valores!$C$2*100*1.006901)+0.5)/100</f>
        <v>0</v>
      </c>
      <c r="L178" s="120">
        <v>1300</v>
      </c>
      <c r="M178" s="77">
        <f>INT((L178*Valores!$C$2*100*1.006901)+0.5)/100</f>
        <v>6841.73</v>
      </c>
      <c r="N178" s="77">
        <f t="shared" si="28"/>
        <v>3132.9564172875002</v>
      </c>
      <c r="O178" s="77">
        <f t="shared" si="29"/>
        <v>0</v>
      </c>
      <c r="P178" s="61">
        <f>Valores!$C$16</f>
        <v>3262.4095850500003</v>
      </c>
      <c r="Q178" s="61">
        <f>Valores!$D$4</f>
        <v>2354.08</v>
      </c>
      <c r="R178" s="77">
        <f>Valores!$C$26</f>
        <v>2369.1575009200001</v>
      </c>
      <c r="S178" s="79">
        <f>Valores!$C$43</f>
        <v>1146.5480996900001</v>
      </c>
      <c r="T178" s="77">
        <f>Valores!$C$23</f>
        <v>2267.09801556</v>
      </c>
      <c r="U178" s="77">
        <f t="shared" si="30"/>
        <v>2267.09801556</v>
      </c>
      <c r="V178" s="77">
        <v>0</v>
      </c>
      <c r="W178" s="77">
        <v>0</v>
      </c>
      <c r="X178" s="116">
        <v>0</v>
      </c>
      <c r="Y178" s="77">
        <f>X178*Valores!$C$2*1.006901</f>
        <v>0</v>
      </c>
      <c r="Z178" s="77">
        <v>0</v>
      </c>
      <c r="AA178" s="89">
        <f>Valores!$C$29</f>
        <v>132.58872368000002</v>
      </c>
      <c r="AB178" s="77">
        <f t="shared" si="22"/>
        <v>0</v>
      </c>
      <c r="AC178" s="77">
        <f>Valores!$C$30</f>
        <v>132.59</v>
      </c>
      <c r="AD178" s="116">
        <v>0</v>
      </c>
      <c r="AE178" s="77">
        <f>AD178*Valores!$C$2*1.006901</f>
        <v>0</v>
      </c>
      <c r="AF178" s="77">
        <f>Valores!$C$51</f>
        <v>269.71857087000001</v>
      </c>
      <c r="AG178" s="77">
        <f>Valores!$C$52</f>
        <v>77.068202540000016</v>
      </c>
      <c r="AH178" s="77">
        <f>SUM(G178,I178,K178,M178,N178,O178,P178,Q178,R178,S178,U178,V178,W178,Y178,Z178,AA178,AB178,AC178,AE178,AF178,AG178)*Valores!$C$54</f>
        <v>0</v>
      </c>
      <c r="AI178" s="139">
        <f t="shared" si="26"/>
        <v>32616.945115597504</v>
      </c>
      <c r="AJ178" s="61">
        <f>Valores!$C$35</f>
        <v>216.04</v>
      </c>
      <c r="AK178" s="79">
        <f>Valores!$C$9</f>
        <v>308.25267214000002</v>
      </c>
      <c r="AL178" s="89">
        <v>0</v>
      </c>
      <c r="AM178" s="79">
        <f>IF($G$4="SI",SUM(AK178+AL178),AK178)*Valores!$C$54</f>
        <v>0</v>
      </c>
      <c r="AN178" s="12">
        <f t="shared" si="23"/>
        <v>524.29267214000004</v>
      </c>
      <c r="AO178" s="13">
        <f>AI178*-Valores!$C$56</f>
        <v>-4240.2028650276752</v>
      </c>
      <c r="AP178" s="13">
        <f>AI178*-Valores!$C$57</f>
        <v>-163.08472557798751</v>
      </c>
      <c r="AQ178" s="78">
        <f>AI178*-Valores!$C$58</f>
        <v>-1467.7625302018876</v>
      </c>
      <c r="AR178" s="78">
        <f>AI178*-Valores!$C$59</f>
        <v>-880.65751812113274</v>
      </c>
      <c r="AS178" s="78">
        <f>AI178*-Valores!$C$60</f>
        <v>-97.850835346792508</v>
      </c>
      <c r="AT178" s="15">
        <f t="shared" si="24"/>
        <v>27270.187666929953</v>
      </c>
      <c r="AU178" s="15">
        <f t="shared" si="25"/>
        <v>27759.441843663917</v>
      </c>
      <c r="AV178" s="78">
        <f>AI178*Valores!$C$61</f>
        <v>5218.7112184956004</v>
      </c>
      <c r="AW178" s="78">
        <f>AI178*Valores!$C$62</f>
        <v>1467.7625302018876</v>
      </c>
      <c r="AX178" s="78">
        <f>AI178*Valores!$C$64</f>
        <v>326.16945115597503</v>
      </c>
      <c r="AY178" s="78">
        <f>AI178*Valores!$C$65</f>
        <v>1141.5930790459126</v>
      </c>
      <c r="AZ178" s="78">
        <f>AI178*Valores!$C$66</f>
        <v>195.70167069358502</v>
      </c>
      <c r="BA178" s="78">
        <f t="shared" si="27"/>
        <v>1761.3150362422653</v>
      </c>
      <c r="BB178" s="20"/>
      <c r="BC178" s="20">
        <v>45</v>
      </c>
      <c r="BD178" s="9" t="s">
        <v>467</v>
      </c>
    </row>
    <row r="179" spans="1:56" s="9" customFormat="1" ht="11.25" customHeight="1" x14ac:dyDescent="0.15">
      <c r="A179" s="20">
        <v>178</v>
      </c>
      <c r="B179" s="20"/>
      <c r="C179" s="9" t="s">
        <v>328</v>
      </c>
      <c r="E179" s="10" t="s">
        <v>329</v>
      </c>
      <c r="F179" s="123">
        <v>1278</v>
      </c>
      <c r="G179" s="7">
        <f>INT((F179*Valores!$C$2*100*1.006901)+0.5)/100</f>
        <v>6725.95</v>
      </c>
      <c r="H179" s="132">
        <v>0</v>
      </c>
      <c r="I179" s="77">
        <f>INT((H179*Valores!$C$2*100*1.006901)+0.5)/100</f>
        <v>0</v>
      </c>
      <c r="J179" s="145">
        <v>0</v>
      </c>
      <c r="K179" s="77">
        <f>INT((J179*Valores!$C$2*100*1.006901)+0.5)/100</f>
        <v>0</v>
      </c>
      <c r="L179" s="120">
        <v>1200</v>
      </c>
      <c r="M179" s="77">
        <f>INT((L179*Valores!$C$2*100*1.006901)+0.5)/100</f>
        <v>6315.44</v>
      </c>
      <c r="N179" s="77">
        <f t="shared" si="28"/>
        <v>2468.2554172875002</v>
      </c>
      <c r="O179" s="77">
        <f t="shared" si="29"/>
        <v>0</v>
      </c>
      <c r="P179" s="61">
        <f>Valores!$C$20</f>
        <v>3087.7323995700003</v>
      </c>
      <c r="Q179" s="61">
        <f>Valores!$D$4</f>
        <v>2354.08</v>
      </c>
      <c r="R179" s="61">
        <f>Valores!$C$26</f>
        <v>2369.1575009200001</v>
      </c>
      <c r="S179" s="87">
        <f>Valores!$C$43</f>
        <v>1146.5480996900001</v>
      </c>
      <c r="T179" s="77">
        <f>Valores!$C$23</f>
        <v>2267.09801556</v>
      </c>
      <c r="U179" s="77">
        <f t="shared" si="30"/>
        <v>2267.09801556</v>
      </c>
      <c r="V179" s="77">
        <v>0</v>
      </c>
      <c r="W179" s="77">
        <v>0</v>
      </c>
      <c r="X179" s="116">
        <v>0</v>
      </c>
      <c r="Y179" s="77">
        <f>X179*Valores!$C$2*1.006901</f>
        <v>0</v>
      </c>
      <c r="Z179" s="77">
        <v>0</v>
      </c>
      <c r="AA179" s="89">
        <f>Valores!$C$29</f>
        <v>132.58872368000002</v>
      </c>
      <c r="AB179" s="77">
        <f t="shared" si="22"/>
        <v>0</v>
      </c>
      <c r="AC179" s="77">
        <f>Valores!$C$30</f>
        <v>132.59</v>
      </c>
      <c r="AD179" s="116">
        <v>0</v>
      </c>
      <c r="AE179" s="77">
        <f>AD179*Valores!$C$2*1.006901</f>
        <v>0</v>
      </c>
      <c r="AF179" s="77">
        <f>Valores!$C$51</f>
        <v>269.71857087000001</v>
      </c>
      <c r="AG179" s="77">
        <f>Valores!$C$52</f>
        <v>77.068202540000016</v>
      </c>
      <c r="AH179" s="77">
        <f>SUM(G179,I179,K179,M179,N179,O179,P179,Q179,R179,S179,U179,V179,W179,Y179,Z179,AA179,AB179,AC179,AE179,AF179,AG179)*Valores!$C$54</f>
        <v>0</v>
      </c>
      <c r="AI179" s="139">
        <f t="shared" si="26"/>
        <v>27346.226930117504</v>
      </c>
      <c r="AJ179" s="61">
        <f>Valores!$C$35</f>
        <v>216.04</v>
      </c>
      <c r="AK179" s="79">
        <f>Valores!$C$9</f>
        <v>308.25267214000002</v>
      </c>
      <c r="AL179" s="89">
        <v>226.04927450000002</v>
      </c>
      <c r="AM179" s="79">
        <f>IF($G$4="SI",SUM(AK179+AL179),AK179)*Valores!$C$54</f>
        <v>0</v>
      </c>
      <c r="AN179" s="12">
        <f t="shared" si="23"/>
        <v>750.34194664000006</v>
      </c>
      <c r="AO179" s="13">
        <f>AI179*-Valores!$C$56</f>
        <v>-3555.0095009152756</v>
      </c>
      <c r="AP179" s="13">
        <f>AI179*-Valores!$C$57</f>
        <v>-136.73113465058753</v>
      </c>
      <c r="AQ179" s="78">
        <f>AI179*-Valores!$C$58</f>
        <v>-1230.5802118552876</v>
      </c>
      <c r="AR179" s="78">
        <f>AI179*-Valores!$C$59</f>
        <v>-738.34812711317272</v>
      </c>
      <c r="AS179" s="78">
        <f>AI179*-Valores!$C$60</f>
        <v>-82.038680790352515</v>
      </c>
      <c r="AT179" s="15">
        <f t="shared" si="24"/>
        <v>23174.248029336351</v>
      </c>
      <c r="AU179" s="15">
        <f t="shared" si="25"/>
        <v>23584.441433288117</v>
      </c>
      <c r="AV179" s="78">
        <f>AI179*Valores!$C$61</f>
        <v>4375.3963088188011</v>
      </c>
      <c r="AW179" s="78">
        <f>AI179*Valores!$C$62</f>
        <v>1230.5802118552876</v>
      </c>
      <c r="AX179" s="78">
        <f>AI179*Valores!$C$64</f>
        <v>273.46226930117507</v>
      </c>
      <c r="AY179" s="78">
        <f>AI179*Valores!$C$65</f>
        <v>957.11794255411269</v>
      </c>
      <c r="AZ179" s="78">
        <f>AI179*Valores!$C$66</f>
        <v>164.07736158070503</v>
      </c>
      <c r="BA179" s="78">
        <f t="shared" si="27"/>
        <v>1476.6962542263454</v>
      </c>
      <c r="BB179" s="20"/>
      <c r="BC179" s="55"/>
      <c r="BD179" s="9" t="s">
        <v>467</v>
      </c>
    </row>
    <row r="180" spans="1:56" s="9" customFormat="1" ht="11.25" customHeight="1" x14ac:dyDescent="0.15">
      <c r="A180" s="20">
        <v>179</v>
      </c>
      <c r="B180" s="20"/>
      <c r="C180" s="9" t="s">
        <v>330</v>
      </c>
      <c r="E180" s="10" t="s">
        <v>331</v>
      </c>
      <c r="F180" s="123">
        <v>971</v>
      </c>
      <c r="G180" s="7">
        <f>INT((F180*Valores!$C$2*100*1.006901)+0.5)/100</f>
        <v>5110.25</v>
      </c>
      <c r="H180" s="132">
        <v>0</v>
      </c>
      <c r="I180" s="77">
        <f>INT((H180*Valores!$C$2*100*1.006901)+0.5)/100</f>
        <v>0</v>
      </c>
      <c r="J180" s="145">
        <v>0</v>
      </c>
      <c r="K180" s="77">
        <f>INT((J180*Valores!$C$2*100*1.006901)+0.5)/100</f>
        <v>0</v>
      </c>
      <c r="L180" s="120">
        <v>660</v>
      </c>
      <c r="M180" s="77">
        <f>INT((L180*Valores!$C$2*100*1.006901)+0.5)/100</f>
        <v>3473.49</v>
      </c>
      <c r="N180" s="77">
        <f t="shared" si="28"/>
        <v>1799.6079172875</v>
      </c>
      <c r="O180" s="77">
        <f t="shared" si="29"/>
        <v>0</v>
      </c>
      <c r="P180" s="61">
        <f>Valores!$C$20</f>
        <v>3087.7323995700003</v>
      </c>
      <c r="Q180" s="61">
        <f>Valores!$D$4</f>
        <v>2354.08</v>
      </c>
      <c r="R180" s="61">
        <f>Valores!$C$26</f>
        <v>2369.1575009200001</v>
      </c>
      <c r="S180" s="87">
        <f>Valores!$C$43</f>
        <v>1146.5480996900001</v>
      </c>
      <c r="T180" s="77">
        <f>Valores!$C$23</f>
        <v>2267.09801556</v>
      </c>
      <c r="U180" s="77">
        <f t="shared" si="30"/>
        <v>2267.09801556</v>
      </c>
      <c r="V180" s="77">
        <v>0</v>
      </c>
      <c r="W180" s="77">
        <v>0</v>
      </c>
      <c r="X180" s="116">
        <v>0</v>
      </c>
      <c r="Y180" s="77">
        <f>X180*Valores!$C$2*1.006901</f>
        <v>0</v>
      </c>
      <c r="Z180" s="77">
        <v>0</v>
      </c>
      <c r="AA180" s="89">
        <f>Valores!$C$29</f>
        <v>132.58872368000002</v>
      </c>
      <c r="AB180" s="77">
        <f t="shared" si="22"/>
        <v>0</v>
      </c>
      <c r="AC180" s="77">
        <f>Valores!$C$30</f>
        <v>132.59</v>
      </c>
      <c r="AD180" s="116">
        <v>0</v>
      </c>
      <c r="AE180" s="77">
        <f>AD180*Valores!$C$2*1.006901</f>
        <v>0</v>
      </c>
      <c r="AF180" s="77">
        <f>Valores!$C$51</f>
        <v>269.71857087000001</v>
      </c>
      <c r="AG180" s="77">
        <f>Valores!$C$52</f>
        <v>77.068202540000016</v>
      </c>
      <c r="AH180" s="77">
        <f>SUM(G180,I180,K180,M180,N180,O180,P180,Q180,R180,S180,U180,V180,W180,Y180,Z180,AA180,AB180,AC180,AE180,AF180,AG180)*Valores!$C$54</f>
        <v>0</v>
      </c>
      <c r="AI180" s="139">
        <f t="shared" si="26"/>
        <v>22219.929430117503</v>
      </c>
      <c r="AJ180" s="61">
        <f>Valores!$C$35</f>
        <v>216.04</v>
      </c>
      <c r="AK180" s="79">
        <f>Valores!$C$9</f>
        <v>308.25267214000002</v>
      </c>
      <c r="AL180" s="89">
        <v>226.04927450000002</v>
      </c>
      <c r="AM180" s="79">
        <f>IF($G$4="SI",SUM(AK180+AL180),AK180)*Valores!$C$54</f>
        <v>0</v>
      </c>
      <c r="AN180" s="12">
        <f t="shared" si="23"/>
        <v>750.34194664000006</v>
      </c>
      <c r="AO180" s="13">
        <f>AI180*-Valores!$C$56</f>
        <v>-2888.5908259152757</v>
      </c>
      <c r="AP180" s="13">
        <f>AI180*-Valores!$C$57</f>
        <v>-111.09964715058751</v>
      </c>
      <c r="AQ180" s="78">
        <f>AI180*-Valores!$C$58</f>
        <v>-999.89682435528766</v>
      </c>
      <c r="AR180" s="78">
        <f>AI180*-Valores!$C$59</f>
        <v>-599.93809461317267</v>
      </c>
      <c r="AS180" s="78">
        <f>AI180*-Valores!$C$60</f>
        <v>-66.659788290352509</v>
      </c>
      <c r="AT180" s="15">
        <f t="shared" si="24"/>
        <v>18970.684079336355</v>
      </c>
      <c r="AU180" s="15">
        <f t="shared" si="25"/>
        <v>19303.98302078812</v>
      </c>
      <c r="AV180" s="78">
        <f>AI180*Valores!$C$61</f>
        <v>3555.1887088188005</v>
      </c>
      <c r="AW180" s="78">
        <f>AI180*Valores!$C$62</f>
        <v>999.89682435528766</v>
      </c>
      <c r="AX180" s="78">
        <f>AI180*Valores!$C$64</f>
        <v>222.19929430117503</v>
      </c>
      <c r="AY180" s="78">
        <f>AI180*Valores!$C$65</f>
        <v>777.69753005411269</v>
      </c>
      <c r="AZ180" s="78">
        <f>AI180*Valores!$C$66</f>
        <v>133.31957658070502</v>
      </c>
      <c r="BA180" s="78">
        <f t="shared" si="27"/>
        <v>1199.8761892263453</v>
      </c>
      <c r="BB180" s="20"/>
      <c r="BC180" s="20">
        <v>18</v>
      </c>
      <c r="BD180" s="9" t="s">
        <v>467</v>
      </c>
    </row>
    <row r="181" spans="1:56" s="9" customFormat="1" ht="11.25" customHeight="1" x14ac:dyDescent="0.15">
      <c r="A181" s="55">
        <v>180</v>
      </c>
      <c r="B181" s="55" t="s">
        <v>462</v>
      </c>
      <c r="C181" s="52" t="s">
        <v>332</v>
      </c>
      <c r="D181" s="52"/>
      <c r="E181" s="53" t="s">
        <v>333</v>
      </c>
      <c r="F181" s="124">
        <v>213</v>
      </c>
      <c r="G181" s="7">
        <f>INT((F181*Valores!$C$2*100*1.006901)+0.5)/100</f>
        <v>1120.99</v>
      </c>
      <c r="H181" s="131">
        <f>1835</f>
        <v>1835</v>
      </c>
      <c r="I181" s="77">
        <f>INT((H181*Valores!$C$2*100*1.006901)+0.5)/100</f>
        <v>9657.3700000000008</v>
      </c>
      <c r="J181" s="146">
        <v>0</v>
      </c>
      <c r="K181" s="77">
        <f>INT((J181*Valores!$C$2*100*1.006901)+0.5)/100</f>
        <v>0</v>
      </c>
      <c r="L181" s="121">
        <v>1300</v>
      </c>
      <c r="M181" s="77">
        <f>INT((L181*Valores!$C$2*100*1.006901)+0.5)/100</f>
        <v>6841.73</v>
      </c>
      <c r="N181" s="80">
        <f t="shared" si="28"/>
        <v>3155.0604172875001</v>
      </c>
      <c r="O181" s="80">
        <f t="shared" si="29"/>
        <v>0</v>
      </c>
      <c r="P181" s="85">
        <f>Valores!$C$16</f>
        <v>3262.4095850500003</v>
      </c>
      <c r="Q181" s="85">
        <f>Valores!$D$4</f>
        <v>2354.08</v>
      </c>
      <c r="R181" s="85">
        <f>Valores!$C$26</f>
        <v>2369.1575009200001</v>
      </c>
      <c r="S181" s="88">
        <f>Valores!$C$43</f>
        <v>1146.5480996900001</v>
      </c>
      <c r="T181" s="80">
        <f>Valores!$C$23</f>
        <v>2267.09801556</v>
      </c>
      <c r="U181" s="80">
        <f t="shared" si="30"/>
        <v>2267.09801556</v>
      </c>
      <c r="V181" s="80">
        <v>0</v>
      </c>
      <c r="W181" s="80">
        <v>0</v>
      </c>
      <c r="X181" s="115">
        <v>0</v>
      </c>
      <c r="Y181" s="77">
        <f>X181*Valores!$C$2*1.006901</f>
        <v>0</v>
      </c>
      <c r="Z181" s="80">
        <v>0</v>
      </c>
      <c r="AA181" s="90">
        <f>Valores!$C$29</f>
        <v>132.58872368000002</v>
      </c>
      <c r="AB181" s="80">
        <f t="shared" si="22"/>
        <v>0</v>
      </c>
      <c r="AC181" s="80">
        <f>Valores!$C$30</f>
        <v>132.59</v>
      </c>
      <c r="AD181" s="115">
        <v>0</v>
      </c>
      <c r="AE181" s="77">
        <f>AD181*Valores!$C$2*1.006901</f>
        <v>0</v>
      </c>
      <c r="AF181" s="80">
        <f>Valores!$C$51</f>
        <v>269.71857087000001</v>
      </c>
      <c r="AG181" s="80">
        <f>Valores!$C$52</f>
        <v>77.068202540000016</v>
      </c>
      <c r="AH181" s="80">
        <f>SUM(G181,I181,K181,M181,N181,O181,P181,Q181,R181,S181,U181,V181,W181,Y181,Z181,AA181,AB181,AC181,AE181,AF181,AG181)*Valores!$C$54</f>
        <v>0</v>
      </c>
      <c r="AI181" s="140">
        <f t="shared" si="26"/>
        <v>32786.409115597504</v>
      </c>
      <c r="AJ181" s="85">
        <f>Valores!$C$35</f>
        <v>216.04</v>
      </c>
      <c r="AK181" s="82">
        <f>Valores!$C$9</f>
        <v>308.25267214000002</v>
      </c>
      <c r="AL181" s="90">
        <v>0</v>
      </c>
      <c r="AM181" s="82">
        <f>IF($G$4="SI",SUM(AK181+AL181),AK181)*Valores!$C$54</f>
        <v>0</v>
      </c>
      <c r="AN181" s="184">
        <f t="shared" si="23"/>
        <v>524.29267214000004</v>
      </c>
      <c r="AO181" s="153">
        <f>AI181*-Valores!$C$56</f>
        <v>-4262.233185027676</v>
      </c>
      <c r="AP181" s="153">
        <f>AI181*-Valores!$C$57</f>
        <v>-163.93204557798751</v>
      </c>
      <c r="AQ181" s="81">
        <f>AI181*-Valores!$C$58</f>
        <v>-1475.3884102018876</v>
      </c>
      <c r="AR181" s="81">
        <f>AI181*-Valores!$C$59</f>
        <v>-885.2330461211327</v>
      </c>
      <c r="AS181" s="81">
        <f>AI181*-Valores!$C$60</f>
        <v>-98.359227346792508</v>
      </c>
      <c r="AT181" s="54">
        <f t="shared" si="24"/>
        <v>27409.148146929951</v>
      </c>
      <c r="AU181" s="54">
        <f t="shared" si="25"/>
        <v>27900.944283663917</v>
      </c>
      <c r="AV181" s="81">
        <f>AI181*Valores!$C$61</f>
        <v>5245.8254584956003</v>
      </c>
      <c r="AW181" s="81">
        <f>AI181*Valores!$C$62</f>
        <v>1475.3884102018876</v>
      </c>
      <c r="AX181" s="81">
        <f>AI181*Valores!$C$64</f>
        <v>327.86409115597502</v>
      </c>
      <c r="AY181" s="81">
        <f>AI181*Valores!$C$65</f>
        <v>1147.5243190459128</v>
      </c>
      <c r="AZ181" s="81">
        <f>AI181*Valores!$C$66</f>
        <v>196.71845469358502</v>
      </c>
      <c r="BA181" s="81">
        <f t="shared" si="27"/>
        <v>1770.4660922422654</v>
      </c>
      <c r="BB181" s="55"/>
      <c r="BC181" s="55">
        <v>45</v>
      </c>
      <c r="BD181" s="52" t="s">
        <v>467</v>
      </c>
    </row>
    <row r="182" spans="1:56" s="9" customFormat="1" ht="11.25" customHeight="1" x14ac:dyDescent="0.15">
      <c r="A182" s="20">
        <v>181</v>
      </c>
      <c r="B182" s="20"/>
      <c r="C182" s="9" t="s">
        <v>334</v>
      </c>
      <c r="E182" s="10" t="s">
        <v>335</v>
      </c>
      <c r="F182" s="123">
        <v>185</v>
      </c>
      <c r="G182" s="7">
        <f>INT((F182*Valores!$C$2*100*1.006901)+0.5)/100</f>
        <v>973.63</v>
      </c>
      <c r="H182" s="132">
        <f>1835</f>
        <v>1835</v>
      </c>
      <c r="I182" s="77">
        <f>INT((H182*Valores!$C$2*100*1.006901)+0.5)/100</f>
        <v>9657.3700000000008</v>
      </c>
      <c r="J182" s="145">
        <v>0</v>
      </c>
      <c r="K182" s="77">
        <f>INT((J182*Valores!$C$2*100*1.006901)+0.5)/100</f>
        <v>0</v>
      </c>
      <c r="L182" s="120">
        <v>1300</v>
      </c>
      <c r="M182" s="77">
        <f>INT((L182*Valores!$C$2*100*1.006901)+0.5)/100</f>
        <v>6841.73</v>
      </c>
      <c r="N182" s="77">
        <f t="shared" si="28"/>
        <v>3132.9564172875002</v>
      </c>
      <c r="O182" s="77">
        <f t="shared" si="29"/>
        <v>0</v>
      </c>
      <c r="P182" s="61">
        <f>Valores!$C$16</f>
        <v>3262.4095850500003</v>
      </c>
      <c r="Q182" s="61">
        <f>Valores!$D$4</f>
        <v>2354.08</v>
      </c>
      <c r="R182" s="61">
        <f>Valores!$C$26</f>
        <v>2369.1575009200001</v>
      </c>
      <c r="S182" s="87">
        <f>Valores!$C$43</f>
        <v>1146.5480996900001</v>
      </c>
      <c r="T182" s="77">
        <f>Valores!$C$23</f>
        <v>2267.09801556</v>
      </c>
      <c r="U182" s="77">
        <f t="shared" si="30"/>
        <v>2267.09801556</v>
      </c>
      <c r="V182" s="77">
        <v>0</v>
      </c>
      <c r="W182" s="77">
        <v>0</v>
      </c>
      <c r="X182" s="116">
        <v>0</v>
      </c>
      <c r="Y182" s="77">
        <f>X182*Valores!$C$2*1.006901</f>
        <v>0</v>
      </c>
      <c r="Z182" s="77">
        <v>0</v>
      </c>
      <c r="AA182" s="89">
        <f>Valores!$C$29</f>
        <v>132.58872368000002</v>
      </c>
      <c r="AB182" s="77">
        <f t="shared" si="22"/>
        <v>0</v>
      </c>
      <c r="AC182" s="77">
        <f>Valores!$C$30</f>
        <v>132.59</v>
      </c>
      <c r="AD182" s="116">
        <v>0</v>
      </c>
      <c r="AE182" s="77">
        <f>AD182*Valores!$C$2*1.006901</f>
        <v>0</v>
      </c>
      <c r="AF182" s="77">
        <f>Valores!$C$51</f>
        <v>269.71857087000001</v>
      </c>
      <c r="AG182" s="77">
        <f>Valores!$C$52</f>
        <v>77.068202540000016</v>
      </c>
      <c r="AH182" s="77">
        <f>SUM(G182,I182,K182,M182,N182,O182,P182,Q182,R182,S182,U182,V182,W182,Y182,Z182,AA182,AB182,AC182,AE182,AF182,AG182)*Valores!$C$54</f>
        <v>0</v>
      </c>
      <c r="AI182" s="139">
        <f t="shared" si="26"/>
        <v>32616.945115597504</v>
      </c>
      <c r="AJ182" s="61">
        <f>Valores!$C$35</f>
        <v>216.04</v>
      </c>
      <c r="AK182" s="79">
        <f>Valores!$C$9</f>
        <v>308.25267214000002</v>
      </c>
      <c r="AL182" s="89">
        <v>0</v>
      </c>
      <c r="AM182" s="79">
        <f>IF($G$4="SI",SUM(AK182+AL182),AK182)*Valores!$C$54</f>
        <v>0</v>
      </c>
      <c r="AN182" s="12">
        <f t="shared" si="23"/>
        <v>524.29267214000004</v>
      </c>
      <c r="AO182" s="13">
        <f>AI182*-Valores!$C$56</f>
        <v>-4240.2028650276752</v>
      </c>
      <c r="AP182" s="13">
        <f>AI182*-Valores!$C$57</f>
        <v>-163.08472557798751</v>
      </c>
      <c r="AQ182" s="78">
        <f>AI182*-Valores!$C$58</f>
        <v>-1467.7625302018876</v>
      </c>
      <c r="AR182" s="78">
        <f>AI182*-Valores!$C$59</f>
        <v>-880.65751812113274</v>
      </c>
      <c r="AS182" s="78">
        <f>AI182*-Valores!$C$60</f>
        <v>-97.850835346792508</v>
      </c>
      <c r="AT182" s="15">
        <f t="shared" si="24"/>
        <v>27270.187666929953</v>
      </c>
      <c r="AU182" s="15">
        <f t="shared" si="25"/>
        <v>27759.441843663917</v>
      </c>
      <c r="AV182" s="78">
        <f>AI182*Valores!$C$61</f>
        <v>5218.7112184956004</v>
      </c>
      <c r="AW182" s="78">
        <f>AI182*Valores!$C$62</f>
        <v>1467.7625302018876</v>
      </c>
      <c r="AX182" s="78">
        <f>AI182*Valores!$C$64</f>
        <v>326.16945115597503</v>
      </c>
      <c r="AY182" s="78">
        <f>AI182*Valores!$C$65</f>
        <v>1141.5930790459126</v>
      </c>
      <c r="AZ182" s="78">
        <f>AI182*Valores!$C$66</f>
        <v>195.70167069358502</v>
      </c>
      <c r="BA182" s="78">
        <f t="shared" si="27"/>
        <v>1761.3150362422653</v>
      </c>
      <c r="BB182" s="20"/>
      <c r="BC182" s="20">
        <v>45</v>
      </c>
      <c r="BD182" s="9" t="s">
        <v>467</v>
      </c>
    </row>
    <row r="183" spans="1:56" s="9" customFormat="1" ht="11.25" customHeight="1" x14ac:dyDescent="0.15">
      <c r="A183" s="20">
        <v>182</v>
      </c>
      <c r="B183" s="20"/>
      <c r="C183" s="9" t="s">
        <v>336</v>
      </c>
      <c r="E183" s="10" t="s">
        <v>337</v>
      </c>
      <c r="F183" s="123">
        <v>160</v>
      </c>
      <c r="G183" s="7">
        <f>INT((F183*Valores!$C$2*100*1.006901)+0.5)/100</f>
        <v>842.06</v>
      </c>
      <c r="H183" s="132">
        <f>1484</f>
        <v>1484</v>
      </c>
      <c r="I183" s="77">
        <f>INT((H183*Valores!$C$2*100*1.006901)+0.5)/100</f>
        <v>7810.1</v>
      </c>
      <c r="J183" s="145">
        <v>0</v>
      </c>
      <c r="K183" s="77">
        <f>INT((J183*Valores!$C$2*100*1.006901)+0.5)/100</f>
        <v>0</v>
      </c>
      <c r="L183" s="120">
        <v>1300</v>
      </c>
      <c r="M183" s="77">
        <f>INT((L183*Valores!$C$2*100*1.006901)+0.5)/100</f>
        <v>6841.73</v>
      </c>
      <c r="N183" s="77">
        <f t="shared" si="28"/>
        <v>2836.1304172875002</v>
      </c>
      <c r="O183" s="77">
        <f t="shared" si="29"/>
        <v>0</v>
      </c>
      <c r="P183" s="61">
        <f>Valores!$C$16</f>
        <v>3262.4095850500003</v>
      </c>
      <c r="Q183" s="61">
        <f>Valores!$D$4</f>
        <v>2354.08</v>
      </c>
      <c r="R183" s="77">
        <f>Valores!$C$26</f>
        <v>2369.1575009200001</v>
      </c>
      <c r="S183" s="79">
        <f>Valores!$C$43</f>
        <v>1146.5480996900001</v>
      </c>
      <c r="T183" s="77">
        <f>Valores!$C$23</f>
        <v>2267.09801556</v>
      </c>
      <c r="U183" s="77">
        <f t="shared" si="30"/>
        <v>2267.09801556</v>
      </c>
      <c r="V183" s="77">
        <v>0</v>
      </c>
      <c r="W183" s="77">
        <v>0</v>
      </c>
      <c r="X183" s="116">
        <v>0</v>
      </c>
      <c r="Y183" s="77">
        <f>X183*Valores!$C$2*1.006901</f>
        <v>0</v>
      </c>
      <c r="Z183" s="77">
        <v>0</v>
      </c>
      <c r="AA183" s="89">
        <f>Valores!$C$29</f>
        <v>132.58872368000002</v>
      </c>
      <c r="AB183" s="77">
        <f t="shared" si="22"/>
        <v>0</v>
      </c>
      <c r="AC183" s="77">
        <f>Valores!$C$30</f>
        <v>132.59</v>
      </c>
      <c r="AD183" s="116">
        <v>0</v>
      </c>
      <c r="AE183" s="77">
        <f>AD183*Valores!$C$2*1.006901</f>
        <v>0</v>
      </c>
      <c r="AF183" s="77">
        <f>Valores!$C$51</f>
        <v>269.71857087000001</v>
      </c>
      <c r="AG183" s="77">
        <f>Valores!$C$52</f>
        <v>77.068202540000016</v>
      </c>
      <c r="AH183" s="77">
        <f>SUM(G183,I183,K183,M183,N183,O183,P183,Q183,R183,S183,U183,V183,W183,Y183,Z183,AA183,AB183,AC183,AE183,AF183,AG183)*Valores!$C$54</f>
        <v>0</v>
      </c>
      <c r="AI183" s="139">
        <f t="shared" si="26"/>
        <v>30341.279115597499</v>
      </c>
      <c r="AJ183" s="61">
        <f>Valores!$C$35</f>
        <v>216.04</v>
      </c>
      <c r="AK183" s="79">
        <f>Valores!$C$9</f>
        <v>308.25267214000002</v>
      </c>
      <c r="AL183" s="89">
        <v>226.04927450000002</v>
      </c>
      <c r="AM183" s="79">
        <f>IF($G$4="SI",SUM(AK183+AL183),AK183)*Valores!$C$54</f>
        <v>0</v>
      </c>
      <c r="AN183" s="12">
        <f t="shared" si="23"/>
        <v>750.34194664000006</v>
      </c>
      <c r="AO183" s="13">
        <f>AI183*-Valores!$C$56</f>
        <v>-3944.3662850276751</v>
      </c>
      <c r="AP183" s="13">
        <f>AI183*-Valores!$C$57</f>
        <v>-151.70639557798751</v>
      </c>
      <c r="AQ183" s="78">
        <f>AI183*-Valores!$C$58</f>
        <v>-1365.3575602018875</v>
      </c>
      <c r="AR183" s="78">
        <f>AI183*-Valores!$C$59</f>
        <v>-819.2145361211326</v>
      </c>
      <c r="AS183" s="78">
        <f>AI183*-Valores!$C$60</f>
        <v>-91.023837346792504</v>
      </c>
      <c r="AT183" s="15">
        <f t="shared" si="24"/>
        <v>25630.190821429951</v>
      </c>
      <c r="AU183" s="15">
        <f t="shared" si="25"/>
        <v>26085.310008163913</v>
      </c>
      <c r="AV183" s="78">
        <f>AI183*Valores!$C$61</f>
        <v>4854.6046584956002</v>
      </c>
      <c r="AW183" s="78">
        <f>AI183*Valores!$C$62</f>
        <v>1365.3575602018875</v>
      </c>
      <c r="AX183" s="78">
        <f>AI183*Valores!$C$64</f>
        <v>303.41279115597501</v>
      </c>
      <c r="AY183" s="78">
        <f>AI183*Valores!$C$65</f>
        <v>1061.9447690459126</v>
      </c>
      <c r="AZ183" s="78">
        <f>AI183*Valores!$C$66</f>
        <v>182.04767469358501</v>
      </c>
      <c r="BA183" s="78">
        <f t="shared" si="27"/>
        <v>1638.4290722422652</v>
      </c>
      <c r="BB183" s="20"/>
      <c r="BC183" s="20">
        <v>45</v>
      </c>
      <c r="BD183" s="9" t="s">
        <v>467</v>
      </c>
    </row>
    <row r="184" spans="1:56" s="9" customFormat="1" ht="11.25" customHeight="1" x14ac:dyDescent="0.15">
      <c r="A184" s="20">
        <v>183</v>
      </c>
      <c r="B184" s="20"/>
      <c r="C184" s="9" t="s">
        <v>338</v>
      </c>
      <c r="E184" s="10" t="s">
        <v>339</v>
      </c>
      <c r="F184" s="123">
        <v>1278</v>
      </c>
      <c r="G184" s="7">
        <f>INT((F184*Valores!$C$2*100*1.006901)+0.5)/100</f>
        <v>6725.95</v>
      </c>
      <c r="H184" s="132">
        <v>0</v>
      </c>
      <c r="I184" s="77">
        <f>INT((H184*Valores!$C$2*100*1.006901)+0.5)/100</f>
        <v>0</v>
      </c>
      <c r="J184" s="145">
        <v>0</v>
      </c>
      <c r="K184" s="77">
        <f>INT((J184*Valores!$C$2*100*1.006901)+0.5)/100</f>
        <v>0</v>
      </c>
      <c r="L184" s="120">
        <v>1200</v>
      </c>
      <c r="M184" s="77">
        <f>INT((L184*Valores!$C$2*100*1.006901)+0.5)/100</f>
        <v>6315.44</v>
      </c>
      <c r="N184" s="77">
        <f t="shared" si="28"/>
        <v>2468.2554172875002</v>
      </c>
      <c r="O184" s="77">
        <f t="shared" si="29"/>
        <v>0</v>
      </c>
      <c r="P184" s="61">
        <f>Valores!$C$20</f>
        <v>3087.7323995700003</v>
      </c>
      <c r="Q184" s="61">
        <f>Valores!$D$4</f>
        <v>2354.08</v>
      </c>
      <c r="R184" s="61">
        <f>Valores!$C$26</f>
        <v>2369.1575009200001</v>
      </c>
      <c r="S184" s="87">
        <f>Valores!$C$43</f>
        <v>1146.5480996900001</v>
      </c>
      <c r="T184" s="77">
        <f>Valores!$C$23</f>
        <v>2267.09801556</v>
      </c>
      <c r="U184" s="77">
        <f t="shared" si="30"/>
        <v>2267.09801556</v>
      </c>
      <c r="V184" s="77">
        <v>0</v>
      </c>
      <c r="W184" s="77">
        <v>0</v>
      </c>
      <c r="X184" s="116">
        <v>0</v>
      </c>
      <c r="Y184" s="77">
        <f>X184*Valores!$C$2*1.006901</f>
        <v>0</v>
      </c>
      <c r="Z184" s="77">
        <v>0</v>
      </c>
      <c r="AA184" s="89">
        <f>Valores!$C$29</f>
        <v>132.58872368000002</v>
      </c>
      <c r="AB184" s="77">
        <f t="shared" si="22"/>
        <v>0</v>
      </c>
      <c r="AC184" s="77">
        <f>Valores!$C$30</f>
        <v>132.59</v>
      </c>
      <c r="AD184" s="116">
        <v>0</v>
      </c>
      <c r="AE184" s="77">
        <f>AD184*Valores!$C$2*1.006901</f>
        <v>0</v>
      </c>
      <c r="AF184" s="77">
        <f>Valores!$C$51</f>
        <v>269.71857087000001</v>
      </c>
      <c r="AG184" s="77">
        <f>Valores!$C$52</f>
        <v>77.068202540000016</v>
      </c>
      <c r="AH184" s="77">
        <f>SUM(G184,I184,K184,M184,N184,O184,P184,Q184,R184,S184,U184,V184,W184,Y184,Z184,AA184,AB184,AC184,AE184,AF184,AG184)*Valores!$C$54</f>
        <v>0</v>
      </c>
      <c r="AI184" s="139">
        <f t="shared" si="26"/>
        <v>27346.226930117504</v>
      </c>
      <c r="AJ184" s="61">
        <f>Valores!$C$35</f>
        <v>216.04</v>
      </c>
      <c r="AK184" s="79">
        <f>Valores!$C$9</f>
        <v>308.25267214000002</v>
      </c>
      <c r="AL184" s="89">
        <v>226.04927450000002</v>
      </c>
      <c r="AM184" s="79">
        <f>IF($G$4="SI",SUM(AK184+AL184),AK184)*Valores!$C$54</f>
        <v>0</v>
      </c>
      <c r="AN184" s="12">
        <f t="shared" si="23"/>
        <v>750.34194664000006</v>
      </c>
      <c r="AO184" s="13">
        <f>AI184*-Valores!$C$56</f>
        <v>-3555.0095009152756</v>
      </c>
      <c r="AP184" s="13">
        <f>AI184*-Valores!$C$57</f>
        <v>-136.73113465058753</v>
      </c>
      <c r="AQ184" s="78">
        <f>AI184*-Valores!$C$58</f>
        <v>-1230.5802118552876</v>
      </c>
      <c r="AR184" s="78">
        <f>AI184*-Valores!$C$59</f>
        <v>-738.34812711317272</v>
      </c>
      <c r="AS184" s="78">
        <f>AI184*-Valores!$C$60</f>
        <v>-82.038680790352515</v>
      </c>
      <c r="AT184" s="15">
        <f t="shared" si="24"/>
        <v>23174.248029336351</v>
      </c>
      <c r="AU184" s="15">
        <f t="shared" si="25"/>
        <v>23584.441433288117</v>
      </c>
      <c r="AV184" s="78">
        <f>AI184*Valores!$C$61</f>
        <v>4375.3963088188011</v>
      </c>
      <c r="AW184" s="78">
        <f>AI184*Valores!$C$62</f>
        <v>1230.5802118552876</v>
      </c>
      <c r="AX184" s="78">
        <f>AI184*Valores!$C$64</f>
        <v>273.46226930117507</v>
      </c>
      <c r="AY184" s="78">
        <f>AI184*Valores!$C$65</f>
        <v>957.11794255411269</v>
      </c>
      <c r="AZ184" s="78">
        <f>AI184*Valores!$C$66</f>
        <v>164.07736158070503</v>
      </c>
      <c r="BA184" s="78">
        <f t="shared" si="27"/>
        <v>1476.6962542263454</v>
      </c>
      <c r="BB184" s="20"/>
      <c r="BC184" s="55"/>
      <c r="BD184" s="9" t="s">
        <v>467</v>
      </c>
    </row>
    <row r="185" spans="1:56" s="9" customFormat="1" ht="11.25" customHeight="1" x14ac:dyDescent="0.15">
      <c r="A185" s="20">
        <v>184</v>
      </c>
      <c r="B185" s="20"/>
      <c r="C185" s="9" t="s">
        <v>340</v>
      </c>
      <c r="E185" s="10" t="s">
        <v>341</v>
      </c>
      <c r="F185" s="123">
        <v>971</v>
      </c>
      <c r="G185" s="7">
        <f>INT((F185*Valores!$C$2*100*1.006901)+0.5)/100</f>
        <v>5110.25</v>
      </c>
      <c r="H185" s="132">
        <v>0</v>
      </c>
      <c r="I185" s="77">
        <f>INT((H185*Valores!$C$2*100*1.006901)+0.5)/100</f>
        <v>0</v>
      </c>
      <c r="J185" s="145">
        <v>0</v>
      </c>
      <c r="K185" s="77">
        <f>INT((J185*Valores!$C$2*100*1.006901)+0.5)/100</f>
        <v>0</v>
      </c>
      <c r="L185" s="120">
        <v>660</v>
      </c>
      <c r="M185" s="77">
        <f>INT((L185*Valores!$C$2*100*1.006901)+0.5)/100</f>
        <v>3473.49</v>
      </c>
      <c r="N185" s="77">
        <f t="shared" si="28"/>
        <v>1799.6079172875</v>
      </c>
      <c r="O185" s="77">
        <f t="shared" si="29"/>
        <v>0</v>
      </c>
      <c r="P185" s="61">
        <f>Valores!$C$20</f>
        <v>3087.7323995700003</v>
      </c>
      <c r="Q185" s="61">
        <f>Valores!$D$4</f>
        <v>2354.08</v>
      </c>
      <c r="R185" s="61">
        <f>Valores!$C$27</f>
        <v>2168.79427093</v>
      </c>
      <c r="S185" s="87">
        <f>Valores!$C$43</f>
        <v>1146.5480996900001</v>
      </c>
      <c r="T185" s="77">
        <f>Valores!$C$23</f>
        <v>2267.09801556</v>
      </c>
      <c r="U185" s="77">
        <f t="shared" si="30"/>
        <v>2267.09801556</v>
      </c>
      <c r="V185" s="77">
        <v>0</v>
      </c>
      <c r="W185" s="77">
        <v>0</v>
      </c>
      <c r="X185" s="116">
        <v>0</v>
      </c>
      <c r="Y185" s="77">
        <f>X185*Valores!$C$2*1.006901</f>
        <v>0</v>
      </c>
      <c r="Z185" s="77">
        <v>0</v>
      </c>
      <c r="AA185" s="89">
        <f>Valores!$C$29</f>
        <v>132.58872368000002</v>
      </c>
      <c r="AB185" s="77">
        <f t="shared" si="22"/>
        <v>0</v>
      </c>
      <c r="AC185" s="77">
        <f>Valores!$C$30</f>
        <v>132.59</v>
      </c>
      <c r="AD185" s="116">
        <v>0</v>
      </c>
      <c r="AE185" s="77">
        <f>AD185*Valores!$C$2*1.006901</f>
        <v>0</v>
      </c>
      <c r="AF185" s="77">
        <f>Valores!$C$51</f>
        <v>269.71857087000001</v>
      </c>
      <c r="AG185" s="77">
        <f>Valores!$C$52</f>
        <v>77.068202540000016</v>
      </c>
      <c r="AH185" s="77">
        <f>SUM(G185,I185,K185,M185,N185,O185,P185,Q185,R185,S185,U185,V185,W185,Y185,Z185,AA185,AB185,AC185,AE185,AF185,AG185)*Valores!$C$54</f>
        <v>0</v>
      </c>
      <c r="AI185" s="139">
        <f t="shared" si="26"/>
        <v>22019.566200127501</v>
      </c>
      <c r="AJ185" s="61">
        <f>Valores!$C$35</f>
        <v>216.04</v>
      </c>
      <c r="AK185" s="79">
        <f>Valores!$C$9</f>
        <v>308.25267214000002</v>
      </c>
      <c r="AL185" s="89">
        <v>225.13299459000001</v>
      </c>
      <c r="AM185" s="79">
        <f>IF($G$4="SI",SUM(AK185+AL185),AK185)*Valores!$C$54</f>
        <v>0</v>
      </c>
      <c r="AN185" s="12">
        <f t="shared" si="23"/>
        <v>749.4256667300001</v>
      </c>
      <c r="AO185" s="13">
        <f>AI185*-Valores!$C$56</f>
        <v>-2862.5436060165753</v>
      </c>
      <c r="AP185" s="13">
        <f>AI185*-Valores!$C$57</f>
        <v>-110.09783100063751</v>
      </c>
      <c r="AQ185" s="78">
        <f>AI185*-Valores!$C$58</f>
        <v>-990.88047900573747</v>
      </c>
      <c r="AR185" s="78">
        <f>AI185*-Valores!$C$59</f>
        <v>-594.52828740344262</v>
      </c>
      <c r="AS185" s="78">
        <f>AI185*-Valores!$C$60</f>
        <v>-66.058698600382499</v>
      </c>
      <c r="AT185" s="15">
        <f t="shared" si="24"/>
        <v>18805.469950834555</v>
      </c>
      <c r="AU185" s="15">
        <f t="shared" si="25"/>
        <v>19135.763443836466</v>
      </c>
      <c r="AV185" s="78">
        <f>AI185*Valores!$C$61</f>
        <v>3523.1305920204004</v>
      </c>
      <c r="AW185" s="78">
        <f>AI185*Valores!$C$62</f>
        <v>990.88047900573747</v>
      </c>
      <c r="AX185" s="78">
        <f>AI185*Valores!$C$64</f>
        <v>220.19566200127502</v>
      </c>
      <c r="AY185" s="78">
        <f>AI185*Valores!$C$65</f>
        <v>770.68481700446262</v>
      </c>
      <c r="AZ185" s="78">
        <f>AI185*Valores!$C$66</f>
        <v>132.117397200765</v>
      </c>
      <c r="BA185" s="78">
        <f t="shared" si="27"/>
        <v>1189.0565748068852</v>
      </c>
      <c r="BB185" s="20"/>
      <c r="BC185" s="20">
        <v>18</v>
      </c>
      <c r="BD185" s="9" t="s">
        <v>467</v>
      </c>
    </row>
    <row r="186" spans="1:56" s="9" customFormat="1" ht="11.25" customHeight="1" x14ac:dyDescent="0.15">
      <c r="A186" s="55">
        <v>185</v>
      </c>
      <c r="B186" s="55" t="s">
        <v>462</v>
      </c>
      <c r="C186" s="52" t="s">
        <v>342</v>
      </c>
      <c r="D186" s="52"/>
      <c r="E186" s="53" t="s">
        <v>343</v>
      </c>
      <c r="F186" s="124">
        <v>179</v>
      </c>
      <c r="G186" s="7">
        <f>INT((F186*Valores!$C$2*100*1.006901)+0.5)/100</f>
        <v>942.05</v>
      </c>
      <c r="H186" s="131">
        <f>1323</f>
        <v>1323</v>
      </c>
      <c r="I186" s="77">
        <f>INT((H186*Valores!$C$2*100*1.006901)+0.5)/100</f>
        <v>6962.78</v>
      </c>
      <c r="J186" s="146">
        <v>0</v>
      </c>
      <c r="K186" s="77">
        <f>INT((J186*Valores!$C$2*100*1.006901)+0.5)/100</f>
        <v>0</v>
      </c>
      <c r="L186" s="121">
        <v>1300</v>
      </c>
      <c r="M186" s="77">
        <f>INT((L186*Valores!$C$2*100*1.006901)+0.5)/100</f>
        <v>6841.73</v>
      </c>
      <c r="N186" s="80">
        <f t="shared" si="28"/>
        <v>2724.0309172875</v>
      </c>
      <c r="O186" s="80">
        <f t="shared" si="29"/>
        <v>0</v>
      </c>
      <c r="P186" s="85">
        <f>Valores!$C$16</f>
        <v>3262.4095850500003</v>
      </c>
      <c r="Q186" s="85">
        <f>Valores!$D$4</f>
        <v>2354.08</v>
      </c>
      <c r="R186" s="85">
        <f>Valores!$C$26</f>
        <v>2369.1575009200001</v>
      </c>
      <c r="S186" s="88">
        <f>Valores!$C$43</f>
        <v>1146.5480996900001</v>
      </c>
      <c r="T186" s="80">
        <f>Valores!$C$23</f>
        <v>2267.09801556</v>
      </c>
      <c r="U186" s="80">
        <f t="shared" si="30"/>
        <v>2267.09801556</v>
      </c>
      <c r="V186" s="80">
        <v>0</v>
      </c>
      <c r="W186" s="80">
        <v>0</v>
      </c>
      <c r="X186" s="115">
        <v>0</v>
      </c>
      <c r="Y186" s="77">
        <f>X186*Valores!$C$2*1.006901</f>
        <v>0</v>
      </c>
      <c r="Z186" s="80">
        <v>0</v>
      </c>
      <c r="AA186" s="90">
        <f>Valores!$C$29</f>
        <v>132.58872368000002</v>
      </c>
      <c r="AB186" s="80">
        <f t="shared" si="22"/>
        <v>0</v>
      </c>
      <c r="AC186" s="80">
        <f>Valores!$C$30</f>
        <v>132.59</v>
      </c>
      <c r="AD186" s="115">
        <v>0</v>
      </c>
      <c r="AE186" s="77">
        <f>AD186*Valores!$C$2*1.006901</f>
        <v>0</v>
      </c>
      <c r="AF186" s="80">
        <f>Valores!$C$51</f>
        <v>269.71857087000001</v>
      </c>
      <c r="AG186" s="80">
        <f>Valores!$C$52</f>
        <v>77.068202540000016</v>
      </c>
      <c r="AH186" s="80">
        <f>SUM(G186,I186,K186,M186,N186,O186,P186,Q186,R186,S186,U186,V186,W186,Y186,Z186,AA186,AB186,AC186,AE186,AF186,AG186)*Valores!$C$54</f>
        <v>0</v>
      </c>
      <c r="AI186" s="140">
        <f t="shared" si="26"/>
        <v>29481.849615597501</v>
      </c>
      <c r="AJ186" s="85">
        <f>Valores!$C$35</f>
        <v>216.04</v>
      </c>
      <c r="AK186" s="82">
        <f>Valores!$C$9</f>
        <v>308.25267214000002</v>
      </c>
      <c r="AL186" s="90">
        <v>0</v>
      </c>
      <c r="AM186" s="82">
        <f>IF($G$4="SI",SUM(AK186+AL186),AK186)*Valores!$C$54</f>
        <v>0</v>
      </c>
      <c r="AN186" s="184">
        <f t="shared" si="23"/>
        <v>524.29267214000004</v>
      </c>
      <c r="AO186" s="153">
        <f>AI186*-Valores!$C$56</f>
        <v>-3832.6404500276753</v>
      </c>
      <c r="AP186" s="153">
        <f>AI186*-Valores!$C$57</f>
        <v>-147.40924807798751</v>
      </c>
      <c r="AQ186" s="81">
        <f>AI186*-Valores!$C$58</f>
        <v>-1326.6832327018874</v>
      </c>
      <c r="AR186" s="81">
        <f>AI186*-Valores!$C$59</f>
        <v>-796.00993962113262</v>
      </c>
      <c r="AS186" s="81">
        <f>AI186*-Valores!$C$60</f>
        <v>-88.445548846792505</v>
      </c>
      <c r="AT186" s="54">
        <f t="shared" si="24"/>
        <v>24699.409356929951</v>
      </c>
      <c r="AU186" s="54">
        <f t="shared" si="25"/>
        <v>25141.637101163909</v>
      </c>
      <c r="AV186" s="81">
        <f>AI186*Valores!$C$61</f>
        <v>4717.0959384956004</v>
      </c>
      <c r="AW186" s="81">
        <f>AI186*Valores!$C$62</f>
        <v>1326.6832327018874</v>
      </c>
      <c r="AX186" s="81">
        <f>AI186*Valores!$C$64</f>
        <v>294.81849615597503</v>
      </c>
      <c r="AY186" s="81">
        <f>AI186*Valores!$C$65</f>
        <v>1031.8647365459126</v>
      </c>
      <c r="AZ186" s="81">
        <f>AI186*Valores!$C$66</f>
        <v>176.89109769358501</v>
      </c>
      <c r="BA186" s="81">
        <f t="shared" si="27"/>
        <v>1592.019879242265</v>
      </c>
      <c r="BB186" s="55"/>
      <c r="BC186" s="55">
        <v>45</v>
      </c>
      <c r="BD186" s="52" t="s">
        <v>467</v>
      </c>
    </row>
    <row r="187" spans="1:56" s="9" customFormat="1" ht="11.25" customHeight="1" x14ac:dyDescent="0.15">
      <c r="A187" s="20">
        <v>186</v>
      </c>
      <c r="B187" s="20"/>
      <c r="C187" s="9" t="s">
        <v>344</v>
      </c>
      <c r="E187" s="10" t="s">
        <v>345</v>
      </c>
      <c r="F187" s="123">
        <v>64</v>
      </c>
      <c r="G187" s="7">
        <f>INT((F187*Valores!$C$2*100*1.006901)+0.5)/100</f>
        <v>336.82</v>
      </c>
      <c r="H187" s="132">
        <v>1354</v>
      </c>
      <c r="I187" s="77">
        <f>INT((H187*Valores!$C$2*100*1.006901)+0.5)/100</f>
        <v>7125.93</v>
      </c>
      <c r="J187" s="145">
        <v>0</v>
      </c>
      <c r="K187" s="77">
        <f>INT((J187*Valores!$C$2*100*1.006901)+0.5)/100</f>
        <v>0</v>
      </c>
      <c r="L187" s="120">
        <v>1200</v>
      </c>
      <c r="M187" s="77">
        <f>INT((L187*Valores!$C$2*100*1.006901)+0.5)/100</f>
        <v>6315.44</v>
      </c>
      <c r="N187" s="77">
        <f t="shared" si="28"/>
        <v>2574.1507209944994</v>
      </c>
      <c r="O187" s="77">
        <f t="shared" si="29"/>
        <v>0</v>
      </c>
      <c r="P187" s="61">
        <f>Valores!$C$20</f>
        <v>3087.7323995700003</v>
      </c>
      <c r="Q187" s="61">
        <f>Valores!$D$4</f>
        <v>2354.08</v>
      </c>
      <c r="R187" s="77">
        <v>0</v>
      </c>
      <c r="S187" s="79">
        <f>Valores!$C$43</f>
        <v>1146.5480996900001</v>
      </c>
      <c r="T187" s="61">
        <f>Valores!$C$24</f>
        <v>2236.2667069399999</v>
      </c>
      <c r="U187" s="77">
        <f t="shared" si="30"/>
        <v>2236.2667069399999</v>
      </c>
      <c r="V187" s="77">
        <v>0</v>
      </c>
      <c r="W187" s="77">
        <v>0</v>
      </c>
      <c r="X187" s="116">
        <v>0</v>
      </c>
      <c r="Y187" s="77">
        <f>X187*Valores!$C$2*1.006901</f>
        <v>0</v>
      </c>
      <c r="Z187" s="77">
        <v>0</v>
      </c>
      <c r="AA187" s="89">
        <f>Valores!$C$29</f>
        <v>132.58872368000002</v>
      </c>
      <c r="AB187" s="77">
        <f t="shared" si="22"/>
        <v>0</v>
      </c>
      <c r="AC187" s="77">
        <f>Valores!$C$30</f>
        <v>132.59</v>
      </c>
      <c r="AD187" s="116">
        <v>0</v>
      </c>
      <c r="AE187" s="77">
        <f>AD187*Valores!$C$2*1.006901</f>
        <v>0</v>
      </c>
      <c r="AF187" s="77">
        <f>Valores!$C$51</f>
        <v>269.71857087000001</v>
      </c>
      <c r="AG187" s="77">
        <f>Valores!$C$52</f>
        <v>77.068202540000016</v>
      </c>
      <c r="AH187" s="77">
        <f>SUM(G187,I187,K187,M187,N187,O187,P187,Q187,R187,S187,U187,V187,W187,Y187,Z187,AA187,AB187,AC187,AE187,AF187,AG187)*Valores!$C$54</f>
        <v>0</v>
      </c>
      <c r="AI187" s="139">
        <f t="shared" si="26"/>
        <v>25788.933424284503</v>
      </c>
      <c r="AJ187" s="61">
        <f>Valores!$C$35</f>
        <v>216.04</v>
      </c>
      <c r="AK187" s="79">
        <f>Valores!$C$9</f>
        <v>308.25267214000002</v>
      </c>
      <c r="AL187" s="89">
        <v>0</v>
      </c>
      <c r="AM187" s="79">
        <f>IF($G$4="SI",SUM(AK187+AL187),AK187)*Valores!$C$54</f>
        <v>0</v>
      </c>
      <c r="AN187" s="12">
        <f t="shared" si="23"/>
        <v>524.29267214000004</v>
      </c>
      <c r="AO187" s="13">
        <f>AI187*-Valores!$C$56</f>
        <v>-3352.5613451569857</v>
      </c>
      <c r="AP187" s="13">
        <f>AI187*-Valores!$C$57</f>
        <v>-128.94466712142253</v>
      </c>
      <c r="AQ187" s="78">
        <f>AI187*-Valores!$C$58</f>
        <v>-1160.5020040928025</v>
      </c>
      <c r="AR187" s="78">
        <f>AI187*-Valores!$C$59</f>
        <v>-696.30120245568162</v>
      </c>
      <c r="AS187" s="78">
        <f>AI187*-Valores!$C$60</f>
        <v>-77.36680027285351</v>
      </c>
      <c r="AT187" s="15">
        <f t="shared" si="24"/>
        <v>21671.218080053295</v>
      </c>
      <c r="AU187" s="15">
        <f t="shared" si="25"/>
        <v>22058.052081417565</v>
      </c>
      <c r="AV187" s="78">
        <f>AI187*Valores!$C$61</f>
        <v>4126.2293478855208</v>
      </c>
      <c r="AW187" s="78">
        <f>AI187*Valores!$C$62</f>
        <v>1160.5020040928025</v>
      </c>
      <c r="AX187" s="78">
        <f>AI187*Valores!$C$64</f>
        <v>257.88933424284505</v>
      </c>
      <c r="AY187" s="78">
        <f>AI187*Valores!$C$65</f>
        <v>902.61266984995768</v>
      </c>
      <c r="AZ187" s="78">
        <f>AI187*Valores!$C$66</f>
        <v>154.73360054570702</v>
      </c>
      <c r="BA187" s="78">
        <f t="shared" si="27"/>
        <v>1392.6024049113632</v>
      </c>
      <c r="BB187" s="20"/>
      <c r="BC187" s="20">
        <v>30</v>
      </c>
      <c r="BD187" s="9" t="s">
        <v>466</v>
      </c>
    </row>
    <row r="188" spans="1:56" s="9" customFormat="1" ht="11.25" customHeight="1" x14ac:dyDescent="0.15">
      <c r="A188" s="20">
        <v>187</v>
      </c>
      <c r="B188" s="20"/>
      <c r="C188" s="9" t="s">
        <v>346</v>
      </c>
      <c r="E188" s="10" t="s">
        <v>347</v>
      </c>
      <c r="F188" s="123">
        <v>55</v>
      </c>
      <c r="G188" s="7">
        <f>INT((F188*Valores!$C$2*100*1.006901)+0.5)/100</f>
        <v>289.45999999999998</v>
      </c>
      <c r="H188" s="132">
        <v>1279</v>
      </c>
      <c r="I188" s="77">
        <f>INT((H188*Valores!$C$2*100*1.006901)+0.5)/100</f>
        <v>6731.21</v>
      </c>
      <c r="J188" s="145">
        <v>0</v>
      </c>
      <c r="K188" s="77">
        <f>INT((J188*Valores!$C$2*100*1.006901)+0.5)/100</f>
        <v>0</v>
      </c>
      <c r="L188" s="120">
        <v>1200</v>
      </c>
      <c r="M188" s="77">
        <f>INT((L188*Valores!$C$2*100*1.006901)+0.5)/100</f>
        <v>6315.44</v>
      </c>
      <c r="N188" s="77">
        <f t="shared" si="28"/>
        <v>2512.4634172875003</v>
      </c>
      <c r="O188" s="77">
        <f t="shared" si="29"/>
        <v>0</v>
      </c>
      <c r="P188" s="61">
        <f>Valores!$C$20</f>
        <v>3087.7323995700003</v>
      </c>
      <c r="Q188" s="61">
        <f>Valores!$D$4</f>
        <v>2354.08</v>
      </c>
      <c r="R188" s="77">
        <v>0</v>
      </c>
      <c r="S188" s="79">
        <f>Valores!$C$43</f>
        <v>1146.5480996900001</v>
      </c>
      <c r="T188" s="77">
        <f>Valores!$C$23</f>
        <v>2267.09801556</v>
      </c>
      <c r="U188" s="77">
        <f t="shared" si="30"/>
        <v>2267.09801556</v>
      </c>
      <c r="V188" s="77">
        <v>0</v>
      </c>
      <c r="W188" s="77">
        <v>0</v>
      </c>
      <c r="X188" s="116">
        <v>0</v>
      </c>
      <c r="Y188" s="77">
        <f>X188*Valores!$C$2*1.006901</f>
        <v>0</v>
      </c>
      <c r="Z188" s="77">
        <v>0</v>
      </c>
      <c r="AA188" s="89">
        <f>Valores!$C$29</f>
        <v>132.58872368000002</v>
      </c>
      <c r="AB188" s="77">
        <f t="shared" si="22"/>
        <v>0</v>
      </c>
      <c r="AC188" s="77">
        <f>Valores!$C$30</f>
        <v>132.59</v>
      </c>
      <c r="AD188" s="116">
        <v>0</v>
      </c>
      <c r="AE188" s="77">
        <f>AD188*Valores!$C$2*1.006901</f>
        <v>0</v>
      </c>
      <c r="AF188" s="77">
        <f>Valores!$C$51</f>
        <v>269.71857087000001</v>
      </c>
      <c r="AG188" s="77">
        <f>Valores!$C$52</f>
        <v>77.068202540000016</v>
      </c>
      <c r="AH188" s="77">
        <f>SUM(G188,I188,K188,M188,N188,O188,P188,Q188,R188,S188,U188,V188,W188,Y188,Z188,AA188,AB188,AC188,AE188,AF188,AG188)*Valores!$C$54</f>
        <v>0</v>
      </c>
      <c r="AI188" s="139">
        <f t="shared" si="26"/>
        <v>25315.997429197505</v>
      </c>
      <c r="AJ188" s="61">
        <f>Valores!$C$35</f>
        <v>216.04</v>
      </c>
      <c r="AK188" s="79">
        <f>Valores!$C$9</f>
        <v>308.25267214000002</v>
      </c>
      <c r="AL188" s="89">
        <v>0</v>
      </c>
      <c r="AM188" s="79">
        <f>IF($G$4="SI",SUM(AK188+AL188),AK188)*Valores!$C$54</f>
        <v>0</v>
      </c>
      <c r="AN188" s="12">
        <f t="shared" si="23"/>
        <v>524.29267214000004</v>
      </c>
      <c r="AO188" s="13">
        <f>AI188*-Valores!$C$56</f>
        <v>-3291.0796657956757</v>
      </c>
      <c r="AP188" s="13">
        <f>AI188*-Valores!$C$57</f>
        <v>-126.57998714598753</v>
      </c>
      <c r="AQ188" s="78">
        <f>AI188*-Valores!$C$58</f>
        <v>-1139.2198843138876</v>
      </c>
      <c r="AR188" s="78">
        <f>AI188*-Valores!$C$59</f>
        <v>-683.53193058833267</v>
      </c>
      <c r="AS188" s="78">
        <f>AI188*-Valores!$C$60</f>
        <v>-75.947992287592513</v>
      </c>
      <c r="AT188" s="15">
        <f t="shared" si="24"/>
        <v>21283.410564081958</v>
      </c>
      <c r="AU188" s="15">
        <f t="shared" si="25"/>
        <v>21663.150525519923</v>
      </c>
      <c r="AV188" s="78">
        <f>AI188*Valores!$C$61</f>
        <v>4050.559588671601</v>
      </c>
      <c r="AW188" s="78">
        <f>AI188*Valores!$C$62</f>
        <v>1139.2198843138876</v>
      </c>
      <c r="AX188" s="78">
        <f>AI188*Valores!$C$64</f>
        <v>253.15997429197506</v>
      </c>
      <c r="AY188" s="78">
        <f>AI188*Valores!$C$65</f>
        <v>886.05991002191274</v>
      </c>
      <c r="AZ188" s="78">
        <f>AI188*Valores!$C$66</f>
        <v>151.89598457518503</v>
      </c>
      <c r="BA188" s="78">
        <f t="shared" si="27"/>
        <v>1367.0638611766653</v>
      </c>
      <c r="BB188" s="20"/>
      <c r="BC188" s="20">
        <v>30</v>
      </c>
      <c r="BD188" s="9" t="s">
        <v>466</v>
      </c>
    </row>
    <row r="189" spans="1:56" s="9" customFormat="1" ht="11.25" customHeight="1" x14ac:dyDescent="0.15">
      <c r="A189" s="20">
        <v>188</v>
      </c>
      <c r="B189" s="20"/>
      <c r="C189" s="9" t="s">
        <v>348</v>
      </c>
      <c r="E189" s="10" t="s">
        <v>349</v>
      </c>
      <c r="F189" s="123">
        <v>1027</v>
      </c>
      <c r="G189" s="7">
        <f>INT((F189*Valores!$C$2*100*1.006901)+0.5)/100</f>
        <v>5404.97</v>
      </c>
      <c r="H189" s="132">
        <v>0</v>
      </c>
      <c r="I189" s="77">
        <f>INT((H189*Valores!$C$2*100*1.006901)+0.5)/100</f>
        <v>0</v>
      </c>
      <c r="J189" s="145">
        <v>0</v>
      </c>
      <c r="K189" s="77">
        <f>INT((J189*Valores!$C$2*100*1.006901)+0.5)/100</f>
        <v>0</v>
      </c>
      <c r="L189" s="120">
        <v>1200</v>
      </c>
      <c r="M189" s="77">
        <f>INT((L189*Valores!$C$2*100*1.006901)+0.5)/100</f>
        <v>6315.44</v>
      </c>
      <c r="N189" s="77">
        <f t="shared" si="28"/>
        <v>2265.4837209944999</v>
      </c>
      <c r="O189" s="77">
        <f t="shared" si="29"/>
        <v>0</v>
      </c>
      <c r="P189" s="61">
        <f>Valores!$C$20</f>
        <v>3087.7323995700003</v>
      </c>
      <c r="Q189" s="61">
        <f>Valores!$D$4</f>
        <v>2354.08</v>
      </c>
      <c r="R189" s="77">
        <v>0</v>
      </c>
      <c r="S189" s="79">
        <f>Valores!$C$43</f>
        <v>1146.5480996900001</v>
      </c>
      <c r="T189" s="61">
        <f>Valores!$C$24</f>
        <v>2236.2667069399999</v>
      </c>
      <c r="U189" s="77">
        <f t="shared" si="30"/>
        <v>2236.2667069399999</v>
      </c>
      <c r="V189" s="77">
        <v>0</v>
      </c>
      <c r="W189" s="77">
        <v>0</v>
      </c>
      <c r="X189" s="116">
        <v>0</v>
      </c>
      <c r="Y189" s="77">
        <f>X189*Valores!$C$2*1.006901</f>
        <v>0</v>
      </c>
      <c r="Z189" s="77">
        <v>0</v>
      </c>
      <c r="AA189" s="89">
        <f>Valores!$C$29</f>
        <v>132.58872368000002</v>
      </c>
      <c r="AB189" s="77">
        <f t="shared" si="22"/>
        <v>0</v>
      </c>
      <c r="AC189" s="77">
        <f>Valores!$C$30</f>
        <v>132.59</v>
      </c>
      <c r="AD189" s="116">
        <v>0</v>
      </c>
      <c r="AE189" s="77">
        <f>AD189*Valores!$C$2*1.006901</f>
        <v>0</v>
      </c>
      <c r="AF189" s="77">
        <f>Valores!$C$51</f>
        <v>269.71857087000001</v>
      </c>
      <c r="AG189" s="77">
        <f>Valores!$C$52</f>
        <v>77.068202540000016</v>
      </c>
      <c r="AH189" s="77">
        <f>SUM(G189,I189,K189,M189,N189,O189,P189,Q189,R189,S189,U189,V189,W189,Y189,Z189,AA189,AB189,AC189,AE189,AF189,AG189)*Valores!$C$54</f>
        <v>0</v>
      </c>
      <c r="AI189" s="139">
        <f t="shared" si="26"/>
        <v>23422.486424284503</v>
      </c>
      <c r="AJ189" s="61">
        <f>Valores!$C$35</f>
        <v>216.04</v>
      </c>
      <c r="AK189" s="79">
        <f>Valores!$C$9</f>
        <v>308.25267214000002</v>
      </c>
      <c r="AL189" s="89">
        <v>0</v>
      </c>
      <c r="AM189" s="79">
        <f>IF($G$4="SI",SUM(AK189+AL189),AK189)*Valores!$C$54</f>
        <v>0</v>
      </c>
      <c r="AN189" s="12">
        <f t="shared" si="23"/>
        <v>524.29267214000004</v>
      </c>
      <c r="AO189" s="13">
        <f>AI189*-Valores!$C$56</f>
        <v>-3044.9232351569854</v>
      </c>
      <c r="AP189" s="13">
        <f>AI189*-Valores!$C$57</f>
        <v>-117.11243212142251</v>
      </c>
      <c r="AQ189" s="78">
        <f>AI189*-Valores!$C$58</f>
        <v>-1054.0118890928027</v>
      </c>
      <c r="AR189" s="78">
        <f>AI189*-Valores!$C$59</f>
        <v>-632.40713345568167</v>
      </c>
      <c r="AS189" s="78">
        <f>AI189*-Valores!$C$60</f>
        <v>-70.267459272853515</v>
      </c>
      <c r="AT189" s="15">
        <f t="shared" si="24"/>
        <v>19730.731540053293</v>
      </c>
      <c r="AU189" s="15">
        <f t="shared" si="25"/>
        <v>20082.068836417558</v>
      </c>
      <c r="AV189" s="78">
        <f>AI189*Valores!$C$61</f>
        <v>3747.5978278855205</v>
      </c>
      <c r="AW189" s="78">
        <f>AI189*Valores!$C$62</f>
        <v>1054.0118890928027</v>
      </c>
      <c r="AX189" s="78">
        <f>AI189*Valores!$C$64</f>
        <v>234.22486424284503</v>
      </c>
      <c r="AY189" s="78">
        <f>AI189*Valores!$C$65</f>
        <v>819.78702484995767</v>
      </c>
      <c r="AZ189" s="78">
        <f>AI189*Valores!$C$66</f>
        <v>140.53491854570703</v>
      </c>
      <c r="BA189" s="78">
        <f t="shared" si="27"/>
        <v>1264.8142669113631</v>
      </c>
      <c r="BB189" s="20"/>
      <c r="BC189" s="55">
        <v>30</v>
      </c>
      <c r="BD189" s="9" t="s">
        <v>466</v>
      </c>
    </row>
    <row r="190" spans="1:56" s="9" customFormat="1" ht="11.25" customHeight="1" x14ac:dyDescent="0.15">
      <c r="A190" s="20">
        <v>189</v>
      </c>
      <c r="B190" s="20"/>
      <c r="C190" s="9" t="s">
        <v>350</v>
      </c>
      <c r="E190" s="10" t="s">
        <v>351</v>
      </c>
      <c r="F190" s="123">
        <v>1278</v>
      </c>
      <c r="G190" s="7">
        <f>INT((F190*Valores!$C$2*100*1.006901)+0.5)/100</f>
        <v>6725.95</v>
      </c>
      <c r="H190" s="132">
        <v>0</v>
      </c>
      <c r="I190" s="77">
        <f>INT((H190*Valores!$C$2*100*1.006901)+0.5)/100</f>
        <v>0</v>
      </c>
      <c r="J190" s="145">
        <v>0</v>
      </c>
      <c r="K190" s="77">
        <f>INT((J190*Valores!$C$2*100*1.006901)+0.5)/100</f>
        <v>0</v>
      </c>
      <c r="L190" s="120">
        <v>1200</v>
      </c>
      <c r="M190" s="77">
        <f>INT((L190*Valores!$C$2*100*1.006901)+0.5)/100</f>
        <v>6315.44</v>
      </c>
      <c r="N190" s="77">
        <f t="shared" si="28"/>
        <v>2468.2554172875002</v>
      </c>
      <c r="O190" s="77">
        <f t="shared" si="29"/>
        <v>0</v>
      </c>
      <c r="P190" s="61">
        <f>Valores!$C$20</f>
        <v>3087.7323995700003</v>
      </c>
      <c r="Q190" s="61">
        <f>Valores!$D$4</f>
        <v>2354.08</v>
      </c>
      <c r="R190" s="61">
        <f>Valores!$C$26</f>
        <v>2369.1575009200001</v>
      </c>
      <c r="S190" s="87">
        <f>Valores!$C$43</f>
        <v>1146.5480996900001</v>
      </c>
      <c r="T190" s="77">
        <f>Valores!$C$23</f>
        <v>2267.09801556</v>
      </c>
      <c r="U190" s="77">
        <f t="shared" si="30"/>
        <v>2267.09801556</v>
      </c>
      <c r="V190" s="77">
        <v>0</v>
      </c>
      <c r="W190" s="77">
        <v>0</v>
      </c>
      <c r="X190" s="116">
        <v>0</v>
      </c>
      <c r="Y190" s="77">
        <f>X190*Valores!$C$2*1.006901</f>
        <v>0</v>
      </c>
      <c r="Z190" s="77">
        <v>0</v>
      </c>
      <c r="AA190" s="89">
        <f>Valores!$C$29</f>
        <v>132.58872368000002</v>
      </c>
      <c r="AB190" s="77">
        <f t="shared" si="22"/>
        <v>0</v>
      </c>
      <c r="AC190" s="77">
        <f>Valores!$C$30</f>
        <v>132.59</v>
      </c>
      <c r="AD190" s="116">
        <v>0</v>
      </c>
      <c r="AE190" s="77">
        <f>AD190*Valores!$C$2*1.006901</f>
        <v>0</v>
      </c>
      <c r="AF190" s="77">
        <f>Valores!$C$51</f>
        <v>269.71857087000001</v>
      </c>
      <c r="AG190" s="77">
        <f>Valores!$C$52</f>
        <v>77.068202540000016</v>
      </c>
      <c r="AH190" s="77">
        <f>SUM(G190,I190,K190,M190,N190,O190,P190,Q190,R190,S190,U190,V190,W190,Y190,Z190,AA190,AB190,AC190,AE190,AF190,AG190)*Valores!$C$54</f>
        <v>0</v>
      </c>
      <c r="AI190" s="139">
        <f t="shared" si="26"/>
        <v>27346.226930117504</v>
      </c>
      <c r="AJ190" s="61">
        <f>Valores!$C$35</f>
        <v>216.04</v>
      </c>
      <c r="AK190" s="79">
        <f>Valores!$C$9</f>
        <v>308.25267214000002</v>
      </c>
      <c r="AL190" s="89">
        <v>226.04927450000002</v>
      </c>
      <c r="AM190" s="79">
        <f>IF($G$4="SI",SUM(AK190+AL190),AK190)*Valores!$C$54</f>
        <v>0</v>
      </c>
      <c r="AN190" s="12">
        <f t="shared" si="23"/>
        <v>750.34194664000006</v>
      </c>
      <c r="AO190" s="13">
        <f>AI190*-Valores!$C$56</f>
        <v>-3555.0095009152756</v>
      </c>
      <c r="AP190" s="13">
        <f>AI190*-Valores!$C$57</f>
        <v>-136.73113465058753</v>
      </c>
      <c r="AQ190" s="78">
        <f>AI190*-Valores!$C$58</f>
        <v>-1230.5802118552876</v>
      </c>
      <c r="AR190" s="78">
        <f>AI190*-Valores!$C$59</f>
        <v>-738.34812711317272</v>
      </c>
      <c r="AS190" s="78">
        <f>AI190*-Valores!$C$60</f>
        <v>-82.038680790352515</v>
      </c>
      <c r="AT190" s="15">
        <f t="shared" si="24"/>
        <v>23174.248029336351</v>
      </c>
      <c r="AU190" s="15">
        <f t="shared" si="25"/>
        <v>23584.441433288117</v>
      </c>
      <c r="AV190" s="78">
        <f>AI190*Valores!$C$61</f>
        <v>4375.3963088188011</v>
      </c>
      <c r="AW190" s="78">
        <f>AI190*Valores!$C$62</f>
        <v>1230.5802118552876</v>
      </c>
      <c r="AX190" s="78">
        <f>AI190*Valores!$C$64</f>
        <v>273.46226930117507</v>
      </c>
      <c r="AY190" s="78">
        <f>AI190*Valores!$C$65</f>
        <v>957.11794255411269</v>
      </c>
      <c r="AZ190" s="78">
        <f>AI190*Valores!$C$66</f>
        <v>164.07736158070503</v>
      </c>
      <c r="BA190" s="78">
        <f t="shared" si="27"/>
        <v>1476.6962542263454</v>
      </c>
      <c r="BB190" s="20"/>
      <c r="BC190" s="20">
        <v>36</v>
      </c>
      <c r="BD190" s="9" t="s">
        <v>467</v>
      </c>
    </row>
    <row r="191" spans="1:56" s="9" customFormat="1" ht="11.25" customHeight="1" x14ac:dyDescent="0.15">
      <c r="A191" s="55">
        <v>190</v>
      </c>
      <c r="B191" s="55" t="s">
        <v>462</v>
      </c>
      <c r="C191" s="52" t="s">
        <v>441</v>
      </c>
      <c r="D191" s="52"/>
      <c r="E191" s="53" t="s">
        <v>442</v>
      </c>
      <c r="F191" s="124">
        <v>1065</v>
      </c>
      <c r="G191" s="7">
        <f>INT((F191*Valores!$C$2*100*1.006901)+0.5)/100</f>
        <v>5604.96</v>
      </c>
      <c r="H191" s="131">
        <v>0</v>
      </c>
      <c r="I191" s="77">
        <f>INT((H191*Valores!$C$2*100*1.006901)+0.5)/100</f>
        <v>0</v>
      </c>
      <c r="J191" s="146">
        <v>0</v>
      </c>
      <c r="K191" s="77">
        <f>INT((J191*Valores!$C$2*100*1.006901)+0.5)/100</f>
        <v>0</v>
      </c>
      <c r="L191" s="121">
        <v>600</v>
      </c>
      <c r="M191" s="77">
        <f>INT((L191*Valores!$C$2*100*1.006901)+0.5)/100</f>
        <v>3157.72</v>
      </c>
      <c r="N191" s="80">
        <f t="shared" si="28"/>
        <v>1826.4489172875003</v>
      </c>
      <c r="O191" s="80">
        <f t="shared" si="29"/>
        <v>0</v>
      </c>
      <c r="P191" s="85">
        <f>Valores!$C$20</f>
        <v>3087.7323995700003</v>
      </c>
      <c r="Q191" s="85">
        <f>Valores!$D$4</f>
        <v>2354.08</v>
      </c>
      <c r="R191" s="80">
        <v>0</v>
      </c>
      <c r="S191" s="82">
        <f>Valores!$C$43</f>
        <v>1146.5480996900001</v>
      </c>
      <c r="T191" s="80">
        <f>Valores!$C$23</f>
        <v>2267.09801556</v>
      </c>
      <c r="U191" s="80">
        <f t="shared" si="30"/>
        <v>2267.09801556</v>
      </c>
      <c r="V191" s="80">
        <v>0</v>
      </c>
      <c r="W191" s="80">
        <v>0</v>
      </c>
      <c r="X191" s="115">
        <v>0</v>
      </c>
      <c r="Y191" s="77">
        <f>X191*Valores!$C$2*1.006901</f>
        <v>0</v>
      </c>
      <c r="Z191" s="80">
        <v>0</v>
      </c>
      <c r="AA191" s="90">
        <f>Valores!$C$29</f>
        <v>132.58872368000002</v>
      </c>
      <c r="AB191" s="80">
        <f t="shared" si="22"/>
        <v>0</v>
      </c>
      <c r="AC191" s="80">
        <f>Valores!$C$30</f>
        <v>132.59</v>
      </c>
      <c r="AD191" s="115">
        <v>0</v>
      </c>
      <c r="AE191" s="77">
        <f>AD191*Valores!$C$2*1.006901</f>
        <v>0</v>
      </c>
      <c r="AF191" s="80">
        <f>Valores!$C$51</f>
        <v>269.71857087000001</v>
      </c>
      <c r="AG191" s="80">
        <f>Valores!$C$52</f>
        <v>77.068202540000016</v>
      </c>
      <c r="AH191" s="80">
        <f>SUM(G191,I191,K191,M191,N191,O191,P191,Q191,R191,S191,U191,V191,W191,Y191,Z191,AA191,AB191,AC191,AE191,AF191,AG191)*Valores!$C$54</f>
        <v>0</v>
      </c>
      <c r="AI191" s="140">
        <f t="shared" si="26"/>
        <v>20056.552929197504</v>
      </c>
      <c r="AJ191" s="85">
        <f>Valores!$C$35</f>
        <v>216.04</v>
      </c>
      <c r="AK191" s="82">
        <f>Valores!$C$9</f>
        <v>308.25267214000002</v>
      </c>
      <c r="AL191" s="90">
        <v>226.04927450000002</v>
      </c>
      <c r="AM191" s="82">
        <f>IF($G$4="SI",SUM(AK191+AL191),AK191)*Valores!$C$54</f>
        <v>0</v>
      </c>
      <c r="AN191" s="184">
        <f t="shared" si="23"/>
        <v>750.34194664000006</v>
      </c>
      <c r="AO191" s="153">
        <f>AI191*-Valores!$C$56</f>
        <v>-2607.3518807956757</v>
      </c>
      <c r="AP191" s="153">
        <f>AI191*-Valores!$C$57</f>
        <v>-100.28276464598753</v>
      </c>
      <c r="AQ191" s="81">
        <f>AI191*-Valores!$C$58</f>
        <v>-902.54488181388763</v>
      </c>
      <c r="AR191" s="81">
        <f>AI191*-Valores!$C$59</f>
        <v>-541.52692908833262</v>
      </c>
      <c r="AS191" s="81">
        <f>AI191*-Valores!$C$60</f>
        <v>-60.16965878759251</v>
      </c>
      <c r="AT191" s="54">
        <f t="shared" si="24"/>
        <v>17196.715348581954</v>
      </c>
      <c r="AU191" s="54">
        <f t="shared" si="25"/>
        <v>17497.563642519915</v>
      </c>
      <c r="AV191" s="81">
        <f>AI191*Valores!$C$61</f>
        <v>3209.0484686716009</v>
      </c>
      <c r="AW191" s="81">
        <f>AI191*Valores!$C$62</f>
        <v>902.54488181388763</v>
      </c>
      <c r="AX191" s="81">
        <f>AI191*Valores!$C$64</f>
        <v>200.56552929197505</v>
      </c>
      <c r="AY191" s="81">
        <f>AI191*Valores!$C$65</f>
        <v>701.97935252191269</v>
      </c>
      <c r="AZ191" s="81">
        <f>AI191*Valores!$C$66</f>
        <v>120.33931757518502</v>
      </c>
      <c r="BA191" s="81">
        <f t="shared" si="27"/>
        <v>1083.0538581766652</v>
      </c>
      <c r="BB191" s="55"/>
      <c r="BC191" s="55"/>
      <c r="BD191" s="52" t="s">
        <v>467</v>
      </c>
    </row>
    <row r="192" spans="1:56" s="9" customFormat="1" ht="11.25" customHeight="1" x14ac:dyDescent="0.15">
      <c r="A192" s="20">
        <v>191</v>
      </c>
      <c r="B192" s="20"/>
      <c r="C192" s="9" t="s">
        <v>352</v>
      </c>
      <c r="E192" s="10" t="s">
        <v>353</v>
      </c>
      <c r="F192" s="123">
        <v>971</v>
      </c>
      <c r="G192" s="7">
        <f>INT((F192*Valores!$C$2*100*1.006901)+0.5)/100</f>
        <v>5110.25</v>
      </c>
      <c r="H192" s="132">
        <v>0</v>
      </c>
      <c r="I192" s="77">
        <f>INT((H192*Valores!$C$2*100*1.006901)+0.5)/100</f>
        <v>0</v>
      </c>
      <c r="J192" s="145">
        <v>0</v>
      </c>
      <c r="K192" s="77">
        <f>INT((J192*Valores!$C$2*100*1.006901)+0.5)/100</f>
        <v>0</v>
      </c>
      <c r="L192" s="120">
        <v>660</v>
      </c>
      <c r="M192" s="77">
        <f>INT((L192*Valores!$C$2*100*1.006901)+0.5)/100</f>
        <v>3473.49</v>
      </c>
      <c r="N192" s="77">
        <f t="shared" si="28"/>
        <v>1742.2810157534998</v>
      </c>
      <c r="O192" s="77">
        <f t="shared" si="29"/>
        <v>0</v>
      </c>
      <c r="P192" s="61">
        <f>Valores!$C$20</f>
        <v>3087.7323995700003</v>
      </c>
      <c r="Q192" s="61">
        <f>Valores!$D$4</f>
        <v>2354.08</v>
      </c>
      <c r="R192" s="61">
        <f>Valores!$C$27</f>
        <v>2168.79427093</v>
      </c>
      <c r="S192" s="87">
        <f>Valores!$C$42</f>
        <v>764.36875613000007</v>
      </c>
      <c r="T192" s="77">
        <f>Valores!$C$23</f>
        <v>2267.09801556</v>
      </c>
      <c r="U192" s="77">
        <f t="shared" si="30"/>
        <v>2267.09801556</v>
      </c>
      <c r="V192" s="77">
        <v>0</v>
      </c>
      <c r="W192" s="77">
        <v>0</v>
      </c>
      <c r="X192" s="116">
        <v>0</v>
      </c>
      <c r="Y192" s="77">
        <f>X192*Valores!$C$2*1.006901</f>
        <v>0</v>
      </c>
      <c r="Z192" s="77">
        <v>0</v>
      </c>
      <c r="AA192" s="89">
        <f>Valores!$C$29</f>
        <v>132.58872368000002</v>
      </c>
      <c r="AB192" s="77">
        <f t="shared" si="22"/>
        <v>0</v>
      </c>
      <c r="AC192" s="77">
        <f>Valores!$C$30</f>
        <v>132.59</v>
      </c>
      <c r="AD192" s="116">
        <v>0</v>
      </c>
      <c r="AE192" s="77">
        <f>AD192*Valores!$C$2*1.006901</f>
        <v>0</v>
      </c>
      <c r="AF192" s="77">
        <f>Valores!$C$51</f>
        <v>269.71857087000001</v>
      </c>
      <c r="AG192" s="77">
        <f>Valores!$C$52</f>
        <v>77.068202540000016</v>
      </c>
      <c r="AH192" s="77">
        <f>SUM(G192,I192,K192,M192,N192,O192,P192,Q192,R192,S192,U192,V192,W192,Y192,Z192,AA192,AB192,AC192,AE192,AF192,AG192)*Valores!$C$54</f>
        <v>0</v>
      </c>
      <c r="AI192" s="139">
        <f t="shared" si="26"/>
        <v>21580.059955033503</v>
      </c>
      <c r="AJ192" s="61">
        <f>Valores!$C$35</f>
        <v>216.04</v>
      </c>
      <c r="AK192" s="79">
        <f>Valores!$C$8</f>
        <v>205.50849410000001</v>
      </c>
      <c r="AL192" s="89">
        <v>0</v>
      </c>
      <c r="AM192" s="79">
        <f>IF($G$4="SI",SUM(AK192+AL192),AK192)*Valores!$C$54</f>
        <v>0</v>
      </c>
      <c r="AN192" s="12">
        <f t="shared" si="23"/>
        <v>421.54849409999997</v>
      </c>
      <c r="AO192" s="13">
        <f>AI192*-Valores!$C$56</f>
        <v>-2805.4077941543555</v>
      </c>
      <c r="AP192" s="13">
        <f>AI192*-Valores!$C$57</f>
        <v>-107.90029977516751</v>
      </c>
      <c r="AQ192" s="78">
        <f>AI192*-Valores!$C$58</f>
        <v>-971.10269797650756</v>
      </c>
      <c r="AR192" s="78">
        <f>AI192*-Valores!$C$59</f>
        <v>-582.66161878590469</v>
      </c>
      <c r="AS192" s="78">
        <f>AI192*-Valores!$C$60</f>
        <v>-64.740179865100515</v>
      </c>
      <c r="AT192" s="15">
        <f t="shared" si="24"/>
        <v>18117.197657227473</v>
      </c>
      <c r="AU192" s="15">
        <f t="shared" si="25"/>
        <v>18440.898556552977</v>
      </c>
      <c r="AV192" s="78">
        <f>AI192*Valores!$C$61</f>
        <v>3452.8095928053604</v>
      </c>
      <c r="AW192" s="78">
        <f>AI192*Valores!$C$62</f>
        <v>971.10269797650756</v>
      </c>
      <c r="AX192" s="78">
        <f>AI192*Valores!$C$64</f>
        <v>215.80059955033502</v>
      </c>
      <c r="AY192" s="78">
        <f>AI192*Valores!$C$65</f>
        <v>755.30209842617262</v>
      </c>
      <c r="AZ192" s="78">
        <f>AI192*Valores!$C$66</f>
        <v>129.48035973020103</v>
      </c>
      <c r="BA192" s="78">
        <f t="shared" si="27"/>
        <v>1165.3232375718094</v>
      </c>
      <c r="BB192" s="20"/>
      <c r="BC192" s="20">
        <v>18</v>
      </c>
      <c r="BD192" s="9" t="s">
        <v>467</v>
      </c>
    </row>
    <row r="193" spans="1:56" s="9" customFormat="1" ht="11.25" customHeight="1" x14ac:dyDescent="0.15">
      <c r="A193" s="20">
        <v>192</v>
      </c>
      <c r="B193" s="20"/>
      <c r="C193" s="9" t="s">
        <v>354</v>
      </c>
      <c r="D193" s="9">
        <v>1</v>
      </c>
      <c r="E193" s="10" t="str">
        <f t="shared" ref="E193:E228" si="31">CONCATENATE("Hora Cátedra Enseñanza Superior ",D193," hs")</f>
        <v>Hora Cátedra Enseñanza Superior 1 hs</v>
      </c>
      <c r="F193" s="123">
        <f t="shared" ref="F193:F228" si="32">99*D193</f>
        <v>99</v>
      </c>
      <c r="G193" s="7">
        <f>INT((F193*Valores!$C$2*100*1.006901)+0.5)/100</f>
        <v>521.02</v>
      </c>
      <c r="H193" s="132">
        <v>0</v>
      </c>
      <c r="I193" s="77">
        <f>INT((H193*Valores!$C$2*100*1.006901)+0.5)/100</f>
        <v>0</v>
      </c>
      <c r="J193" s="145">
        <v>0</v>
      </c>
      <c r="K193" s="77">
        <f>INT((J193*Valores!$C$2*100*1.006901)+0.5)/100</f>
        <v>0</v>
      </c>
      <c r="L193" s="120">
        <v>0</v>
      </c>
      <c r="M193" s="77">
        <f>INT((L193*Valores!$C$2*100*1.006901)+0.5)/100</f>
        <v>0</v>
      </c>
      <c r="N193" s="77">
        <f t="shared" si="28"/>
        <v>89.944252145999997</v>
      </c>
      <c r="O193" s="77">
        <f t="shared" si="29"/>
        <v>0</v>
      </c>
      <c r="P193" s="61">
        <f>Valores!$C$14*D193</f>
        <v>120.64687782</v>
      </c>
      <c r="Q193" s="61">
        <f>IF(D193&lt;15,(Valores!$E$4*D193),Valores!$D$4)</f>
        <v>156.94</v>
      </c>
      <c r="R193" s="77">
        <v>0</v>
      </c>
      <c r="S193" s="79">
        <f>Valores!$C$45*D193</f>
        <v>31.858347640000002</v>
      </c>
      <c r="T193" s="61">
        <f>Valores!$C$22*D193</f>
        <v>46.75</v>
      </c>
      <c r="U193" s="77">
        <f t="shared" si="30"/>
        <v>46.75</v>
      </c>
      <c r="V193" s="77">
        <v>0</v>
      </c>
      <c r="W193" s="77">
        <v>0</v>
      </c>
      <c r="X193" s="37">
        <v>0</v>
      </c>
      <c r="Y193" s="77">
        <f>X193*Valores!$C$2*1.006901</f>
        <v>0</v>
      </c>
      <c r="Z193" s="77">
        <v>0</v>
      </c>
      <c r="AA193" s="89">
        <f>(Valores!$C$32)*D193</f>
        <v>5.28</v>
      </c>
      <c r="AB193" s="77">
        <f t="shared" si="22"/>
        <v>0</v>
      </c>
      <c r="AC193" s="77">
        <f>Valores!$C$33*D193</f>
        <v>4.42</v>
      </c>
      <c r="AD193" s="116">
        <v>0</v>
      </c>
      <c r="AE193" s="77">
        <f>AD193*Valores!$C$2*1.006901</f>
        <v>0</v>
      </c>
      <c r="AF193" s="77">
        <f>Valores!$D$51*D193</f>
        <v>18.105326581838259</v>
      </c>
      <c r="AG193" s="77">
        <f>Valores!$D$52*D193</f>
        <v>5.1733366803819036</v>
      </c>
      <c r="AH193" s="77">
        <f>SUM(G193,I193,K193,M193,N193,O193,P193,Q193,R193,S193,U193,V193,W193,Y193,Z193,AA193,AB193,AC193,AE193,AF193,AG193)*Valores!$C$54</f>
        <v>0</v>
      </c>
      <c r="AI193" s="139">
        <f t="shared" si="26"/>
        <v>1000.1381408682201</v>
      </c>
      <c r="AJ193" s="61">
        <f>Valores!$C$36*D193</f>
        <v>14.402666666666667</v>
      </c>
      <c r="AK193" s="79">
        <f>Valores!$C$11*D193</f>
        <v>8.5687275100000004</v>
      </c>
      <c r="AL193" s="89">
        <v>9.4145243500000007</v>
      </c>
      <c r="AM193" s="79">
        <f>IF($G$4="SI",SUM(AK193+AL193),AK193)*Valores!$C$54</f>
        <v>0</v>
      </c>
      <c r="AN193" s="12">
        <f t="shared" si="23"/>
        <v>32.385918526666671</v>
      </c>
      <c r="AO193" s="13">
        <f>AI193*-Valores!$C$56</f>
        <v>-130.01795831286861</v>
      </c>
      <c r="AP193" s="13">
        <f>AI193*-Valores!$C$57</f>
        <v>-5.0006907043411006</v>
      </c>
      <c r="AQ193" s="78">
        <f>AI193*-Valores!$C$58</f>
        <v>-45.006216339069908</v>
      </c>
      <c r="AR193" s="78">
        <f>AI193*-Valores!$C$59</f>
        <v>-27.003729803441946</v>
      </c>
      <c r="AS193" s="78">
        <f>AI193*-Valores!$C$60</f>
        <v>-3.0004144226046603</v>
      </c>
      <c r="AT193" s="15">
        <f t="shared" si="24"/>
        <v>852.49919403860713</v>
      </c>
      <c r="AU193" s="15">
        <f t="shared" si="25"/>
        <v>867.50126615163038</v>
      </c>
      <c r="AV193" s="78">
        <f>AI193*Valores!$C$61</f>
        <v>160.02210253891522</v>
      </c>
      <c r="AW193" s="78">
        <f>AI193*Valores!$C$62</f>
        <v>45.006216339069908</v>
      </c>
      <c r="AX193" s="78">
        <f>AI193*Valores!$C$64</f>
        <v>10.001381408682201</v>
      </c>
      <c r="AY193" s="78">
        <f>AI193*Valores!$C$65</f>
        <v>35.004834930387709</v>
      </c>
      <c r="AZ193" s="78">
        <f>AI193*Valores!$C$66</f>
        <v>6.0008288452093206</v>
      </c>
      <c r="BA193" s="78">
        <f t="shared" si="27"/>
        <v>54.007459606883891</v>
      </c>
      <c r="BB193" s="20"/>
      <c r="BC193" s="20">
        <f t="shared" ref="BC193:BC224" si="33">4*D193</f>
        <v>4</v>
      </c>
      <c r="BD193" s="9" t="s">
        <v>467</v>
      </c>
    </row>
    <row r="194" spans="1:56" s="9" customFormat="1" ht="11.25" customHeight="1" x14ac:dyDescent="0.15">
      <c r="A194" s="20">
        <v>193</v>
      </c>
      <c r="B194" s="20"/>
      <c r="C194" s="9" t="s">
        <v>354</v>
      </c>
      <c r="D194" s="9">
        <v>2</v>
      </c>
      <c r="E194" s="10" t="str">
        <f t="shared" si="31"/>
        <v>Hora Cátedra Enseñanza Superior 2 hs</v>
      </c>
      <c r="F194" s="123">
        <f t="shared" si="32"/>
        <v>198</v>
      </c>
      <c r="G194" s="7">
        <f>INT((F194*Valores!$C$2*100*1.006901)+0.5)/100</f>
        <v>1042.05</v>
      </c>
      <c r="H194" s="132">
        <v>0</v>
      </c>
      <c r="I194" s="77">
        <f>INT((H194*Valores!$C$2*100*1.006901)+0.5)/100</f>
        <v>0</v>
      </c>
      <c r="J194" s="145">
        <v>0</v>
      </c>
      <c r="K194" s="77">
        <f>INT((J194*Valores!$C$2*100*1.006901)+0.5)/100</f>
        <v>0</v>
      </c>
      <c r="L194" s="120">
        <v>0</v>
      </c>
      <c r="M194" s="77">
        <f>INT((L194*Valores!$C$2*100*1.006901)+0.5)/100</f>
        <v>0</v>
      </c>
      <c r="N194" s="77">
        <f t="shared" si="28"/>
        <v>179.89000429199999</v>
      </c>
      <c r="O194" s="77">
        <f t="shared" si="29"/>
        <v>0</v>
      </c>
      <c r="P194" s="61">
        <f>Valores!$C$14*D194</f>
        <v>241.29375564</v>
      </c>
      <c r="Q194" s="61">
        <f>IF(D194&lt;15,(Valores!$E$4*D194),Valores!$D$4)</f>
        <v>313.88</v>
      </c>
      <c r="R194" s="77">
        <v>0</v>
      </c>
      <c r="S194" s="79">
        <f>Valores!$C$45*D194</f>
        <v>63.716695280000003</v>
      </c>
      <c r="T194" s="61">
        <f>Valores!$C$22*D194</f>
        <v>93.5</v>
      </c>
      <c r="U194" s="77">
        <f t="shared" si="30"/>
        <v>93.5</v>
      </c>
      <c r="V194" s="77">
        <v>0</v>
      </c>
      <c r="W194" s="77">
        <v>0</v>
      </c>
      <c r="X194" s="37">
        <v>0</v>
      </c>
      <c r="Y194" s="77">
        <f>X194*Valores!$C$2*1.006901</f>
        <v>0</v>
      </c>
      <c r="Z194" s="77">
        <v>0</v>
      </c>
      <c r="AA194" s="89">
        <f>(Valores!$C$32)*D194</f>
        <v>10.56</v>
      </c>
      <c r="AB194" s="77">
        <f t="shared" si="22"/>
        <v>0</v>
      </c>
      <c r="AC194" s="77">
        <f>Valores!$C$33*D194</f>
        <v>8.84</v>
      </c>
      <c r="AD194" s="116">
        <v>0</v>
      </c>
      <c r="AE194" s="77">
        <f>AD194*Valores!$C$2*1.006901</f>
        <v>0</v>
      </c>
      <c r="AF194" s="77">
        <f>Valores!$D$51*D194</f>
        <v>36.210653163676518</v>
      </c>
      <c r="AG194" s="77">
        <f>Valores!$D$52*D194</f>
        <v>10.346673360763807</v>
      </c>
      <c r="AH194" s="77">
        <f>SUM(G194,I194,K194,M194,N194,O194,P194,Q194,R194,S194,U194,V194,W194,Y194,Z194,AA194,AB194,AC194,AE194,AF194,AG194)*Valores!$C$54</f>
        <v>0</v>
      </c>
      <c r="AI194" s="139">
        <f t="shared" si="26"/>
        <v>2000.2877817364404</v>
      </c>
      <c r="AJ194" s="61">
        <f>Valores!$C$36*D194</f>
        <v>28.805333333333333</v>
      </c>
      <c r="AK194" s="79">
        <f>Valores!$C$11*D194</f>
        <v>17.137455020000001</v>
      </c>
      <c r="AL194" s="89">
        <v>18.83911771</v>
      </c>
      <c r="AM194" s="79">
        <f>IF($G$4="SI",SUM(AK194+AL194),AK194)*Valores!$C$54</f>
        <v>0</v>
      </c>
      <c r="AN194" s="12">
        <f t="shared" si="23"/>
        <v>64.781906063333338</v>
      </c>
      <c r="AO194" s="13">
        <f>AI194*-Valores!$C$56</f>
        <v>-260.03741162573726</v>
      </c>
      <c r="AP194" s="13">
        <f>AI194*-Valores!$C$57</f>
        <v>-10.001438908682202</v>
      </c>
      <c r="AQ194" s="78">
        <f>AI194*-Valores!$C$58</f>
        <v>-90.012950178139818</v>
      </c>
      <c r="AR194" s="78">
        <f>AI194*-Valores!$C$59</f>
        <v>-54.007770106883896</v>
      </c>
      <c r="AS194" s="78">
        <f>AI194*-Valores!$C$60</f>
        <v>-6.0008633452093214</v>
      </c>
      <c r="AT194" s="15">
        <f t="shared" si="24"/>
        <v>1705.0178870872146</v>
      </c>
      <c r="AU194" s="15">
        <f t="shared" si="25"/>
        <v>1735.0222038132611</v>
      </c>
      <c r="AV194" s="78">
        <f>AI194*Valores!$C$61</f>
        <v>320.04604507783046</v>
      </c>
      <c r="AW194" s="78">
        <f>AI194*Valores!$C$62</f>
        <v>90.012950178139818</v>
      </c>
      <c r="AX194" s="78">
        <f>AI194*Valores!$C$64</f>
        <v>20.002877817364404</v>
      </c>
      <c r="AY194" s="78">
        <f>AI194*Valores!$C$65</f>
        <v>70.010072360775425</v>
      </c>
      <c r="AZ194" s="78">
        <f>AI194*Valores!$C$66</f>
        <v>12.001726690418643</v>
      </c>
      <c r="BA194" s="78">
        <f t="shared" si="27"/>
        <v>108.01554021376778</v>
      </c>
      <c r="BB194" s="20"/>
      <c r="BC194" s="55">
        <f t="shared" si="33"/>
        <v>8</v>
      </c>
      <c r="BD194" s="9" t="s">
        <v>467</v>
      </c>
    </row>
    <row r="195" spans="1:56" s="9" customFormat="1" ht="11.25" customHeight="1" x14ac:dyDescent="0.15">
      <c r="A195" s="20">
        <v>194</v>
      </c>
      <c r="B195" s="20"/>
      <c r="C195" s="9" t="s">
        <v>354</v>
      </c>
      <c r="D195" s="9">
        <v>3</v>
      </c>
      <c r="E195" s="10" t="str">
        <f t="shared" si="31"/>
        <v>Hora Cátedra Enseñanza Superior 3 hs</v>
      </c>
      <c r="F195" s="123">
        <f t="shared" si="32"/>
        <v>297</v>
      </c>
      <c r="G195" s="7">
        <f>INT((F195*Valores!$C$2*100*1.006901)+0.5)/100</f>
        <v>1563.07</v>
      </c>
      <c r="H195" s="132">
        <v>0</v>
      </c>
      <c r="I195" s="77">
        <f>INT((H195*Valores!$C$2*100*1.006901)+0.5)/100</f>
        <v>0</v>
      </c>
      <c r="J195" s="145">
        <v>0</v>
      </c>
      <c r="K195" s="77">
        <f>INT((J195*Valores!$C$2*100*1.006901)+0.5)/100</f>
        <v>0</v>
      </c>
      <c r="L195" s="120">
        <v>0</v>
      </c>
      <c r="M195" s="77">
        <f>INT((L195*Valores!$C$2*100*1.006901)+0.5)/100</f>
        <v>0</v>
      </c>
      <c r="N195" s="77">
        <f t="shared" si="28"/>
        <v>269.83425643799995</v>
      </c>
      <c r="O195" s="77">
        <f t="shared" si="29"/>
        <v>0</v>
      </c>
      <c r="P195" s="61">
        <f>Valores!$C$14*D195</f>
        <v>361.94063346000002</v>
      </c>
      <c r="Q195" s="61">
        <f>IF(D195&lt;15,(Valores!$E$4*D195),Valores!$D$4)</f>
        <v>470.82</v>
      </c>
      <c r="R195" s="77">
        <v>0</v>
      </c>
      <c r="S195" s="79">
        <f>Valores!$C$45*D195</f>
        <v>95.575042920000001</v>
      </c>
      <c r="T195" s="61">
        <f>Valores!$C$22*D195</f>
        <v>140.25</v>
      </c>
      <c r="U195" s="77">
        <f t="shared" si="30"/>
        <v>140.25</v>
      </c>
      <c r="V195" s="77">
        <v>0</v>
      </c>
      <c r="W195" s="77">
        <v>0</v>
      </c>
      <c r="X195" s="37">
        <v>0</v>
      </c>
      <c r="Y195" s="77">
        <f>X195*Valores!$C$2*1.006901</f>
        <v>0</v>
      </c>
      <c r="Z195" s="77">
        <v>0</v>
      </c>
      <c r="AA195" s="89">
        <f>(Valores!$C$32)*D195</f>
        <v>15.84</v>
      </c>
      <c r="AB195" s="77">
        <f t="shared" si="22"/>
        <v>0</v>
      </c>
      <c r="AC195" s="77">
        <f>Valores!$C$33*D195</f>
        <v>13.26</v>
      </c>
      <c r="AD195" s="116">
        <v>0</v>
      </c>
      <c r="AE195" s="77">
        <f>AD195*Valores!$C$2*1.006901</f>
        <v>0</v>
      </c>
      <c r="AF195" s="77">
        <f>Valores!$D$51*D195</f>
        <v>54.315979745514781</v>
      </c>
      <c r="AG195" s="77">
        <f>Valores!$D$52*D195</f>
        <v>15.52001004114571</v>
      </c>
      <c r="AH195" s="77">
        <f>SUM(G195,I195,K195,M195,N195,O195,P195,Q195,R195,S195,U195,V195,W195,Y195,Z195,AA195,AB195,AC195,AE195,AF195,AG195)*Valores!$C$54</f>
        <v>0</v>
      </c>
      <c r="AI195" s="139">
        <f t="shared" si="26"/>
        <v>3000.4259226046611</v>
      </c>
      <c r="AJ195" s="61">
        <f>Valores!$C$36*D195</f>
        <v>43.207999999999998</v>
      </c>
      <c r="AK195" s="79">
        <f>Valores!$C$11*D195</f>
        <v>25.70618253</v>
      </c>
      <c r="AL195" s="89">
        <v>28.2571662135</v>
      </c>
      <c r="AM195" s="79">
        <f>IF($G$4="SI",SUM(AK195+AL195),AK195)*Valores!$C$54</f>
        <v>0</v>
      </c>
      <c r="AN195" s="12">
        <f t="shared" si="23"/>
        <v>97.171348743500005</v>
      </c>
      <c r="AO195" s="13">
        <f>AI195*-Valores!$C$56</f>
        <v>-390.05536993860596</v>
      </c>
      <c r="AP195" s="13">
        <f>AI195*-Valores!$C$57</f>
        <v>-15.002129613023305</v>
      </c>
      <c r="AQ195" s="78">
        <f>AI195*-Valores!$C$58</f>
        <v>-135.01916651720975</v>
      </c>
      <c r="AR195" s="78">
        <f>AI195*-Valores!$C$59</f>
        <v>-81.011499910325853</v>
      </c>
      <c r="AS195" s="78">
        <f>AI195*-Valores!$C$60</f>
        <v>-9.001277767813983</v>
      </c>
      <c r="AT195" s="15">
        <f t="shared" si="24"/>
        <v>2557.5206052793219</v>
      </c>
      <c r="AU195" s="15">
        <f t="shared" si="25"/>
        <v>2602.5269941183919</v>
      </c>
      <c r="AV195" s="78">
        <f>AI195*Valores!$C$61</f>
        <v>480.06814761674576</v>
      </c>
      <c r="AW195" s="78">
        <f>AI195*Valores!$C$62</f>
        <v>135.01916651720975</v>
      </c>
      <c r="AX195" s="78">
        <f>AI195*Valores!$C$64</f>
        <v>30.00425922604661</v>
      </c>
      <c r="AY195" s="78">
        <f>AI195*Valores!$C$65</f>
        <v>105.01490729116315</v>
      </c>
      <c r="AZ195" s="78">
        <f>AI195*Valores!$C$66</f>
        <v>18.002555535627966</v>
      </c>
      <c r="BA195" s="78">
        <f t="shared" si="27"/>
        <v>162.02299982065171</v>
      </c>
      <c r="BB195" s="20"/>
      <c r="BC195" s="20">
        <f t="shared" si="33"/>
        <v>12</v>
      </c>
      <c r="BD195" s="9" t="s">
        <v>467</v>
      </c>
    </row>
    <row r="196" spans="1:56" s="9" customFormat="1" ht="11.25" customHeight="1" x14ac:dyDescent="0.15">
      <c r="A196" s="55">
        <v>195</v>
      </c>
      <c r="B196" s="55" t="s">
        <v>462</v>
      </c>
      <c r="C196" s="52" t="s">
        <v>354</v>
      </c>
      <c r="D196" s="52">
        <v>4</v>
      </c>
      <c r="E196" s="53" t="str">
        <f t="shared" si="31"/>
        <v>Hora Cátedra Enseñanza Superior 4 hs</v>
      </c>
      <c r="F196" s="124">
        <f t="shared" si="32"/>
        <v>396</v>
      </c>
      <c r="G196" s="7">
        <f>INT((F196*Valores!$C$2*100*1.006901)+0.5)/100</f>
        <v>2084.1</v>
      </c>
      <c r="H196" s="131">
        <v>0</v>
      </c>
      <c r="I196" s="77">
        <f>INT((H196*Valores!$C$2*100*1.006901)+0.5)/100</f>
        <v>0</v>
      </c>
      <c r="J196" s="146">
        <v>0</v>
      </c>
      <c r="K196" s="77">
        <f>INT((J196*Valores!$C$2*100*1.006901)+0.5)/100</f>
        <v>0</v>
      </c>
      <c r="L196" s="121">
        <v>0</v>
      </c>
      <c r="M196" s="77">
        <f>INT((L196*Valores!$C$2*100*1.006901)+0.5)/100</f>
        <v>0</v>
      </c>
      <c r="N196" s="80">
        <f t="shared" si="28"/>
        <v>359.78000858399997</v>
      </c>
      <c r="O196" s="80">
        <f t="shared" si="29"/>
        <v>0</v>
      </c>
      <c r="P196" s="85">
        <f>Valores!$C$14*D196</f>
        <v>482.58751128</v>
      </c>
      <c r="Q196" s="85">
        <f>IF(D196&lt;15,(Valores!$E$4*D196),Valores!$D$4)</f>
        <v>627.76</v>
      </c>
      <c r="R196" s="80">
        <v>0</v>
      </c>
      <c r="S196" s="82">
        <f>Valores!$C$45*D196</f>
        <v>127.43339056000001</v>
      </c>
      <c r="T196" s="85">
        <f>Valores!$C$22*D196</f>
        <v>187</v>
      </c>
      <c r="U196" s="80">
        <f t="shared" si="30"/>
        <v>187</v>
      </c>
      <c r="V196" s="80">
        <v>0</v>
      </c>
      <c r="W196" s="80">
        <v>0</v>
      </c>
      <c r="X196" s="60">
        <v>0</v>
      </c>
      <c r="Y196" s="77">
        <f>X196*Valores!$C$2*1.006901</f>
        <v>0</v>
      </c>
      <c r="Z196" s="80">
        <v>0</v>
      </c>
      <c r="AA196" s="90">
        <f>(Valores!$C$32)*D196</f>
        <v>21.12</v>
      </c>
      <c r="AB196" s="80">
        <f t="shared" si="22"/>
        <v>0</v>
      </c>
      <c r="AC196" s="80">
        <f>Valores!$C$33*D196</f>
        <v>17.68</v>
      </c>
      <c r="AD196" s="115">
        <v>0</v>
      </c>
      <c r="AE196" s="77">
        <f>AD196*Valores!$C$2*1.006901</f>
        <v>0</v>
      </c>
      <c r="AF196" s="80">
        <f>Valores!$D$51*D196</f>
        <v>72.421306327353037</v>
      </c>
      <c r="AG196" s="80">
        <f>Valores!$D$52*D196</f>
        <v>20.693346721527615</v>
      </c>
      <c r="AH196" s="80">
        <f>SUM(G196,I196,K196,M196,N196,O196,P196,Q196,R196,S196,U196,V196,W196,Y196,Z196,AA196,AB196,AC196,AE196,AF196,AG196)*Valores!$C$54</f>
        <v>0</v>
      </c>
      <c r="AI196" s="140">
        <f t="shared" si="26"/>
        <v>4000.5755634728807</v>
      </c>
      <c r="AJ196" s="85">
        <f>Valores!$C$36*D196</f>
        <v>57.610666666666667</v>
      </c>
      <c r="AK196" s="82">
        <f>Valores!$C$11*D196</f>
        <v>34.274910040000002</v>
      </c>
      <c r="AL196" s="90">
        <v>37.67823542</v>
      </c>
      <c r="AM196" s="82">
        <f>IF($G$4="SI",SUM(AK196+AL196),AK196)*Valores!$C$54</f>
        <v>0</v>
      </c>
      <c r="AN196" s="184">
        <f t="shared" si="23"/>
        <v>129.56381212666668</v>
      </c>
      <c r="AO196" s="153">
        <f>AI196*-Valores!$C$56</f>
        <v>-520.07482325147453</v>
      </c>
      <c r="AP196" s="153">
        <f>AI196*-Valores!$C$57</f>
        <v>-20.002877817364404</v>
      </c>
      <c r="AQ196" s="81">
        <f>AI196*-Valores!$C$58</f>
        <v>-180.02590035627964</v>
      </c>
      <c r="AR196" s="81">
        <f>AI196*-Valores!$C$59</f>
        <v>-108.01554021376779</v>
      </c>
      <c r="AS196" s="81">
        <f>AI196*-Valores!$C$60</f>
        <v>-12.001726690418643</v>
      </c>
      <c r="AT196" s="54">
        <f t="shared" si="24"/>
        <v>3410.0357741744292</v>
      </c>
      <c r="AU196" s="54">
        <f t="shared" si="25"/>
        <v>3470.0444076265221</v>
      </c>
      <c r="AV196" s="81">
        <f>AI196*Valores!$C$61</f>
        <v>640.09209015566091</v>
      </c>
      <c r="AW196" s="81">
        <f>AI196*Valores!$C$62</f>
        <v>180.02590035627964</v>
      </c>
      <c r="AX196" s="81">
        <f>AI196*Valores!$C$64</f>
        <v>40.005755634728807</v>
      </c>
      <c r="AY196" s="81">
        <f>AI196*Valores!$C$65</f>
        <v>140.02014472155085</v>
      </c>
      <c r="AZ196" s="81">
        <f>AI196*Valores!$C$66</f>
        <v>24.003453380837286</v>
      </c>
      <c r="BA196" s="81">
        <f t="shared" si="27"/>
        <v>216.03108042753556</v>
      </c>
      <c r="BB196" s="55"/>
      <c r="BC196" s="55">
        <f t="shared" si="33"/>
        <v>16</v>
      </c>
      <c r="BD196" s="52" t="s">
        <v>467</v>
      </c>
    </row>
    <row r="197" spans="1:56" s="9" customFormat="1" ht="11.25" customHeight="1" x14ac:dyDescent="0.15">
      <c r="A197" s="20">
        <v>196</v>
      </c>
      <c r="B197" s="20"/>
      <c r="C197" s="9" t="s">
        <v>354</v>
      </c>
      <c r="D197" s="9">
        <v>5</v>
      </c>
      <c r="E197" s="10" t="str">
        <f t="shared" si="31"/>
        <v>Hora Cátedra Enseñanza Superior 5 hs</v>
      </c>
      <c r="F197" s="123">
        <f t="shared" si="32"/>
        <v>495</v>
      </c>
      <c r="G197" s="7">
        <f>INT((F197*Valores!$C$2*100*1.006901)+0.5)/100</f>
        <v>2605.12</v>
      </c>
      <c r="H197" s="132">
        <v>0</v>
      </c>
      <c r="I197" s="77">
        <f>INT((H197*Valores!$C$2*100*1.006901)+0.5)/100</f>
        <v>0</v>
      </c>
      <c r="J197" s="145">
        <v>0</v>
      </c>
      <c r="K197" s="77">
        <f>INT((J197*Valores!$C$2*100*1.006901)+0.5)/100</f>
        <v>0</v>
      </c>
      <c r="L197" s="120">
        <v>0</v>
      </c>
      <c r="M197" s="77">
        <f>INT((L197*Valores!$C$2*100*1.006901)+0.5)/100</f>
        <v>0</v>
      </c>
      <c r="N197" s="77">
        <f t="shared" si="28"/>
        <v>449.72426072999997</v>
      </c>
      <c r="O197" s="77">
        <f t="shared" si="29"/>
        <v>0</v>
      </c>
      <c r="P197" s="61">
        <f>Valores!$C$14*D197</f>
        <v>603.23438910000004</v>
      </c>
      <c r="Q197" s="61">
        <f>IF(D197&lt;15,(Valores!$E$4*D197),Valores!$D$4)</f>
        <v>784.7</v>
      </c>
      <c r="R197" s="77">
        <v>0</v>
      </c>
      <c r="S197" s="79">
        <f>Valores!$C$45*D197</f>
        <v>159.2917382</v>
      </c>
      <c r="T197" s="61">
        <f>Valores!$C$22*D197</f>
        <v>233.75</v>
      </c>
      <c r="U197" s="77">
        <f t="shared" si="30"/>
        <v>233.75</v>
      </c>
      <c r="V197" s="77">
        <v>0</v>
      </c>
      <c r="W197" s="77">
        <v>0</v>
      </c>
      <c r="X197" s="37">
        <v>0</v>
      </c>
      <c r="Y197" s="77">
        <f>X197*Valores!$C$2*1.006901</f>
        <v>0</v>
      </c>
      <c r="Z197" s="77">
        <v>0</v>
      </c>
      <c r="AA197" s="89">
        <f>(Valores!$C$32)*D197</f>
        <v>26.400000000000002</v>
      </c>
      <c r="AB197" s="77">
        <f t="shared" si="22"/>
        <v>0</v>
      </c>
      <c r="AC197" s="77">
        <f>Valores!$C$33*D197</f>
        <v>22.1</v>
      </c>
      <c r="AD197" s="116">
        <v>0</v>
      </c>
      <c r="AE197" s="77">
        <f>AD197*Valores!$C$2*1.006901</f>
        <v>0</v>
      </c>
      <c r="AF197" s="77">
        <f>Valores!$D$51*D197</f>
        <v>90.526632909191292</v>
      </c>
      <c r="AG197" s="77">
        <f>Valores!$D$52*D197</f>
        <v>25.866683401909519</v>
      </c>
      <c r="AH197" s="77">
        <f>SUM(G197,I197,K197,M197,N197,O197,P197,Q197,R197,S197,U197,V197,W197,Y197,Z197,AA197,AB197,AC197,AE197,AF197,AG197)*Valores!$C$54</f>
        <v>0</v>
      </c>
      <c r="AI197" s="139">
        <f t="shared" si="26"/>
        <v>5000.7137043411003</v>
      </c>
      <c r="AJ197" s="61">
        <f>Valores!$C$36*D197</f>
        <v>72.013333333333335</v>
      </c>
      <c r="AK197" s="79">
        <f>Valores!$C$11*D197</f>
        <v>42.843637550000004</v>
      </c>
      <c r="AL197" s="89">
        <v>47.095277022499999</v>
      </c>
      <c r="AM197" s="79">
        <f>IF($G$4="SI",SUM(AK197+AL197),AK197)*Valores!$C$54</f>
        <v>0</v>
      </c>
      <c r="AN197" s="12">
        <f t="shared" si="23"/>
        <v>161.95224790583333</v>
      </c>
      <c r="AO197" s="13">
        <f>AI197*-Valores!$C$56</f>
        <v>-650.09278156434311</v>
      </c>
      <c r="AP197" s="13">
        <f>AI197*-Valores!$C$57</f>
        <v>-25.003568521705503</v>
      </c>
      <c r="AQ197" s="78">
        <f>AI197*-Valores!$C$58</f>
        <v>-225.03211669534952</v>
      </c>
      <c r="AR197" s="78">
        <f>AI197*-Valores!$C$59</f>
        <v>-135.01927001720972</v>
      </c>
      <c r="AS197" s="78">
        <f>AI197*-Valores!$C$60</f>
        <v>-15.002141113023301</v>
      </c>
      <c r="AT197" s="15">
        <f t="shared" si="24"/>
        <v>4262.5374854655347</v>
      </c>
      <c r="AU197" s="15">
        <f t="shared" si="25"/>
        <v>4337.5481910306517</v>
      </c>
      <c r="AV197" s="78">
        <f>AI197*Valores!$C$61</f>
        <v>800.1141926945761</v>
      </c>
      <c r="AW197" s="78">
        <f>AI197*Valores!$C$62</f>
        <v>225.03211669534952</v>
      </c>
      <c r="AX197" s="78">
        <f>AI197*Valores!$C$64</f>
        <v>50.007137043411007</v>
      </c>
      <c r="AY197" s="78">
        <f>AI197*Valores!$C$65</f>
        <v>175.02497965193854</v>
      </c>
      <c r="AZ197" s="78">
        <f>AI197*Valores!$C$66</f>
        <v>30.004282226046602</v>
      </c>
      <c r="BA197" s="78">
        <f t="shared" si="27"/>
        <v>270.03854003441944</v>
      </c>
      <c r="BB197" s="20"/>
      <c r="BC197" s="20">
        <f t="shared" si="33"/>
        <v>20</v>
      </c>
      <c r="BD197" s="9" t="s">
        <v>467</v>
      </c>
    </row>
    <row r="198" spans="1:56" s="9" customFormat="1" ht="11.25" customHeight="1" x14ac:dyDescent="0.15">
      <c r="A198" s="20">
        <v>197</v>
      </c>
      <c r="B198" s="20"/>
      <c r="C198" s="9" t="s">
        <v>354</v>
      </c>
      <c r="D198" s="9">
        <v>6</v>
      </c>
      <c r="E198" s="10" t="str">
        <f t="shared" si="31"/>
        <v>Hora Cátedra Enseñanza Superior 6 hs</v>
      </c>
      <c r="F198" s="123">
        <f t="shared" si="32"/>
        <v>594</v>
      </c>
      <c r="G198" s="7">
        <f>INT((F198*Valores!$C$2*100*1.006901)+0.5)/100</f>
        <v>3126.14</v>
      </c>
      <c r="H198" s="132">
        <v>0</v>
      </c>
      <c r="I198" s="77">
        <f>INT((H198*Valores!$C$2*100*1.006901)+0.5)/100</f>
        <v>0</v>
      </c>
      <c r="J198" s="145">
        <v>0</v>
      </c>
      <c r="K198" s="77">
        <f>INT((J198*Valores!$C$2*100*1.006901)+0.5)/100</f>
        <v>0</v>
      </c>
      <c r="L198" s="120">
        <v>0</v>
      </c>
      <c r="M198" s="77">
        <f>INT((L198*Valores!$C$2*100*1.006901)+0.5)/100</f>
        <v>0</v>
      </c>
      <c r="N198" s="77">
        <f t="shared" si="28"/>
        <v>539.66851287599991</v>
      </c>
      <c r="O198" s="77">
        <f t="shared" si="29"/>
        <v>0</v>
      </c>
      <c r="P198" s="61">
        <f>Valores!$C$14*D198</f>
        <v>723.88126692000003</v>
      </c>
      <c r="Q198" s="61">
        <f>IF(D198&lt;15,(Valores!$E$4*D198),Valores!$D$4)</f>
        <v>941.64</v>
      </c>
      <c r="R198" s="77">
        <v>0</v>
      </c>
      <c r="S198" s="79">
        <f>Valores!$C$45*D198</f>
        <v>191.15008584</v>
      </c>
      <c r="T198" s="61">
        <f>Valores!$C$22*D198</f>
        <v>280.5</v>
      </c>
      <c r="U198" s="77">
        <f t="shared" si="30"/>
        <v>280.5</v>
      </c>
      <c r="V198" s="77">
        <v>0</v>
      </c>
      <c r="W198" s="77">
        <v>0</v>
      </c>
      <c r="X198" s="37">
        <v>0</v>
      </c>
      <c r="Y198" s="77">
        <f>X198*Valores!$C$2*1.006901</f>
        <v>0</v>
      </c>
      <c r="Z198" s="77">
        <v>0</v>
      </c>
      <c r="AA198" s="89">
        <f>(Valores!$C$32)*D198</f>
        <v>31.68</v>
      </c>
      <c r="AB198" s="77">
        <f t="shared" si="22"/>
        <v>0</v>
      </c>
      <c r="AC198" s="77">
        <f>Valores!$C$33*D198</f>
        <v>26.52</v>
      </c>
      <c r="AD198" s="116">
        <v>0</v>
      </c>
      <c r="AE198" s="77">
        <f>AD198*Valores!$C$2*1.006901</f>
        <v>0</v>
      </c>
      <c r="AF198" s="77">
        <f>Valores!$D$51*D198</f>
        <v>108.63195949102956</v>
      </c>
      <c r="AG198" s="77">
        <f>Valores!$D$52*D198</f>
        <v>31.04002008229142</v>
      </c>
      <c r="AH198" s="77">
        <f>SUM(G198,I198,K198,M198,N198,O198,P198,Q198,R198,S198,U198,V198,W198,Y198,Z198,AA198,AB198,AC198,AE198,AF198,AG198)*Valores!$C$54</f>
        <v>0</v>
      </c>
      <c r="AI198" s="139">
        <f t="shared" si="26"/>
        <v>6000.8518452093222</v>
      </c>
      <c r="AJ198" s="61">
        <f>Valores!$C$36*D198</f>
        <v>86.415999999999997</v>
      </c>
      <c r="AK198" s="79">
        <f>Valores!$C$11*D198</f>
        <v>51.412365059999999</v>
      </c>
      <c r="AL198" s="89">
        <v>56.514332426999999</v>
      </c>
      <c r="AM198" s="79">
        <f>IF($G$4="SI",SUM(AK198+AL198),AK198)*Valores!$C$54</f>
        <v>0</v>
      </c>
      <c r="AN198" s="12">
        <f t="shared" si="23"/>
        <v>194.34269748700001</v>
      </c>
      <c r="AO198" s="13">
        <f>AI198*-Valores!$C$56</f>
        <v>-780.11073987721193</v>
      </c>
      <c r="AP198" s="13">
        <f>AI198*-Valores!$C$57</f>
        <v>-30.00425922604661</v>
      </c>
      <c r="AQ198" s="78">
        <f>AI198*-Valores!$C$58</f>
        <v>-270.03833303441951</v>
      </c>
      <c r="AR198" s="78">
        <f>AI198*-Valores!$C$59</f>
        <v>-162.02299982065171</v>
      </c>
      <c r="AS198" s="78">
        <f>AI198*-Valores!$C$60</f>
        <v>-18.002555535627966</v>
      </c>
      <c r="AT198" s="15">
        <f t="shared" si="24"/>
        <v>5115.0412105586438</v>
      </c>
      <c r="AU198" s="15">
        <f t="shared" si="25"/>
        <v>5205.0539882367839</v>
      </c>
      <c r="AV198" s="78">
        <f>AI198*Valores!$C$61</f>
        <v>960.13629523349152</v>
      </c>
      <c r="AW198" s="78">
        <f>AI198*Valores!$C$62</f>
        <v>270.03833303441951</v>
      </c>
      <c r="AX198" s="78">
        <f>AI198*Valores!$C$64</f>
        <v>60.00851845209322</v>
      </c>
      <c r="AY198" s="78">
        <f>AI198*Valores!$C$65</f>
        <v>210.02981458232631</v>
      </c>
      <c r="AZ198" s="78">
        <f>AI198*Valores!$C$66</f>
        <v>36.005111071255932</v>
      </c>
      <c r="BA198" s="78">
        <f t="shared" si="27"/>
        <v>324.04599964130341</v>
      </c>
      <c r="BB198" s="20"/>
      <c r="BC198" s="20">
        <f t="shared" si="33"/>
        <v>24</v>
      </c>
      <c r="BD198" s="9" t="s">
        <v>467</v>
      </c>
    </row>
    <row r="199" spans="1:56" s="9" customFormat="1" ht="11.25" customHeight="1" x14ac:dyDescent="0.15">
      <c r="A199" s="20">
        <v>198</v>
      </c>
      <c r="B199" s="20"/>
      <c r="C199" s="9" t="s">
        <v>354</v>
      </c>
      <c r="D199" s="9">
        <v>7</v>
      </c>
      <c r="E199" s="10" t="str">
        <f t="shared" si="31"/>
        <v>Hora Cátedra Enseñanza Superior 7 hs</v>
      </c>
      <c r="F199" s="123">
        <f t="shared" si="32"/>
        <v>693</v>
      </c>
      <c r="G199" s="7">
        <f>INT((F199*Valores!$C$2*100*1.006901)+0.5)/100</f>
        <v>3647.17</v>
      </c>
      <c r="H199" s="132">
        <v>0</v>
      </c>
      <c r="I199" s="77">
        <f>INT((H199*Valores!$C$2*100*1.006901)+0.5)/100</f>
        <v>0</v>
      </c>
      <c r="J199" s="145">
        <v>0</v>
      </c>
      <c r="K199" s="77">
        <f>INT((J199*Valores!$C$2*100*1.006901)+0.5)/100</f>
        <v>0</v>
      </c>
      <c r="L199" s="120">
        <v>0</v>
      </c>
      <c r="M199" s="77">
        <f>INT((L199*Valores!$C$2*100*1.006901)+0.5)/100</f>
        <v>0</v>
      </c>
      <c r="N199" s="77">
        <f t="shared" si="28"/>
        <v>629.61426502200004</v>
      </c>
      <c r="O199" s="77">
        <f t="shared" si="29"/>
        <v>0</v>
      </c>
      <c r="P199" s="61">
        <f>Valores!$C$14*D199</f>
        <v>844.52814474000002</v>
      </c>
      <c r="Q199" s="61">
        <f>IF(D199&lt;15,(Valores!$E$4*D199),Valores!$D$4)</f>
        <v>1098.58</v>
      </c>
      <c r="R199" s="77">
        <v>0</v>
      </c>
      <c r="S199" s="79">
        <f>Valores!$C$45*D199</f>
        <v>223.00843348000001</v>
      </c>
      <c r="T199" s="61">
        <f>Valores!$C$22*D199</f>
        <v>327.25</v>
      </c>
      <c r="U199" s="77">
        <f t="shared" si="30"/>
        <v>327.25</v>
      </c>
      <c r="V199" s="77">
        <v>0</v>
      </c>
      <c r="W199" s="77">
        <v>0</v>
      </c>
      <c r="X199" s="37">
        <v>0</v>
      </c>
      <c r="Y199" s="77">
        <f>X199*Valores!$C$2*1.006901</f>
        <v>0</v>
      </c>
      <c r="Z199" s="77">
        <v>0</v>
      </c>
      <c r="AA199" s="89">
        <f>(Valores!$C$32)*D199</f>
        <v>36.96</v>
      </c>
      <c r="AB199" s="77">
        <f t="shared" ref="AB199:AB262" si="34">SUM(G199,I199,K199,Y199,S199,M199)*$G$3/100</f>
        <v>0</v>
      </c>
      <c r="AC199" s="77">
        <f>Valores!$C$33*D199</f>
        <v>30.939999999999998</v>
      </c>
      <c r="AD199" s="116">
        <v>0</v>
      </c>
      <c r="AE199" s="77">
        <f>AD199*Valores!$C$2*1.006901</f>
        <v>0</v>
      </c>
      <c r="AF199" s="77">
        <f>Valores!$D$51*D199</f>
        <v>126.73728607286782</v>
      </c>
      <c r="AG199" s="77">
        <f>Valores!$D$52*D199</f>
        <v>36.213356762673328</v>
      </c>
      <c r="AH199" s="77">
        <f>SUM(G199,I199,K199,M199,N199,O199,P199,Q199,R199,S199,U199,V199,W199,Y199,Z199,AA199,AB199,AC199,AE199,AF199,AG199)*Valores!$C$54</f>
        <v>0</v>
      </c>
      <c r="AI199" s="139">
        <f t="shared" si="26"/>
        <v>7001.0014860775409</v>
      </c>
      <c r="AJ199" s="61">
        <f>Valores!$C$36*D199</f>
        <v>100.81866666666667</v>
      </c>
      <c r="AK199" s="79">
        <f>Valores!$C$11*D199</f>
        <v>59.981092570000001</v>
      </c>
      <c r="AL199" s="89">
        <v>65.933387831499999</v>
      </c>
      <c r="AM199" s="79">
        <f>IF($G$4="SI",SUM(AK199+AL199),AK199)*Valores!$C$54</f>
        <v>0</v>
      </c>
      <c r="AN199" s="12">
        <f t="shared" ref="AN199:AN262" si="35">SUM(AJ199:AK199,AL199,AM199)</f>
        <v>226.73314706816666</v>
      </c>
      <c r="AO199" s="13">
        <f>AI199*-Valores!$C$56</f>
        <v>-910.13019319008038</v>
      </c>
      <c r="AP199" s="13">
        <f>AI199*-Valores!$C$57</f>
        <v>-35.005007430387707</v>
      </c>
      <c r="AQ199" s="78">
        <f>AI199*-Valores!$C$58</f>
        <v>-315.0450668734893</v>
      </c>
      <c r="AR199" s="78">
        <f>AI199*-Valores!$C$59</f>
        <v>-189.02704012409362</v>
      </c>
      <c r="AS199" s="78">
        <f>AI199*-Valores!$C$60</f>
        <v>-21.003004458232624</v>
      </c>
      <c r="AT199" s="15">
        <f t="shared" ref="AT199:AT262" si="36">AI199+AN199+AP199+AQ199+AO199</f>
        <v>5967.5543656517493</v>
      </c>
      <c r="AU199" s="15">
        <f t="shared" ref="AU199:AU262" si="37">AI199+AN199+AP199+AR199+AO199+AS199</f>
        <v>6072.5693879429127</v>
      </c>
      <c r="AV199" s="78">
        <f>AI199*Valores!$C$61</f>
        <v>1120.1602377724066</v>
      </c>
      <c r="AW199" s="78">
        <f>AI199*Valores!$C$62</f>
        <v>315.0450668734893</v>
      </c>
      <c r="AX199" s="78">
        <f>AI199*Valores!$C$64</f>
        <v>70.010014860775414</v>
      </c>
      <c r="AY199" s="78">
        <f>AI199*Valores!$C$65</f>
        <v>245.03505201271395</v>
      </c>
      <c r="AZ199" s="78">
        <f>AI199*Valores!$C$66</f>
        <v>42.006008916465248</v>
      </c>
      <c r="BA199" s="78">
        <f t="shared" si="27"/>
        <v>378.05408024818723</v>
      </c>
      <c r="BB199" s="20"/>
      <c r="BC199" s="55">
        <f t="shared" si="33"/>
        <v>28</v>
      </c>
      <c r="BD199" s="9" t="s">
        <v>467</v>
      </c>
    </row>
    <row r="200" spans="1:56" s="9" customFormat="1" ht="11.25" customHeight="1" x14ac:dyDescent="0.15">
      <c r="A200" s="20">
        <v>199</v>
      </c>
      <c r="B200" s="20"/>
      <c r="C200" s="9" t="s">
        <v>354</v>
      </c>
      <c r="D200" s="9">
        <v>8</v>
      </c>
      <c r="E200" s="10" t="str">
        <f t="shared" si="31"/>
        <v>Hora Cátedra Enseñanza Superior 8 hs</v>
      </c>
      <c r="F200" s="123">
        <f t="shared" si="32"/>
        <v>792</v>
      </c>
      <c r="G200" s="7">
        <f>INT((F200*Valores!$C$2*100*1.006901)+0.5)/100</f>
        <v>4168.1899999999996</v>
      </c>
      <c r="H200" s="132">
        <v>0</v>
      </c>
      <c r="I200" s="77">
        <f>INT((H200*Valores!$C$2*100*1.006901)+0.5)/100</f>
        <v>0</v>
      </c>
      <c r="J200" s="145">
        <v>0</v>
      </c>
      <c r="K200" s="77">
        <f>INT((J200*Valores!$C$2*100*1.006901)+0.5)/100</f>
        <v>0</v>
      </c>
      <c r="L200" s="120">
        <v>0</v>
      </c>
      <c r="M200" s="77">
        <f>INT((L200*Valores!$C$2*100*1.006901)+0.5)/100</f>
        <v>0</v>
      </c>
      <c r="N200" s="77">
        <f t="shared" si="28"/>
        <v>719.55851716799998</v>
      </c>
      <c r="O200" s="77">
        <f t="shared" si="29"/>
        <v>0</v>
      </c>
      <c r="P200" s="61">
        <f>Valores!$C$14*D200</f>
        <v>965.17502256</v>
      </c>
      <c r="Q200" s="61">
        <f>IF(D200&lt;15,(Valores!$E$4*D200),Valores!$D$4)</f>
        <v>1255.52</v>
      </c>
      <c r="R200" s="77">
        <v>0</v>
      </c>
      <c r="S200" s="79">
        <f>Valores!$C$45*D200</f>
        <v>254.86678112000001</v>
      </c>
      <c r="T200" s="61">
        <f>Valores!$C$22*D200</f>
        <v>374</v>
      </c>
      <c r="U200" s="77">
        <f t="shared" si="30"/>
        <v>374</v>
      </c>
      <c r="V200" s="77">
        <v>0</v>
      </c>
      <c r="W200" s="77">
        <v>0</v>
      </c>
      <c r="X200" s="37">
        <v>0</v>
      </c>
      <c r="Y200" s="77">
        <f>X200*Valores!$C$2*1.006901</f>
        <v>0</v>
      </c>
      <c r="Z200" s="77">
        <v>0</v>
      </c>
      <c r="AA200" s="89">
        <f>(Valores!$C$32)*D200</f>
        <v>42.24</v>
      </c>
      <c r="AB200" s="77">
        <f t="shared" si="34"/>
        <v>0</v>
      </c>
      <c r="AC200" s="77">
        <f>Valores!$C$33*D200</f>
        <v>35.36</v>
      </c>
      <c r="AD200" s="116">
        <v>0</v>
      </c>
      <c r="AE200" s="77">
        <f>AD200*Valores!$C$2*1.006901</f>
        <v>0</v>
      </c>
      <c r="AF200" s="77">
        <f>Valores!$D$51*D200</f>
        <v>144.84261265470607</v>
      </c>
      <c r="AG200" s="77">
        <f>Valores!$D$52*D200</f>
        <v>41.386693443055229</v>
      </c>
      <c r="AH200" s="77">
        <f>SUM(G200,I200,K200,M200,N200,O200,P200,Q200,R200,S200,U200,V200,W200,Y200,Z200,AA200,AB200,AC200,AE200,AF200,AG200)*Valores!$C$54</f>
        <v>0</v>
      </c>
      <c r="AI200" s="139">
        <f t="shared" ref="AI200:AI263" si="38">SUM(G200,I200,K200,M200,N200,O200,P200,Q200,R200,U200,V200,W200,Y200,Z200,AA200,AB200,AC200,AE200,S200,AF200,AG200,AH200)</f>
        <v>8001.1396269457609</v>
      </c>
      <c r="AJ200" s="61">
        <f>Valores!$C$36*D200</f>
        <v>115.22133333333333</v>
      </c>
      <c r="AK200" s="79">
        <f>Valores!$C$11*D200</f>
        <v>68.549820080000003</v>
      </c>
      <c r="AL200" s="89">
        <v>75.348415631999998</v>
      </c>
      <c r="AM200" s="79">
        <f>IF($G$4="SI",SUM(AK200+AL200),AK200)*Valores!$C$54</f>
        <v>0</v>
      </c>
      <c r="AN200" s="12">
        <f t="shared" si="35"/>
        <v>259.11956904533332</v>
      </c>
      <c r="AO200" s="13">
        <f>AI200*-Valores!$C$56</f>
        <v>-1040.1481515029488</v>
      </c>
      <c r="AP200" s="13">
        <f>AI200*-Valores!$C$57</f>
        <v>-40.005698134728803</v>
      </c>
      <c r="AQ200" s="78">
        <f>AI200*-Valores!$C$58</f>
        <v>-360.05128321255921</v>
      </c>
      <c r="AR200" s="78">
        <f>AI200*-Valores!$C$59</f>
        <v>-216.03076992753557</v>
      </c>
      <c r="AS200" s="78">
        <f>AI200*-Valores!$C$60</f>
        <v>-24.003418880837284</v>
      </c>
      <c r="AT200" s="15">
        <f t="shared" si="36"/>
        <v>6820.0540631408585</v>
      </c>
      <c r="AU200" s="15">
        <f t="shared" si="37"/>
        <v>6940.071157545045</v>
      </c>
      <c r="AV200" s="78">
        <f>AI200*Valores!$C$61</f>
        <v>1280.1823403113217</v>
      </c>
      <c r="AW200" s="78">
        <f>AI200*Valores!$C$62</f>
        <v>360.05128321255921</v>
      </c>
      <c r="AX200" s="78">
        <f>AI200*Valores!$C$64</f>
        <v>80.011396269457606</v>
      </c>
      <c r="AY200" s="78">
        <f>AI200*Valores!$C$65</f>
        <v>280.03988694310164</v>
      </c>
      <c r="AZ200" s="78">
        <f>AI200*Valores!$C$66</f>
        <v>48.006837761674568</v>
      </c>
      <c r="BA200" s="78">
        <f t="shared" si="27"/>
        <v>432.06153985507109</v>
      </c>
      <c r="BB200" s="20"/>
      <c r="BC200" s="20">
        <f t="shared" si="33"/>
        <v>32</v>
      </c>
      <c r="BD200" s="9" t="s">
        <v>467</v>
      </c>
    </row>
    <row r="201" spans="1:56" s="9" customFormat="1" ht="11.25" customHeight="1" x14ac:dyDescent="0.15">
      <c r="A201" s="55">
        <v>200</v>
      </c>
      <c r="B201" s="55" t="s">
        <v>462</v>
      </c>
      <c r="C201" s="52" t="s">
        <v>354</v>
      </c>
      <c r="D201" s="52">
        <v>9</v>
      </c>
      <c r="E201" s="53" t="str">
        <f t="shared" si="31"/>
        <v>Hora Cátedra Enseñanza Superior 9 hs</v>
      </c>
      <c r="F201" s="124">
        <f t="shared" si="32"/>
        <v>891</v>
      </c>
      <c r="G201" s="7">
        <f>INT((F201*Valores!$C$2*100*1.006901)+0.5)/100</f>
        <v>4689.22</v>
      </c>
      <c r="H201" s="131">
        <v>0</v>
      </c>
      <c r="I201" s="77">
        <f>INT((H201*Valores!$C$2*100*1.006901)+0.5)/100</f>
        <v>0</v>
      </c>
      <c r="J201" s="146">
        <v>0</v>
      </c>
      <c r="K201" s="77">
        <f>INT((J201*Valores!$C$2*100*1.006901)+0.5)/100</f>
        <v>0</v>
      </c>
      <c r="L201" s="121">
        <v>0</v>
      </c>
      <c r="M201" s="77">
        <f>INT((L201*Valores!$C$2*100*1.006901)+0.5)/100</f>
        <v>0</v>
      </c>
      <c r="N201" s="80">
        <f t="shared" si="28"/>
        <v>809.504269314</v>
      </c>
      <c r="O201" s="80">
        <f t="shared" si="29"/>
        <v>0</v>
      </c>
      <c r="P201" s="85">
        <f>Valores!$C$14*D201</f>
        <v>1085.82190038</v>
      </c>
      <c r="Q201" s="85">
        <f>IF(D201&lt;15,(Valores!$E$4*D201),Valores!$D$4)</f>
        <v>1412.46</v>
      </c>
      <c r="R201" s="80">
        <v>0</v>
      </c>
      <c r="S201" s="82">
        <f>Valores!$C$45*D201</f>
        <v>286.72512876000002</v>
      </c>
      <c r="T201" s="85">
        <f>Valores!$C$22*D201</f>
        <v>420.75</v>
      </c>
      <c r="U201" s="80">
        <f t="shared" si="30"/>
        <v>420.75</v>
      </c>
      <c r="V201" s="80">
        <v>0</v>
      </c>
      <c r="W201" s="80">
        <v>0</v>
      </c>
      <c r="X201" s="60">
        <v>0</v>
      </c>
      <c r="Y201" s="77">
        <f>X201*Valores!$C$2*1.006901</f>
        <v>0</v>
      </c>
      <c r="Z201" s="80">
        <v>0</v>
      </c>
      <c r="AA201" s="90">
        <f>(Valores!$C$32)*D201</f>
        <v>47.52</v>
      </c>
      <c r="AB201" s="80">
        <f t="shared" si="34"/>
        <v>0</v>
      </c>
      <c r="AC201" s="80">
        <f>Valores!$C$33*D201</f>
        <v>39.78</v>
      </c>
      <c r="AD201" s="115">
        <v>0</v>
      </c>
      <c r="AE201" s="77">
        <f>AD201*Valores!$C$2*1.006901</f>
        <v>0</v>
      </c>
      <c r="AF201" s="80">
        <f>Valores!$D$51*D201</f>
        <v>162.94793923654433</v>
      </c>
      <c r="AG201" s="80">
        <f>Valores!$D$52*D201</f>
        <v>46.56003012343713</v>
      </c>
      <c r="AH201" s="80">
        <f>SUM(G201,I201,K201,M201,N201,O201,P201,Q201,R201,S201,U201,V201,W201,Y201,Z201,AA201,AB201,AC201,AE201,AF201,AG201)*Valores!$C$54</f>
        <v>0</v>
      </c>
      <c r="AI201" s="140">
        <f t="shared" si="38"/>
        <v>9001.2892678139815</v>
      </c>
      <c r="AJ201" s="85">
        <f>Valores!$C$36*D201</f>
        <v>129.624</v>
      </c>
      <c r="AK201" s="82">
        <f>Valores!$C$11*D201</f>
        <v>77.118547590000006</v>
      </c>
      <c r="AL201" s="90">
        <v>84.771498640499999</v>
      </c>
      <c r="AM201" s="82">
        <f>IF($G$4="SI",SUM(AK201+AL201),AK201)*Valores!$C$54</f>
        <v>0</v>
      </c>
      <c r="AN201" s="184">
        <f t="shared" si="35"/>
        <v>291.51404623050001</v>
      </c>
      <c r="AO201" s="153">
        <f>AI201*-Valores!$C$56</f>
        <v>-1170.1676048158176</v>
      </c>
      <c r="AP201" s="153">
        <f>AI201*-Valores!$C$57</f>
        <v>-45.00644633906991</v>
      </c>
      <c r="AQ201" s="81">
        <f>AI201*-Valores!$C$58</f>
        <v>-405.05801705162918</v>
      </c>
      <c r="AR201" s="81">
        <f>AI201*-Valores!$C$59</f>
        <v>-243.03481023097754</v>
      </c>
      <c r="AS201" s="81">
        <f>AI201*-Valores!$C$60</f>
        <v>-27.003867803441945</v>
      </c>
      <c r="AT201" s="54">
        <f t="shared" si="36"/>
        <v>7672.5712458379649</v>
      </c>
      <c r="AU201" s="54">
        <f t="shared" si="37"/>
        <v>7807.5905848551747</v>
      </c>
      <c r="AV201" s="81">
        <f>AI201*Valores!$C$61</f>
        <v>1440.2062828502371</v>
      </c>
      <c r="AW201" s="81">
        <f>AI201*Valores!$C$62</f>
        <v>405.05801705162918</v>
      </c>
      <c r="AX201" s="81">
        <f>AI201*Valores!$C$64</f>
        <v>90.012892678139821</v>
      </c>
      <c r="AY201" s="81">
        <f>AI201*Valores!$C$65</f>
        <v>315.04512437348939</v>
      </c>
      <c r="AZ201" s="81">
        <f>AI201*Valores!$C$66</f>
        <v>54.007735606883891</v>
      </c>
      <c r="BA201" s="81">
        <f t="shared" ref="BA201:BA264" si="39">AI201*5.4/100</f>
        <v>486.06962046195508</v>
      </c>
      <c r="BB201" s="55"/>
      <c r="BC201" s="55">
        <f t="shared" si="33"/>
        <v>36</v>
      </c>
      <c r="BD201" s="52" t="s">
        <v>467</v>
      </c>
    </row>
    <row r="202" spans="1:56" s="9" customFormat="1" ht="11.25" customHeight="1" x14ac:dyDescent="0.15">
      <c r="A202" s="20">
        <v>201</v>
      </c>
      <c r="B202" s="20"/>
      <c r="C202" s="9" t="s">
        <v>354</v>
      </c>
      <c r="D202" s="9">
        <v>10</v>
      </c>
      <c r="E202" s="10" t="str">
        <f t="shared" si="31"/>
        <v>Hora Cátedra Enseñanza Superior 10 hs</v>
      </c>
      <c r="F202" s="123">
        <f t="shared" si="32"/>
        <v>990</v>
      </c>
      <c r="G202" s="7">
        <f>INT((F202*Valores!$C$2*100*1.006901)+0.5)/100</f>
        <v>5210.24</v>
      </c>
      <c r="H202" s="132">
        <v>0</v>
      </c>
      <c r="I202" s="77">
        <f>INT((H202*Valores!$C$2*100*1.006901)+0.5)/100</f>
        <v>0</v>
      </c>
      <c r="J202" s="145">
        <v>0</v>
      </c>
      <c r="K202" s="77">
        <f>INT((J202*Valores!$C$2*100*1.006901)+0.5)/100</f>
        <v>0</v>
      </c>
      <c r="L202" s="120">
        <v>0</v>
      </c>
      <c r="M202" s="77">
        <f>INT((L202*Valores!$C$2*100*1.006901)+0.5)/100</f>
        <v>0</v>
      </c>
      <c r="N202" s="77">
        <f t="shared" ref="N202:N265" si="40">IF($I$2=0,IF(C202&lt;&gt;"13-930",(SUM(G202,I202,K202,M202,Y202,T202,S202)*$N$2),0),0)</f>
        <v>899.44852145999994</v>
      </c>
      <c r="O202" s="77">
        <f t="shared" ref="O202:O265" si="41">SUM(G202,I202,K202,M202,Y202,S202)*$I$2</f>
        <v>0</v>
      </c>
      <c r="P202" s="61">
        <f>Valores!$C$14*D202</f>
        <v>1206.4687782000001</v>
      </c>
      <c r="Q202" s="61">
        <f>IF(D202&lt;15,(Valores!$E$4*D202),Valores!$D$4)</f>
        <v>1569.4</v>
      </c>
      <c r="R202" s="77">
        <v>0</v>
      </c>
      <c r="S202" s="79">
        <f>Valores!$C$45*D202</f>
        <v>318.5834764</v>
      </c>
      <c r="T202" s="61">
        <f>Valores!$C$22*D202</f>
        <v>467.5</v>
      </c>
      <c r="U202" s="77">
        <f t="shared" si="30"/>
        <v>467.5</v>
      </c>
      <c r="V202" s="77">
        <v>0</v>
      </c>
      <c r="W202" s="77">
        <v>0</v>
      </c>
      <c r="X202" s="37">
        <v>0</v>
      </c>
      <c r="Y202" s="77">
        <f>X202*Valores!$C$2*1.006901</f>
        <v>0</v>
      </c>
      <c r="Z202" s="77">
        <v>0</v>
      </c>
      <c r="AA202" s="89">
        <f>(Valores!$C$32)*D202</f>
        <v>52.800000000000004</v>
      </c>
      <c r="AB202" s="77">
        <f t="shared" si="34"/>
        <v>0</v>
      </c>
      <c r="AC202" s="77">
        <f>Valores!$C$33*D202</f>
        <v>44.2</v>
      </c>
      <c r="AD202" s="116">
        <v>0</v>
      </c>
      <c r="AE202" s="77">
        <f>AD202*Valores!$C$2*1.006901</f>
        <v>0</v>
      </c>
      <c r="AF202" s="77">
        <f>Valores!$D$51*D202</f>
        <v>181.05326581838258</v>
      </c>
      <c r="AG202" s="77">
        <f>Valores!$D$52*D202</f>
        <v>51.733366803819038</v>
      </c>
      <c r="AH202" s="77">
        <f>SUM(G202,I202,K202,M202,N202,O202,P202,Q202,R202,S202,U202,V202,W202,Y202,Z202,AA202,AB202,AC202,AE202,AF202,AG202)*Valores!$C$54</f>
        <v>0</v>
      </c>
      <c r="AI202" s="139">
        <f t="shared" si="38"/>
        <v>10001.427408682201</v>
      </c>
      <c r="AJ202" s="61">
        <f>Valores!$C$36*D202</f>
        <v>144.02666666666667</v>
      </c>
      <c r="AK202" s="79">
        <f>Valores!$C$11*D202</f>
        <v>85.687275100000008</v>
      </c>
      <c r="AL202" s="89">
        <v>94.185519540000001</v>
      </c>
      <c r="AM202" s="79">
        <f>IF($G$4="SI",SUM(AK202+AL202),AK202)*Valores!$C$54</f>
        <v>0</v>
      </c>
      <c r="AN202" s="12">
        <f t="shared" si="35"/>
        <v>323.89946130666669</v>
      </c>
      <c r="AO202" s="13">
        <f>AI202*-Valores!$C$56</f>
        <v>-1300.1855631286862</v>
      </c>
      <c r="AP202" s="13">
        <f>AI202*-Valores!$C$57</f>
        <v>-50.007137043411007</v>
      </c>
      <c r="AQ202" s="78">
        <f>AI202*-Valores!$C$58</f>
        <v>-450.06423339069903</v>
      </c>
      <c r="AR202" s="78">
        <f>AI202*-Valores!$C$59</f>
        <v>-270.03854003441944</v>
      </c>
      <c r="AS202" s="78">
        <f>AI202*-Valores!$C$60</f>
        <v>-30.004282226046602</v>
      </c>
      <c r="AT202" s="15">
        <f t="shared" si="36"/>
        <v>8525.069936426069</v>
      </c>
      <c r="AU202" s="15">
        <f t="shared" si="37"/>
        <v>8675.0913475563029</v>
      </c>
      <c r="AV202" s="78">
        <f>AI202*Valores!$C$61</f>
        <v>1600.2283853891522</v>
      </c>
      <c r="AW202" s="78">
        <f>AI202*Valores!$C$62</f>
        <v>450.06423339069903</v>
      </c>
      <c r="AX202" s="78">
        <f>AI202*Valores!$C$64</f>
        <v>100.01427408682201</v>
      </c>
      <c r="AY202" s="78">
        <f>AI202*Valores!$C$65</f>
        <v>350.04995930387707</v>
      </c>
      <c r="AZ202" s="78">
        <f>AI202*Valores!$C$66</f>
        <v>60.008564452093204</v>
      </c>
      <c r="BA202" s="78">
        <f t="shared" si="39"/>
        <v>540.07708006883888</v>
      </c>
      <c r="BB202" s="20"/>
      <c r="BC202" s="20">
        <f t="shared" si="33"/>
        <v>40</v>
      </c>
      <c r="BD202" s="9" t="s">
        <v>467</v>
      </c>
    </row>
    <row r="203" spans="1:56" s="9" customFormat="1" ht="11.25" customHeight="1" x14ac:dyDescent="0.15">
      <c r="A203" s="20">
        <v>202</v>
      </c>
      <c r="B203" s="20"/>
      <c r="C203" s="9" t="s">
        <v>354</v>
      </c>
      <c r="D203" s="9">
        <v>11</v>
      </c>
      <c r="E203" s="10" t="str">
        <f t="shared" si="31"/>
        <v>Hora Cátedra Enseñanza Superior 11 hs</v>
      </c>
      <c r="F203" s="123">
        <f t="shared" si="32"/>
        <v>1089</v>
      </c>
      <c r="G203" s="7">
        <f>INT((F203*Valores!$C$2*100*1.006901)+0.5)/100</f>
        <v>5731.27</v>
      </c>
      <c r="H203" s="132">
        <v>0</v>
      </c>
      <c r="I203" s="77">
        <f>INT((H203*Valores!$C$2*100*1.006901)+0.5)/100</f>
        <v>0</v>
      </c>
      <c r="J203" s="145">
        <v>0</v>
      </c>
      <c r="K203" s="77">
        <f>INT((J203*Valores!$C$2*100*1.006901)+0.5)/100</f>
        <v>0</v>
      </c>
      <c r="L203" s="120">
        <v>0</v>
      </c>
      <c r="M203" s="77">
        <f>INT((L203*Valores!$C$2*100*1.006901)+0.5)/100</f>
        <v>0</v>
      </c>
      <c r="N203" s="77">
        <f t="shared" si="40"/>
        <v>989.39427360600007</v>
      </c>
      <c r="O203" s="77">
        <f t="shared" si="41"/>
        <v>0</v>
      </c>
      <c r="P203" s="61">
        <f>Valores!$C$14*D203</f>
        <v>1327.11565602</v>
      </c>
      <c r="Q203" s="61">
        <f>IF(D203&lt;15,(Valores!$E$4*D203),Valores!$D$4)</f>
        <v>1726.34</v>
      </c>
      <c r="R203" s="77">
        <v>0</v>
      </c>
      <c r="S203" s="79">
        <f>Valores!$C$45*D203</f>
        <v>350.44182404000003</v>
      </c>
      <c r="T203" s="61">
        <f>Valores!$C$22*D203</f>
        <v>514.25</v>
      </c>
      <c r="U203" s="77">
        <f t="shared" si="30"/>
        <v>514.25</v>
      </c>
      <c r="V203" s="77">
        <v>0</v>
      </c>
      <c r="W203" s="77">
        <v>0</v>
      </c>
      <c r="X203" s="37">
        <v>0</v>
      </c>
      <c r="Y203" s="77">
        <f>X203*Valores!$C$2*1.006901</f>
        <v>0</v>
      </c>
      <c r="Z203" s="77">
        <v>0</v>
      </c>
      <c r="AA203" s="89">
        <f>(Valores!$C$32)*D203</f>
        <v>58.080000000000005</v>
      </c>
      <c r="AB203" s="77">
        <f t="shared" si="34"/>
        <v>0</v>
      </c>
      <c r="AC203" s="77">
        <f>Valores!$C$33*D203</f>
        <v>48.62</v>
      </c>
      <c r="AD203" s="116">
        <v>0</v>
      </c>
      <c r="AE203" s="77">
        <f>AD203*Valores!$C$2*1.006901</f>
        <v>0</v>
      </c>
      <c r="AF203" s="77">
        <f>Valores!$D$51*D203</f>
        <v>199.15859240022084</v>
      </c>
      <c r="AG203" s="77">
        <f>Valores!$D$52*D203</f>
        <v>56.906703484200939</v>
      </c>
      <c r="AH203" s="77">
        <f>SUM(G203,I203,K203,M203,N203,O203,P203,Q203,R203,S203,U203,V203,W203,Y203,Z203,AA203,AB203,AC203,AE203,AF203,AG203)*Valores!$C$54</f>
        <v>0</v>
      </c>
      <c r="AI203" s="139">
        <f t="shared" si="38"/>
        <v>11001.577049550422</v>
      </c>
      <c r="AJ203" s="61">
        <f>Valores!$C$36*D203</f>
        <v>158.42933333333335</v>
      </c>
      <c r="AK203" s="79">
        <f>Valores!$C$11*D203</f>
        <v>94.25600261000001</v>
      </c>
      <c r="AL203" s="89">
        <v>103.60960944950001</v>
      </c>
      <c r="AM203" s="79">
        <f>IF($G$4="SI",SUM(AK203+AL203),AK203)*Valores!$C$54</f>
        <v>0</v>
      </c>
      <c r="AN203" s="12">
        <f t="shared" si="35"/>
        <v>356.29494539283337</v>
      </c>
      <c r="AO203" s="13">
        <f>AI203*-Valores!$C$56</f>
        <v>-1430.205016441555</v>
      </c>
      <c r="AP203" s="13">
        <f>AI203*-Valores!$C$57</f>
        <v>-55.007885247752114</v>
      </c>
      <c r="AQ203" s="78">
        <f>AI203*-Valores!$C$58</f>
        <v>-495.070967229769</v>
      </c>
      <c r="AR203" s="78">
        <f>AI203*-Valores!$C$59</f>
        <v>-297.04258033786141</v>
      </c>
      <c r="AS203" s="78">
        <f>AI203*-Valores!$C$60</f>
        <v>-33.004731148651267</v>
      </c>
      <c r="AT203" s="15">
        <f t="shared" si="36"/>
        <v>9377.5881260241804</v>
      </c>
      <c r="AU203" s="15">
        <f t="shared" si="37"/>
        <v>9542.6117817674367</v>
      </c>
      <c r="AV203" s="78">
        <f>AI203*Valores!$C$61</f>
        <v>1760.2523279280676</v>
      </c>
      <c r="AW203" s="78">
        <f>AI203*Valores!$C$62</f>
        <v>495.070967229769</v>
      </c>
      <c r="AX203" s="78">
        <f>AI203*Valores!$C$64</f>
        <v>110.01577049550423</v>
      </c>
      <c r="AY203" s="78">
        <f>AI203*Valores!$C$65</f>
        <v>385.05519673426483</v>
      </c>
      <c r="AZ203" s="78">
        <f>AI203*Valores!$C$66</f>
        <v>66.009462297302534</v>
      </c>
      <c r="BA203" s="78">
        <f t="shared" si="39"/>
        <v>594.08516067572282</v>
      </c>
      <c r="BB203" s="20"/>
      <c r="BC203" s="20">
        <f t="shared" si="33"/>
        <v>44</v>
      </c>
      <c r="BD203" s="9" t="s">
        <v>467</v>
      </c>
    </row>
    <row r="204" spans="1:56" s="9" customFormat="1" ht="11.25" customHeight="1" x14ac:dyDescent="0.15">
      <c r="A204" s="20">
        <v>203</v>
      </c>
      <c r="B204" s="20"/>
      <c r="C204" s="9" t="s">
        <v>354</v>
      </c>
      <c r="D204" s="9">
        <v>12</v>
      </c>
      <c r="E204" s="10" t="str">
        <f t="shared" si="31"/>
        <v>Hora Cátedra Enseñanza Superior 12 hs</v>
      </c>
      <c r="F204" s="123">
        <f t="shared" si="32"/>
        <v>1188</v>
      </c>
      <c r="G204" s="7">
        <f>INT((F204*Valores!$C$2*100*1.006901)+0.5)/100</f>
        <v>6252.29</v>
      </c>
      <c r="H204" s="132">
        <v>0</v>
      </c>
      <c r="I204" s="77">
        <f>INT((H204*Valores!$C$2*100*1.006901)+0.5)/100</f>
        <v>0</v>
      </c>
      <c r="J204" s="145">
        <v>0</v>
      </c>
      <c r="K204" s="77">
        <f>INT((J204*Valores!$C$2*100*1.006901)+0.5)/100</f>
        <v>0</v>
      </c>
      <c r="L204" s="120">
        <v>0</v>
      </c>
      <c r="M204" s="77">
        <f>INT((L204*Valores!$C$2*100*1.006901)+0.5)/100</f>
        <v>0</v>
      </c>
      <c r="N204" s="77">
        <f t="shared" si="40"/>
        <v>1079.3385257519999</v>
      </c>
      <c r="O204" s="77">
        <f t="shared" si="41"/>
        <v>0</v>
      </c>
      <c r="P204" s="61">
        <f>Valores!$C$14*D204</f>
        <v>1447.7625338400001</v>
      </c>
      <c r="Q204" s="61">
        <f>IF(D204&lt;15,(Valores!$E$4*D204),Valores!$D$4)</f>
        <v>1883.28</v>
      </c>
      <c r="R204" s="77">
        <v>0</v>
      </c>
      <c r="S204" s="79">
        <f>Valores!$C$45*D204</f>
        <v>382.30017168000001</v>
      </c>
      <c r="T204" s="61">
        <f>Valores!$C$22*D204</f>
        <v>561</v>
      </c>
      <c r="U204" s="77">
        <f t="shared" si="30"/>
        <v>561</v>
      </c>
      <c r="V204" s="77">
        <v>0</v>
      </c>
      <c r="W204" s="77">
        <v>0</v>
      </c>
      <c r="X204" s="37">
        <v>0</v>
      </c>
      <c r="Y204" s="77">
        <f>X204*Valores!$C$2*1.006901</f>
        <v>0</v>
      </c>
      <c r="Z204" s="77">
        <v>0</v>
      </c>
      <c r="AA204" s="89">
        <f>(Valores!$C$32)*D204</f>
        <v>63.36</v>
      </c>
      <c r="AB204" s="77">
        <f t="shared" si="34"/>
        <v>0</v>
      </c>
      <c r="AC204" s="77">
        <f>Valores!$C$33*D204</f>
        <v>53.04</v>
      </c>
      <c r="AD204" s="116">
        <v>0</v>
      </c>
      <c r="AE204" s="77">
        <f>AD204*Valores!$C$2*1.006901</f>
        <v>0</v>
      </c>
      <c r="AF204" s="77">
        <f>Valores!$D$51*D204</f>
        <v>217.26391898205912</v>
      </c>
      <c r="AG204" s="77">
        <f>Valores!$D$52*D204</f>
        <v>62.08004016458284</v>
      </c>
      <c r="AH204" s="77">
        <f>SUM(G204,I204,K204,M204,N204,O204,P204,Q204,R204,S204,U204,V204,W204,Y204,Z204,AA204,AB204,AC204,AE204,AF204,AG204)*Valores!$C$54</f>
        <v>0</v>
      </c>
      <c r="AI204" s="139">
        <f t="shared" si="38"/>
        <v>12001.715190418643</v>
      </c>
      <c r="AJ204" s="61">
        <f>Valores!$C$36*D204</f>
        <v>172.83199999999999</v>
      </c>
      <c r="AK204" s="79">
        <f>Valores!$C$11*D204</f>
        <v>102.82473012</v>
      </c>
      <c r="AL204" s="89">
        <v>113.028664854</v>
      </c>
      <c r="AM204" s="79">
        <f>IF($G$4="SI",SUM(AK204+AL204),AK204)*Valores!$C$54</f>
        <v>0</v>
      </c>
      <c r="AN204" s="12">
        <f t="shared" si="35"/>
        <v>388.68539497400002</v>
      </c>
      <c r="AO204" s="13">
        <f>AI204*-Valores!$C$56</f>
        <v>-1560.2229747544236</v>
      </c>
      <c r="AP204" s="13">
        <f>AI204*-Valores!$C$57</f>
        <v>-60.008575952093217</v>
      </c>
      <c r="AQ204" s="78">
        <f>AI204*-Valores!$C$58</f>
        <v>-540.0771835688389</v>
      </c>
      <c r="AR204" s="78">
        <f>AI204*-Valores!$C$59</f>
        <v>-324.04631014130342</v>
      </c>
      <c r="AS204" s="78">
        <f>AI204*-Valores!$C$60</f>
        <v>-36.00514557125593</v>
      </c>
      <c r="AT204" s="15">
        <f t="shared" si="36"/>
        <v>10230.091851117286</v>
      </c>
      <c r="AU204" s="15">
        <f t="shared" si="37"/>
        <v>10410.117578973564</v>
      </c>
      <c r="AV204" s="78">
        <f>AI204*Valores!$C$61</f>
        <v>1920.2744304669829</v>
      </c>
      <c r="AW204" s="78">
        <f>AI204*Valores!$C$62</f>
        <v>540.0771835688389</v>
      </c>
      <c r="AX204" s="78">
        <f>AI204*Valores!$C$64</f>
        <v>120.01715190418643</v>
      </c>
      <c r="AY204" s="78">
        <f>AI204*Valores!$C$65</f>
        <v>420.06003166465257</v>
      </c>
      <c r="AZ204" s="78">
        <f>AI204*Valores!$C$66</f>
        <v>72.010291142511861</v>
      </c>
      <c r="BA204" s="78">
        <f t="shared" si="39"/>
        <v>648.09262028260673</v>
      </c>
      <c r="BB204" s="20"/>
      <c r="BC204" s="55">
        <f t="shared" si="33"/>
        <v>48</v>
      </c>
      <c r="BD204" s="9" t="s">
        <v>467</v>
      </c>
    </row>
    <row r="205" spans="1:56" s="9" customFormat="1" ht="11.25" customHeight="1" x14ac:dyDescent="0.15">
      <c r="A205" s="20">
        <v>204</v>
      </c>
      <c r="B205" s="20"/>
      <c r="C205" s="9" t="s">
        <v>354</v>
      </c>
      <c r="D205" s="9">
        <v>13</v>
      </c>
      <c r="E205" s="10" t="str">
        <f t="shared" si="31"/>
        <v>Hora Cátedra Enseñanza Superior 13 hs</v>
      </c>
      <c r="F205" s="123">
        <f t="shared" si="32"/>
        <v>1287</v>
      </c>
      <c r="G205" s="7">
        <f>INT((F205*Valores!$C$2*100*1.006901)+0.5)/100</f>
        <v>6773.31</v>
      </c>
      <c r="H205" s="132">
        <v>0</v>
      </c>
      <c r="I205" s="77">
        <f>INT((H205*Valores!$C$2*100*1.006901)+0.5)/100</f>
        <v>0</v>
      </c>
      <c r="J205" s="145">
        <v>0</v>
      </c>
      <c r="K205" s="77">
        <f>INT((J205*Valores!$C$2*100*1.006901)+0.5)/100</f>
        <v>0</v>
      </c>
      <c r="L205" s="120">
        <v>0</v>
      </c>
      <c r="M205" s="77">
        <f>INT((L205*Valores!$C$2*100*1.006901)+0.5)/100</f>
        <v>0</v>
      </c>
      <c r="N205" s="77">
        <f t="shared" si="40"/>
        <v>1169.2827778979999</v>
      </c>
      <c r="O205" s="77">
        <f t="shared" si="41"/>
        <v>0</v>
      </c>
      <c r="P205" s="61">
        <f>Valores!$C$14*D205</f>
        <v>1568.4094116599999</v>
      </c>
      <c r="Q205" s="61">
        <f>IF(D205&lt;15,(Valores!$E$4*D205),Valores!$D$4)</f>
        <v>2040.22</v>
      </c>
      <c r="R205" s="77">
        <v>0</v>
      </c>
      <c r="S205" s="79">
        <f>Valores!$C$45*D205</f>
        <v>414.15851932000004</v>
      </c>
      <c r="T205" s="61">
        <f>Valores!$C$22*D205</f>
        <v>607.75</v>
      </c>
      <c r="U205" s="77">
        <f t="shared" si="30"/>
        <v>607.75</v>
      </c>
      <c r="V205" s="77">
        <v>0</v>
      </c>
      <c r="W205" s="77">
        <v>0</v>
      </c>
      <c r="X205" s="37">
        <v>0</v>
      </c>
      <c r="Y205" s="77">
        <f>X205*Valores!$C$2*1.006901</f>
        <v>0</v>
      </c>
      <c r="Z205" s="77">
        <v>0</v>
      </c>
      <c r="AA205" s="89">
        <f>(Valores!$C$32)*D205</f>
        <v>68.64</v>
      </c>
      <c r="AB205" s="77">
        <f t="shared" si="34"/>
        <v>0</v>
      </c>
      <c r="AC205" s="77">
        <f>Valores!$C$33*D205</f>
        <v>57.46</v>
      </c>
      <c r="AD205" s="116">
        <v>0</v>
      </c>
      <c r="AE205" s="77">
        <f>AD205*Valores!$C$2*1.006901</f>
        <v>0</v>
      </c>
      <c r="AF205" s="77">
        <f>Valores!$D$51*D205</f>
        <v>235.36924556389738</v>
      </c>
      <c r="AG205" s="77">
        <f>Valores!$D$52*D205</f>
        <v>67.253376844964748</v>
      </c>
      <c r="AH205" s="77">
        <f>SUM(G205,I205,K205,M205,N205,O205,P205,Q205,R205,S205,U205,V205,W205,Y205,Z205,AA205,AB205,AC205,AE205,AF205,AG205)*Valores!$C$54</f>
        <v>0</v>
      </c>
      <c r="AI205" s="139">
        <f t="shared" si="38"/>
        <v>13001.85333128686</v>
      </c>
      <c r="AJ205" s="61">
        <f>Valores!$C$36*D205</f>
        <v>187.23466666666667</v>
      </c>
      <c r="AK205" s="79">
        <f>Valores!$C$11*D205</f>
        <v>111.39345763</v>
      </c>
      <c r="AL205" s="89">
        <v>122.441175402</v>
      </c>
      <c r="AM205" s="79">
        <f>IF($G$4="SI",SUM(AK205+AL205),AK205)*Valores!$C$54</f>
        <v>0</v>
      </c>
      <c r="AN205" s="12">
        <f t="shared" si="35"/>
        <v>421.06929969866667</v>
      </c>
      <c r="AO205" s="13">
        <f>AI205*-Valores!$C$56</f>
        <v>-1690.240933067292</v>
      </c>
      <c r="AP205" s="13">
        <f>AI205*-Valores!$C$57</f>
        <v>-65.009266656434306</v>
      </c>
      <c r="AQ205" s="78">
        <f>AI205*-Valores!$C$58</f>
        <v>-585.08339990790864</v>
      </c>
      <c r="AR205" s="78">
        <f>AI205*-Valores!$C$59</f>
        <v>-351.05003994474527</v>
      </c>
      <c r="AS205" s="78">
        <f>AI205*-Valores!$C$60</f>
        <v>-39.005559993860579</v>
      </c>
      <c r="AT205" s="15">
        <f t="shared" si="36"/>
        <v>11082.589031353891</v>
      </c>
      <c r="AU205" s="15">
        <f t="shared" si="37"/>
        <v>11277.616831323196</v>
      </c>
      <c r="AV205" s="78">
        <f>AI205*Valores!$C$61</f>
        <v>2080.2965330058978</v>
      </c>
      <c r="AW205" s="78">
        <f>AI205*Valores!$C$62</f>
        <v>585.08339990790864</v>
      </c>
      <c r="AX205" s="78">
        <f>AI205*Valores!$C$64</f>
        <v>130.01853331286861</v>
      </c>
      <c r="AY205" s="78">
        <f>AI205*Valores!$C$65</f>
        <v>455.06486659504014</v>
      </c>
      <c r="AZ205" s="78">
        <f>AI205*Valores!$C$66</f>
        <v>78.011119987721159</v>
      </c>
      <c r="BA205" s="78">
        <f t="shared" si="39"/>
        <v>702.10007988949042</v>
      </c>
      <c r="BB205" s="20"/>
      <c r="BC205" s="20">
        <f t="shared" si="33"/>
        <v>52</v>
      </c>
      <c r="BD205" s="9" t="s">
        <v>467</v>
      </c>
    </row>
    <row r="206" spans="1:56" s="9" customFormat="1" ht="11.25" customHeight="1" x14ac:dyDescent="0.15">
      <c r="A206" s="55">
        <v>205</v>
      </c>
      <c r="B206" s="55" t="s">
        <v>462</v>
      </c>
      <c r="C206" s="52" t="s">
        <v>354</v>
      </c>
      <c r="D206" s="52">
        <v>14</v>
      </c>
      <c r="E206" s="53" t="str">
        <f t="shared" si="31"/>
        <v>Hora Cátedra Enseñanza Superior 14 hs</v>
      </c>
      <c r="F206" s="124">
        <f t="shared" si="32"/>
        <v>1386</v>
      </c>
      <c r="G206" s="7">
        <f>INT((F206*Valores!$C$2*100*1.006901)+0.5)/100</f>
        <v>7294.34</v>
      </c>
      <c r="H206" s="131">
        <v>0</v>
      </c>
      <c r="I206" s="77">
        <f>INT((H206*Valores!$C$2*100*1.006901)+0.5)/100</f>
        <v>0</v>
      </c>
      <c r="J206" s="146">
        <v>0</v>
      </c>
      <c r="K206" s="77">
        <f>INT((J206*Valores!$C$2*100*1.006901)+0.5)/100</f>
        <v>0</v>
      </c>
      <c r="L206" s="121">
        <v>0</v>
      </c>
      <c r="M206" s="77">
        <f>INT((L206*Valores!$C$2*100*1.006901)+0.5)/100</f>
        <v>0</v>
      </c>
      <c r="N206" s="80">
        <f t="shared" si="40"/>
        <v>1259.2285300440001</v>
      </c>
      <c r="O206" s="80">
        <f t="shared" si="41"/>
        <v>0</v>
      </c>
      <c r="P206" s="85">
        <f>Valores!$C$14*D206</f>
        <v>1689.05628948</v>
      </c>
      <c r="Q206" s="85">
        <f>IF(D206&lt;15,(Valores!$E$4*D206),Valores!$D$4)</f>
        <v>2197.16</v>
      </c>
      <c r="R206" s="80">
        <v>0</v>
      </c>
      <c r="S206" s="82">
        <f>Valores!$C$45*D206</f>
        <v>446.01686696000002</v>
      </c>
      <c r="T206" s="85">
        <f>Valores!$C$22*D206</f>
        <v>654.5</v>
      </c>
      <c r="U206" s="80">
        <f t="shared" si="30"/>
        <v>654.5</v>
      </c>
      <c r="V206" s="80">
        <v>0</v>
      </c>
      <c r="W206" s="80">
        <v>0</v>
      </c>
      <c r="X206" s="60">
        <v>0</v>
      </c>
      <c r="Y206" s="77">
        <f>X206*Valores!$C$2*1.006901</f>
        <v>0</v>
      </c>
      <c r="Z206" s="80">
        <v>0</v>
      </c>
      <c r="AA206" s="90">
        <f>(Valores!$C$32)*D206</f>
        <v>73.92</v>
      </c>
      <c r="AB206" s="80">
        <f t="shared" si="34"/>
        <v>0</v>
      </c>
      <c r="AC206" s="80">
        <f>Valores!$C$33*D206</f>
        <v>61.879999999999995</v>
      </c>
      <c r="AD206" s="115">
        <v>0</v>
      </c>
      <c r="AE206" s="77">
        <f>AD206*Valores!$C$2*1.006901</f>
        <v>0</v>
      </c>
      <c r="AF206" s="80">
        <f>Valores!$D$51*D206</f>
        <v>253.47457214573564</v>
      </c>
      <c r="AG206" s="80">
        <f>Valores!$D$52*D206</f>
        <v>72.426713525346656</v>
      </c>
      <c r="AH206" s="80">
        <f>SUM(G206,I206,K206,M206,N206,O206,P206,Q206,R206,S206,U206,V206,W206,Y206,Z206,AA206,AB206,AC206,AE206,AF206,AG206)*Valores!$C$54</f>
        <v>0</v>
      </c>
      <c r="AI206" s="140">
        <f t="shared" si="38"/>
        <v>14002.002972155082</v>
      </c>
      <c r="AJ206" s="85">
        <f>Valores!$C$36*D206</f>
        <v>201.63733333333334</v>
      </c>
      <c r="AK206" s="82">
        <f>Valores!$C$11*D206</f>
        <v>119.96218514</v>
      </c>
      <c r="AL206" s="90">
        <v>131.866775663</v>
      </c>
      <c r="AM206" s="82">
        <f>IF($G$4="SI",SUM(AK206+AL206),AK206)*Valores!$C$54</f>
        <v>0</v>
      </c>
      <c r="AN206" s="184">
        <f t="shared" si="35"/>
        <v>453.46629413633332</v>
      </c>
      <c r="AO206" s="153">
        <f>AI206*-Valores!$C$56</f>
        <v>-1820.2603863801608</v>
      </c>
      <c r="AP206" s="153">
        <f>AI206*-Valores!$C$57</f>
        <v>-70.010014860775414</v>
      </c>
      <c r="AQ206" s="81">
        <f>AI206*-Valores!$C$58</f>
        <v>-630.09013374697861</v>
      </c>
      <c r="AR206" s="81">
        <f>AI206*-Valores!$C$59</f>
        <v>-378.05408024818723</v>
      </c>
      <c r="AS206" s="81">
        <f>AI206*-Valores!$C$60</f>
        <v>-42.006008916465248</v>
      </c>
      <c r="AT206" s="54">
        <f t="shared" si="36"/>
        <v>11935.108731303499</v>
      </c>
      <c r="AU206" s="54">
        <f t="shared" si="37"/>
        <v>12145.138775885825</v>
      </c>
      <c r="AV206" s="81">
        <f>AI206*Valores!$C$61</f>
        <v>2240.3204755448132</v>
      </c>
      <c r="AW206" s="81">
        <f>AI206*Valores!$C$62</f>
        <v>630.09013374697861</v>
      </c>
      <c r="AX206" s="81">
        <f>AI206*Valores!$C$64</f>
        <v>140.02002972155083</v>
      </c>
      <c r="AY206" s="81">
        <f>AI206*Valores!$C$65</f>
        <v>490.0701040254279</v>
      </c>
      <c r="AZ206" s="81">
        <f>AI206*Valores!$C$66</f>
        <v>84.012017832930496</v>
      </c>
      <c r="BA206" s="81">
        <f t="shared" si="39"/>
        <v>756.10816049637447</v>
      </c>
      <c r="BB206" s="55"/>
      <c r="BC206" s="55">
        <f t="shared" si="33"/>
        <v>56</v>
      </c>
      <c r="BD206" s="52" t="s">
        <v>467</v>
      </c>
    </row>
    <row r="207" spans="1:56" s="9" customFormat="1" ht="11.25" customHeight="1" x14ac:dyDescent="0.15">
      <c r="A207" s="20">
        <v>206</v>
      </c>
      <c r="B207" s="20"/>
      <c r="C207" s="9" t="s">
        <v>354</v>
      </c>
      <c r="D207" s="9">
        <v>15</v>
      </c>
      <c r="E207" s="10" t="str">
        <f t="shared" si="31"/>
        <v>Hora Cátedra Enseñanza Superior 15 hs</v>
      </c>
      <c r="F207" s="123">
        <f t="shared" si="32"/>
        <v>1485</v>
      </c>
      <c r="G207" s="7">
        <f>INT((F207*Valores!$C$2*100*1.006901)+0.5)/100</f>
        <v>7815.36</v>
      </c>
      <c r="H207" s="132">
        <v>0</v>
      </c>
      <c r="I207" s="77">
        <f>INT((H207*Valores!$C$2*100*1.006901)+0.5)/100</f>
        <v>0</v>
      </c>
      <c r="J207" s="145">
        <v>0</v>
      </c>
      <c r="K207" s="77">
        <f>INT((J207*Valores!$C$2*100*1.006901)+0.5)/100</f>
        <v>0</v>
      </c>
      <c r="L207" s="120">
        <v>0</v>
      </c>
      <c r="M207" s="77">
        <f>INT((L207*Valores!$C$2*100*1.006901)+0.5)/100</f>
        <v>0</v>
      </c>
      <c r="N207" s="77">
        <f t="shared" si="40"/>
        <v>1349.1727821900001</v>
      </c>
      <c r="O207" s="77">
        <f t="shared" si="41"/>
        <v>0</v>
      </c>
      <c r="P207" s="61">
        <f>Valores!$C$14*D207</f>
        <v>1809.7031672999999</v>
      </c>
      <c r="Q207" s="61">
        <f>IF(D207&lt;15,(Valores!$E$4*D207),Valores!$D$4)</f>
        <v>2354.08</v>
      </c>
      <c r="R207" s="77">
        <v>0</v>
      </c>
      <c r="S207" s="79">
        <f>Valores!$C$45*D207</f>
        <v>477.87521460000005</v>
      </c>
      <c r="T207" s="61">
        <f>Valores!$C$22*D207</f>
        <v>701.25</v>
      </c>
      <c r="U207" s="77">
        <f t="shared" si="30"/>
        <v>701.25</v>
      </c>
      <c r="V207" s="77">
        <v>0</v>
      </c>
      <c r="W207" s="77">
        <v>0</v>
      </c>
      <c r="X207" s="37">
        <v>0</v>
      </c>
      <c r="Y207" s="77">
        <f>X207*Valores!$C$2*1.006901</f>
        <v>0</v>
      </c>
      <c r="Z207" s="77">
        <v>0</v>
      </c>
      <c r="AA207" s="89">
        <f>(Valores!$C$32)*D207</f>
        <v>79.2</v>
      </c>
      <c r="AB207" s="77">
        <f t="shared" si="34"/>
        <v>0</v>
      </c>
      <c r="AC207" s="77">
        <f>Valores!$C$33*D207</f>
        <v>66.3</v>
      </c>
      <c r="AD207" s="116">
        <v>0</v>
      </c>
      <c r="AE207" s="77">
        <f>AD207*Valores!$C$2*1.006901</f>
        <v>0</v>
      </c>
      <c r="AF207" s="77">
        <f>Valores!$D$51*D207</f>
        <v>271.57989872757389</v>
      </c>
      <c r="AG207" s="77">
        <f>Valores!$D$52*D207</f>
        <v>77.60005020572855</v>
      </c>
      <c r="AH207" s="77">
        <f>SUM(G207,I207,K207,M207,N207,O207,P207,Q207,R207,S207,U207,V207,W207,Y207,Z207,AA207,AB207,AC207,AE207,AF207,AG207)*Valores!$C$54</f>
        <v>0</v>
      </c>
      <c r="AI207" s="139">
        <f t="shared" si="38"/>
        <v>15002.121113023302</v>
      </c>
      <c r="AJ207" s="61">
        <f>Valores!$C$36*D207</f>
        <v>216.04</v>
      </c>
      <c r="AK207" s="79">
        <f>Valores!$C$11*D207</f>
        <v>128.53091265</v>
      </c>
      <c r="AL207" s="89">
        <v>141.27827931000002</v>
      </c>
      <c r="AM207" s="79">
        <f>IF($G$4="SI",SUM(AK207+AL207),AK207)*Valores!$C$54</f>
        <v>0</v>
      </c>
      <c r="AN207" s="12">
        <f t="shared" si="35"/>
        <v>485.84919195999998</v>
      </c>
      <c r="AO207" s="13">
        <f>AI207*-Valores!$C$56</f>
        <v>-1950.2757446930293</v>
      </c>
      <c r="AP207" s="13">
        <f>AI207*-Valores!$C$57</f>
        <v>-75.010605565116506</v>
      </c>
      <c r="AQ207" s="78">
        <f>AI207*-Valores!$C$58</f>
        <v>-675.09545008604857</v>
      </c>
      <c r="AR207" s="78">
        <f>AI207*-Valores!$C$59</f>
        <v>-405.05727005162919</v>
      </c>
      <c r="AS207" s="78">
        <f>AI207*-Valores!$C$60</f>
        <v>-45.006363339069907</v>
      </c>
      <c r="AT207" s="15">
        <f t="shared" si="36"/>
        <v>12787.588504639109</v>
      </c>
      <c r="AU207" s="15">
        <f t="shared" si="37"/>
        <v>13012.620321334458</v>
      </c>
      <c r="AV207" s="78">
        <f>AI207*Valores!$C$61</f>
        <v>2400.3393780837282</v>
      </c>
      <c r="AW207" s="78">
        <f>AI207*Valores!$C$62</f>
        <v>675.09545008604857</v>
      </c>
      <c r="AX207" s="78">
        <f>AI207*Valores!$C$64</f>
        <v>150.02121113023301</v>
      </c>
      <c r="AY207" s="78">
        <f>AI207*Valores!$C$65</f>
        <v>525.07423895581564</v>
      </c>
      <c r="AZ207" s="78">
        <f>AI207*Valores!$C$66</f>
        <v>90.012726678139813</v>
      </c>
      <c r="BA207" s="78">
        <f t="shared" si="39"/>
        <v>810.11454010325838</v>
      </c>
      <c r="BB207" s="20"/>
      <c r="BC207" s="20">
        <f t="shared" si="33"/>
        <v>60</v>
      </c>
      <c r="BD207" s="9" t="s">
        <v>467</v>
      </c>
    </row>
    <row r="208" spans="1:56" s="9" customFormat="1" ht="11.25" customHeight="1" x14ac:dyDescent="0.15">
      <c r="A208" s="20">
        <v>207</v>
      </c>
      <c r="B208" s="20"/>
      <c r="C208" s="9" t="s">
        <v>354</v>
      </c>
      <c r="D208" s="9">
        <v>16</v>
      </c>
      <c r="E208" s="10" t="str">
        <f t="shared" si="31"/>
        <v>Hora Cátedra Enseñanza Superior 16 hs</v>
      </c>
      <c r="F208" s="123">
        <f t="shared" si="32"/>
        <v>1584</v>
      </c>
      <c r="G208" s="7">
        <f>INT((F208*Valores!$C$2*100*1.006901)+0.5)/100</f>
        <v>8336.39</v>
      </c>
      <c r="H208" s="132">
        <v>0</v>
      </c>
      <c r="I208" s="77">
        <f>INT((H208*Valores!$C$2*100*1.006901)+0.5)/100</f>
        <v>0</v>
      </c>
      <c r="J208" s="145">
        <v>0</v>
      </c>
      <c r="K208" s="77">
        <f>INT((J208*Valores!$C$2*100*1.006901)+0.5)/100</f>
        <v>0</v>
      </c>
      <c r="L208" s="120">
        <v>0</v>
      </c>
      <c r="M208" s="77">
        <f>INT((L208*Valores!$C$2*100*1.006901)+0.5)/100</f>
        <v>0</v>
      </c>
      <c r="N208" s="77">
        <f t="shared" si="40"/>
        <v>1439.118534336</v>
      </c>
      <c r="O208" s="77">
        <f t="shared" si="41"/>
        <v>0</v>
      </c>
      <c r="P208" s="61">
        <f>Valores!$C$14*D208</f>
        <v>1930.35004512</v>
      </c>
      <c r="Q208" s="61">
        <f>IF(D208&lt;15,(Valores!$E$4*D208),Valores!$D$4)</f>
        <v>2354.08</v>
      </c>
      <c r="R208" s="77">
        <v>0</v>
      </c>
      <c r="S208" s="79">
        <f>Valores!$C$45*D208</f>
        <v>509.73356224000003</v>
      </c>
      <c r="T208" s="61">
        <f>Valores!$C$22*D208</f>
        <v>748</v>
      </c>
      <c r="U208" s="77">
        <f t="shared" si="30"/>
        <v>748</v>
      </c>
      <c r="V208" s="77">
        <v>0</v>
      </c>
      <c r="W208" s="77">
        <v>0</v>
      </c>
      <c r="X208" s="37">
        <v>0</v>
      </c>
      <c r="Y208" s="77">
        <f>X208*Valores!$C$2*1.006901</f>
        <v>0</v>
      </c>
      <c r="Z208" s="77">
        <v>0</v>
      </c>
      <c r="AA208" s="89">
        <f>(Valores!$C$32)*D208</f>
        <v>84.48</v>
      </c>
      <c r="AB208" s="77">
        <f t="shared" si="34"/>
        <v>0</v>
      </c>
      <c r="AC208" s="77">
        <f>Valores!$C$33*D208</f>
        <v>70.72</v>
      </c>
      <c r="AD208" s="116">
        <v>0</v>
      </c>
      <c r="AE208" s="77">
        <f>AD208*Valores!$C$2*1.006901</f>
        <v>0</v>
      </c>
      <c r="AF208" s="77">
        <f>Valores!$D$51*D208</f>
        <v>289.68522530941215</v>
      </c>
      <c r="AG208" s="77">
        <f>Valores!$D$52*D208</f>
        <v>82.773386886110458</v>
      </c>
      <c r="AH208" s="77">
        <f>SUM(G208,I208,K208,M208,N208,O208,P208,Q208,R208,S208,U208,V208,W208,Y208,Z208,AA208,AB208,AC208,AE208,AF208,AG208)*Valores!$C$54</f>
        <v>0</v>
      </c>
      <c r="AI208" s="139">
        <f t="shared" si="38"/>
        <v>15845.330753891521</v>
      </c>
      <c r="AJ208" s="61">
        <f>Valores!$C$36*D208</f>
        <v>230.44266666666667</v>
      </c>
      <c r="AK208" s="79">
        <f>Valores!$C$11*D208</f>
        <v>137.09964016000001</v>
      </c>
      <c r="AL208" s="89">
        <v>150.704886472</v>
      </c>
      <c r="AM208" s="79">
        <f>IF($G$4="SI",SUM(AK208+AL208),AK208)*Valores!$C$54</f>
        <v>0</v>
      </c>
      <c r="AN208" s="12">
        <f t="shared" si="35"/>
        <v>518.24719329866662</v>
      </c>
      <c r="AO208" s="13">
        <f>AI208*-Valores!$C$56</f>
        <v>-2059.8929980058979</v>
      </c>
      <c r="AP208" s="13">
        <f>AI208*-Valores!$C$57</f>
        <v>-79.226653769457613</v>
      </c>
      <c r="AQ208" s="78">
        <f>AI208*-Valores!$C$58</f>
        <v>-713.03988392511849</v>
      </c>
      <c r="AR208" s="78">
        <f>AI208*-Valores!$C$59</f>
        <v>-427.82393035507113</v>
      </c>
      <c r="AS208" s="78">
        <f>AI208*-Valores!$C$60</f>
        <v>-47.535992261674565</v>
      </c>
      <c r="AT208" s="15">
        <f t="shared" si="36"/>
        <v>13511.418411489713</v>
      </c>
      <c r="AU208" s="15">
        <f t="shared" si="37"/>
        <v>13749.098372798086</v>
      </c>
      <c r="AV208" s="78">
        <f>AI208*Valores!$C$61</f>
        <v>2535.2529206226436</v>
      </c>
      <c r="AW208" s="78">
        <f>AI208*Valores!$C$62</f>
        <v>713.03988392511849</v>
      </c>
      <c r="AX208" s="78">
        <f>AI208*Valores!$C$64</f>
        <v>158.45330753891523</v>
      </c>
      <c r="AY208" s="78">
        <f>AI208*Valores!$C$65</f>
        <v>554.58657638620332</v>
      </c>
      <c r="AZ208" s="78">
        <f>AI208*Valores!$C$66</f>
        <v>95.07198452334913</v>
      </c>
      <c r="BA208" s="78">
        <f t="shared" si="39"/>
        <v>855.64786071014225</v>
      </c>
      <c r="BB208" s="20"/>
      <c r="BC208" s="20">
        <f t="shared" si="33"/>
        <v>64</v>
      </c>
      <c r="BD208" s="9" t="s">
        <v>467</v>
      </c>
    </row>
    <row r="209" spans="1:56" s="9" customFormat="1" ht="11.25" customHeight="1" x14ac:dyDescent="0.15">
      <c r="A209" s="20">
        <v>208</v>
      </c>
      <c r="B209" s="20"/>
      <c r="C209" s="9" t="s">
        <v>354</v>
      </c>
      <c r="D209" s="9">
        <v>17</v>
      </c>
      <c r="E209" s="10" t="str">
        <f t="shared" si="31"/>
        <v>Hora Cátedra Enseñanza Superior 17 hs</v>
      </c>
      <c r="F209" s="123">
        <f t="shared" si="32"/>
        <v>1683</v>
      </c>
      <c r="G209" s="7">
        <f>INT((F209*Valores!$C$2*100*1.006901)+0.5)/100</f>
        <v>8857.41</v>
      </c>
      <c r="H209" s="132">
        <v>0</v>
      </c>
      <c r="I209" s="77">
        <f>INT((H209*Valores!$C$2*100*1.006901)+0.5)/100</f>
        <v>0</v>
      </c>
      <c r="J209" s="145">
        <v>0</v>
      </c>
      <c r="K209" s="77">
        <f>INT((J209*Valores!$C$2*100*1.006901)+0.5)/100</f>
        <v>0</v>
      </c>
      <c r="L209" s="120">
        <v>0</v>
      </c>
      <c r="M209" s="77">
        <f>INT((L209*Valores!$C$2*100*1.006901)+0.5)/100</f>
        <v>0</v>
      </c>
      <c r="N209" s="77">
        <f t="shared" si="40"/>
        <v>1529.0627864820001</v>
      </c>
      <c r="O209" s="77">
        <f t="shared" si="41"/>
        <v>0</v>
      </c>
      <c r="P209" s="61">
        <f>Valores!$C$14*D209</f>
        <v>2050.9969229399999</v>
      </c>
      <c r="Q209" s="61">
        <f>IF(D209&lt;15,(Valores!$E$4*D209),Valores!$D$4)</f>
        <v>2354.08</v>
      </c>
      <c r="R209" s="77">
        <v>0</v>
      </c>
      <c r="S209" s="79">
        <f>Valores!$C$45*D209</f>
        <v>541.59190988</v>
      </c>
      <c r="T209" s="61">
        <f>Valores!$C$22*D209</f>
        <v>794.75</v>
      </c>
      <c r="U209" s="77">
        <f t="shared" si="30"/>
        <v>794.75</v>
      </c>
      <c r="V209" s="77">
        <v>0</v>
      </c>
      <c r="W209" s="77">
        <v>0</v>
      </c>
      <c r="X209" s="37">
        <v>0</v>
      </c>
      <c r="Y209" s="77">
        <f>X209*Valores!$C$2*1.006901</f>
        <v>0</v>
      </c>
      <c r="Z209" s="77">
        <v>0</v>
      </c>
      <c r="AA209" s="89">
        <f>(Valores!$C$32)*D209</f>
        <v>89.76</v>
      </c>
      <c r="AB209" s="77">
        <f t="shared" si="34"/>
        <v>0</v>
      </c>
      <c r="AC209" s="77">
        <f>Valores!$C$33*D209</f>
        <v>75.14</v>
      </c>
      <c r="AD209" s="116">
        <v>0</v>
      </c>
      <c r="AE209" s="77">
        <f>AD209*Valores!$C$2*1.006901</f>
        <v>0</v>
      </c>
      <c r="AF209" s="77">
        <f>Valores!$D$51*D209</f>
        <v>307.7905518912504</v>
      </c>
      <c r="AG209" s="77">
        <f>Valores!$D$52*D209</f>
        <v>87.946723566492366</v>
      </c>
      <c r="AH209" s="77">
        <f>SUM(G209,I209,K209,M209,N209,O209,P209,Q209,R209,S209,U209,V209,W209,Y209,Z209,AA209,AB209,AC209,AE209,AF209,AG209)*Valores!$C$54</f>
        <v>0</v>
      </c>
      <c r="AI209" s="139">
        <f t="shared" si="38"/>
        <v>16688.528894759744</v>
      </c>
      <c r="AJ209" s="61">
        <f>Valores!$C$36*D209</f>
        <v>244.84533333333334</v>
      </c>
      <c r="AK209" s="79">
        <f>Valores!$C$11*D209</f>
        <v>145.66836767000001</v>
      </c>
      <c r="AL209" s="89">
        <v>160.1239418765</v>
      </c>
      <c r="AM209" s="79">
        <f>IF($G$4="SI",SUM(AK209+AL209),AK209)*Valores!$C$54</f>
        <v>0</v>
      </c>
      <c r="AN209" s="12">
        <f t="shared" si="35"/>
        <v>550.63764287983338</v>
      </c>
      <c r="AO209" s="13">
        <f>AI209*-Valores!$C$56</f>
        <v>-2169.5087563187667</v>
      </c>
      <c r="AP209" s="13">
        <f>AI209*-Valores!$C$57</f>
        <v>-83.442644473798723</v>
      </c>
      <c r="AQ209" s="78">
        <f>AI209*-Valores!$C$58</f>
        <v>-750.9838002641884</v>
      </c>
      <c r="AR209" s="78">
        <f>AI209*-Valores!$C$59</f>
        <v>-450.59028015851311</v>
      </c>
      <c r="AS209" s="78">
        <f>AI209*-Valores!$C$60</f>
        <v>-50.065586684279232</v>
      </c>
      <c r="AT209" s="15">
        <f t="shared" si="36"/>
        <v>14235.231336582823</v>
      </c>
      <c r="AU209" s="15">
        <f t="shared" si="37"/>
        <v>14485.559270004218</v>
      </c>
      <c r="AV209" s="78">
        <f>AI209*Valores!$C$61</f>
        <v>2670.1646231615591</v>
      </c>
      <c r="AW209" s="78">
        <f>AI209*Valores!$C$62</f>
        <v>750.9838002641884</v>
      </c>
      <c r="AX209" s="78">
        <f>AI209*Valores!$C$64</f>
        <v>166.88528894759745</v>
      </c>
      <c r="AY209" s="78">
        <f>AI209*Valores!$C$65</f>
        <v>584.09851131659104</v>
      </c>
      <c r="AZ209" s="78">
        <f>AI209*Valores!$C$66</f>
        <v>100.13117336855846</v>
      </c>
      <c r="BA209" s="78">
        <f t="shared" si="39"/>
        <v>901.18056031702622</v>
      </c>
      <c r="BB209" s="20"/>
      <c r="BC209" s="55">
        <f t="shared" si="33"/>
        <v>68</v>
      </c>
      <c r="BD209" s="9" t="s">
        <v>467</v>
      </c>
    </row>
    <row r="210" spans="1:56" s="9" customFormat="1" ht="11.25" customHeight="1" x14ac:dyDescent="0.15">
      <c r="A210" s="20">
        <v>209</v>
      </c>
      <c r="B210" s="20"/>
      <c r="C210" s="9" t="s">
        <v>354</v>
      </c>
      <c r="D210" s="9">
        <v>18</v>
      </c>
      <c r="E210" s="10" t="str">
        <f t="shared" si="31"/>
        <v>Hora Cátedra Enseñanza Superior 18 hs</v>
      </c>
      <c r="F210" s="123">
        <f t="shared" si="32"/>
        <v>1782</v>
      </c>
      <c r="G210" s="7">
        <f>INT((F210*Valores!$C$2*100*1.006901)+0.5)/100</f>
        <v>9378.43</v>
      </c>
      <c r="H210" s="132">
        <v>0</v>
      </c>
      <c r="I210" s="77">
        <f>INT((H210*Valores!$C$2*100*1.006901)+0.5)/100</f>
        <v>0</v>
      </c>
      <c r="J210" s="145">
        <v>0</v>
      </c>
      <c r="K210" s="77">
        <f>INT((J210*Valores!$C$2*100*1.006901)+0.5)/100</f>
        <v>0</v>
      </c>
      <c r="L210" s="120">
        <v>0</v>
      </c>
      <c r="M210" s="77">
        <f>INT((L210*Valores!$C$2*100*1.006901)+0.5)/100</f>
        <v>0</v>
      </c>
      <c r="N210" s="77">
        <f t="shared" si="40"/>
        <v>1619.0070386280001</v>
      </c>
      <c r="O210" s="77">
        <f t="shared" si="41"/>
        <v>0</v>
      </c>
      <c r="P210" s="61">
        <f>Valores!$C$14*D210</f>
        <v>2171.64380076</v>
      </c>
      <c r="Q210" s="61">
        <f>IF(D210&lt;15,(Valores!$E$4*D210),Valores!$D$4)</f>
        <v>2354.08</v>
      </c>
      <c r="R210" s="77">
        <v>0</v>
      </c>
      <c r="S210" s="79">
        <f>Valores!$C$45*D210</f>
        <v>573.45025752000004</v>
      </c>
      <c r="T210" s="61">
        <f>Valores!$C$22*D210</f>
        <v>841.5</v>
      </c>
      <c r="U210" s="77">
        <f t="shared" si="30"/>
        <v>841.5</v>
      </c>
      <c r="V210" s="77">
        <v>0</v>
      </c>
      <c r="W210" s="77">
        <v>0</v>
      </c>
      <c r="X210" s="37">
        <v>0</v>
      </c>
      <c r="Y210" s="77">
        <f>X210*Valores!$C$2*1.006901</f>
        <v>0</v>
      </c>
      <c r="Z210" s="77">
        <v>0</v>
      </c>
      <c r="AA210" s="89">
        <f>(Valores!$C$32)*D210</f>
        <v>95.04</v>
      </c>
      <c r="AB210" s="77">
        <f t="shared" si="34"/>
        <v>0</v>
      </c>
      <c r="AC210" s="77">
        <f>Valores!$C$33*D210</f>
        <v>79.56</v>
      </c>
      <c r="AD210" s="116">
        <v>0</v>
      </c>
      <c r="AE210" s="77">
        <f>AD210*Valores!$C$2*1.006901</f>
        <v>0</v>
      </c>
      <c r="AF210" s="77">
        <f>Valores!$D$51*D210</f>
        <v>325.89587847308866</v>
      </c>
      <c r="AG210" s="77">
        <f>Valores!$D$52*D210</f>
        <v>93.12006024687426</v>
      </c>
      <c r="AH210" s="77">
        <f>SUM(G210,I210,K210,M210,N210,O210,P210,Q210,R210,S210,U210,V210,W210,Y210,Z210,AA210,AB210,AC210,AE210,AF210,AG210)*Valores!$C$54</f>
        <v>0</v>
      </c>
      <c r="AI210" s="139">
        <f t="shared" si="38"/>
        <v>17531.727035627962</v>
      </c>
      <c r="AJ210" s="61">
        <f>Valores!$C$36*D210</f>
        <v>259.24799999999999</v>
      </c>
      <c r="AK210" s="79">
        <f>Valores!$C$11*D210</f>
        <v>154.23709518000001</v>
      </c>
      <c r="AL210" s="89">
        <v>169.542997281</v>
      </c>
      <c r="AM210" s="79">
        <f>IF($G$4="SI",SUM(AK210+AL210),AK210)*Valores!$C$54</f>
        <v>0</v>
      </c>
      <c r="AN210" s="12">
        <f t="shared" si="35"/>
        <v>583.02809246100003</v>
      </c>
      <c r="AO210" s="13">
        <f>AI210*-Valores!$C$56</f>
        <v>-2279.1245146316351</v>
      </c>
      <c r="AP210" s="13">
        <f>AI210*-Valores!$C$57</f>
        <v>-87.658635178139818</v>
      </c>
      <c r="AQ210" s="78">
        <f>AI210*-Valores!$C$58</f>
        <v>-788.92771660325832</v>
      </c>
      <c r="AR210" s="78">
        <f>AI210*-Valores!$C$59</f>
        <v>-473.35662996195504</v>
      </c>
      <c r="AS210" s="78">
        <f>AI210*-Valores!$C$60</f>
        <v>-52.595181106883885</v>
      </c>
      <c r="AT210" s="15">
        <f t="shared" si="36"/>
        <v>14959.044261675928</v>
      </c>
      <c r="AU210" s="15">
        <f t="shared" si="37"/>
        <v>15222.020167210347</v>
      </c>
      <c r="AV210" s="78">
        <f>AI210*Valores!$C$61</f>
        <v>2805.0763257004742</v>
      </c>
      <c r="AW210" s="78">
        <f>AI210*Valores!$C$62</f>
        <v>788.92771660325832</v>
      </c>
      <c r="AX210" s="78">
        <f>AI210*Valores!$C$64</f>
        <v>175.31727035627964</v>
      </c>
      <c r="AY210" s="78">
        <f>AI210*Valores!$C$65</f>
        <v>613.61044624697877</v>
      </c>
      <c r="AZ210" s="78">
        <f>AI210*Valores!$C$66</f>
        <v>105.19036221376777</v>
      </c>
      <c r="BA210" s="78">
        <f t="shared" si="39"/>
        <v>946.71325992391007</v>
      </c>
      <c r="BB210" s="20"/>
      <c r="BC210" s="20">
        <f t="shared" si="33"/>
        <v>72</v>
      </c>
      <c r="BD210" s="9" t="s">
        <v>467</v>
      </c>
    </row>
    <row r="211" spans="1:56" s="9" customFormat="1" ht="11.25" customHeight="1" x14ac:dyDescent="0.15">
      <c r="A211" s="55">
        <v>210</v>
      </c>
      <c r="B211" s="55" t="s">
        <v>462</v>
      </c>
      <c r="C211" s="52" t="s">
        <v>354</v>
      </c>
      <c r="D211" s="52">
        <v>19</v>
      </c>
      <c r="E211" s="53" t="str">
        <f t="shared" si="31"/>
        <v>Hora Cátedra Enseñanza Superior 19 hs</v>
      </c>
      <c r="F211" s="124">
        <f t="shared" si="32"/>
        <v>1881</v>
      </c>
      <c r="G211" s="7">
        <f>INT((F211*Valores!$C$2*100*1.006901)+0.5)/100</f>
        <v>9899.4599999999991</v>
      </c>
      <c r="H211" s="131">
        <v>0</v>
      </c>
      <c r="I211" s="77">
        <f>INT((H211*Valores!$C$2*100*1.006901)+0.5)/100</f>
        <v>0</v>
      </c>
      <c r="J211" s="146">
        <v>0</v>
      </c>
      <c r="K211" s="77">
        <f>INT((J211*Valores!$C$2*100*1.006901)+0.5)/100</f>
        <v>0</v>
      </c>
      <c r="L211" s="121">
        <v>0</v>
      </c>
      <c r="M211" s="77">
        <f>INT((L211*Valores!$C$2*100*1.006901)+0.5)/100</f>
        <v>0</v>
      </c>
      <c r="N211" s="80">
        <f t="shared" si="40"/>
        <v>1708.9527907739998</v>
      </c>
      <c r="O211" s="80">
        <f t="shared" si="41"/>
        <v>0</v>
      </c>
      <c r="P211" s="85">
        <f>Valores!$C$14*D211</f>
        <v>2292.2906785800001</v>
      </c>
      <c r="Q211" s="85">
        <f>IF(D211&lt;15,(Valores!$E$4*D211),Valores!$D$4)</f>
        <v>2354.08</v>
      </c>
      <c r="R211" s="80">
        <v>0</v>
      </c>
      <c r="S211" s="82">
        <f>Valores!$C$45*D211</f>
        <v>605.30860516000007</v>
      </c>
      <c r="T211" s="85">
        <f>Valores!$C$22*D211</f>
        <v>888.25</v>
      </c>
      <c r="U211" s="80">
        <f t="shared" si="30"/>
        <v>888.25</v>
      </c>
      <c r="V211" s="80">
        <v>0</v>
      </c>
      <c r="W211" s="80">
        <v>0</v>
      </c>
      <c r="X211" s="60">
        <v>0</v>
      </c>
      <c r="Y211" s="77">
        <f>X211*Valores!$C$2*1.006901</f>
        <v>0</v>
      </c>
      <c r="Z211" s="80">
        <v>0</v>
      </c>
      <c r="AA211" s="90">
        <f>(Valores!$C$32)*D211</f>
        <v>100.32000000000001</v>
      </c>
      <c r="AB211" s="80">
        <f t="shared" si="34"/>
        <v>0</v>
      </c>
      <c r="AC211" s="80">
        <f>Valores!$C$33*D211</f>
        <v>83.98</v>
      </c>
      <c r="AD211" s="115">
        <v>0</v>
      </c>
      <c r="AE211" s="77">
        <f>AD211*Valores!$C$2*1.006901</f>
        <v>0</v>
      </c>
      <c r="AF211" s="80">
        <f>Valores!$D$51*D211</f>
        <v>344.00120505492691</v>
      </c>
      <c r="AG211" s="80">
        <f>Valores!$D$52*D211</f>
        <v>98.293396927256168</v>
      </c>
      <c r="AH211" s="80">
        <f>SUM(G211,I211,K211,M211,N211,O211,P211,Q211,R211,S211,U211,V211,W211,Y211,Z211,AA211,AB211,AC211,AE211,AF211,AG211)*Valores!$C$54</f>
        <v>0</v>
      </c>
      <c r="AI211" s="140">
        <f t="shared" si="38"/>
        <v>18374.936676496181</v>
      </c>
      <c r="AJ211" s="85">
        <f>Valores!$C$36*D211</f>
        <v>273.65066666666667</v>
      </c>
      <c r="AK211" s="82">
        <f>Valores!$C$11*D211</f>
        <v>162.80582269000001</v>
      </c>
      <c r="AL211" s="90">
        <v>178.9620526855</v>
      </c>
      <c r="AM211" s="82">
        <f>IF($G$4="SI",SUM(AK211+AL211),AK211)*Valores!$C$54</f>
        <v>0</v>
      </c>
      <c r="AN211" s="184">
        <f t="shared" si="35"/>
        <v>615.41854204216668</v>
      </c>
      <c r="AO211" s="153">
        <f>AI211*-Valores!$C$56</f>
        <v>-2388.7417679445039</v>
      </c>
      <c r="AP211" s="153">
        <f>AI211*-Valores!$C$57</f>
        <v>-91.87468338248091</v>
      </c>
      <c r="AQ211" s="81">
        <f>AI211*-Valores!$C$58</f>
        <v>-826.87215044232812</v>
      </c>
      <c r="AR211" s="81">
        <f>AI211*-Valores!$C$59</f>
        <v>-496.12329026539697</v>
      </c>
      <c r="AS211" s="81">
        <f>AI211*-Valores!$C$60</f>
        <v>-55.124810029488543</v>
      </c>
      <c r="AT211" s="54">
        <f t="shared" si="36"/>
        <v>15682.866616769037</v>
      </c>
      <c r="AU211" s="54">
        <f t="shared" si="37"/>
        <v>15958.490666916477</v>
      </c>
      <c r="AV211" s="81">
        <f>AI211*Valores!$C$61</f>
        <v>2939.9898682393891</v>
      </c>
      <c r="AW211" s="81">
        <f>AI211*Valores!$C$62</f>
        <v>826.87215044232812</v>
      </c>
      <c r="AX211" s="81">
        <f>AI211*Valores!$C$64</f>
        <v>183.74936676496182</v>
      </c>
      <c r="AY211" s="81">
        <f>AI211*Valores!$C$65</f>
        <v>643.12278367736644</v>
      </c>
      <c r="AZ211" s="81">
        <f>AI211*Valores!$C$66</f>
        <v>110.24962005897709</v>
      </c>
      <c r="BA211" s="81">
        <f t="shared" si="39"/>
        <v>992.24658053079384</v>
      </c>
      <c r="BB211" s="55"/>
      <c r="BC211" s="55">
        <f t="shared" si="33"/>
        <v>76</v>
      </c>
      <c r="BD211" s="52" t="s">
        <v>467</v>
      </c>
    </row>
    <row r="212" spans="1:56" s="9" customFormat="1" ht="11.25" customHeight="1" x14ac:dyDescent="0.15">
      <c r="A212" s="20">
        <v>211</v>
      </c>
      <c r="B212" s="20"/>
      <c r="C212" s="9" t="s">
        <v>354</v>
      </c>
      <c r="D212" s="9">
        <v>20</v>
      </c>
      <c r="E212" s="10" t="str">
        <f t="shared" si="31"/>
        <v>Hora Cátedra Enseñanza Superior 20 hs</v>
      </c>
      <c r="F212" s="123">
        <f t="shared" si="32"/>
        <v>1980</v>
      </c>
      <c r="G212" s="7">
        <f>INT((F212*Valores!$C$2*100*1.006901)+0.5)/100</f>
        <v>10420.48</v>
      </c>
      <c r="H212" s="132">
        <v>0</v>
      </c>
      <c r="I212" s="77">
        <f>INT((H212*Valores!$C$2*100*1.006901)+0.5)/100</f>
        <v>0</v>
      </c>
      <c r="J212" s="145">
        <v>0</v>
      </c>
      <c r="K212" s="77">
        <f>INT((J212*Valores!$C$2*100*1.006901)+0.5)/100</f>
        <v>0</v>
      </c>
      <c r="L212" s="120">
        <v>0</v>
      </c>
      <c r="M212" s="77">
        <f>INT((L212*Valores!$C$2*100*1.006901)+0.5)/100</f>
        <v>0</v>
      </c>
      <c r="N212" s="77">
        <f t="shared" si="40"/>
        <v>1798.8970429199999</v>
      </c>
      <c r="O212" s="77">
        <f t="shared" si="41"/>
        <v>0</v>
      </c>
      <c r="P212" s="61">
        <f>Valores!$C$14*D212</f>
        <v>2412.9375564000002</v>
      </c>
      <c r="Q212" s="61">
        <f>IF(D212&lt;15,(Valores!$E$4*D212),Valores!$D$4)</f>
        <v>2354.08</v>
      </c>
      <c r="R212" s="77">
        <v>0</v>
      </c>
      <c r="S212" s="79">
        <f>Valores!$C$45*D212</f>
        <v>637.16695279999999</v>
      </c>
      <c r="T212" s="61">
        <f>Valores!$C$22*D212</f>
        <v>935</v>
      </c>
      <c r="U212" s="77">
        <f t="shared" si="30"/>
        <v>935</v>
      </c>
      <c r="V212" s="77">
        <v>0</v>
      </c>
      <c r="W212" s="77">
        <v>0</v>
      </c>
      <c r="X212" s="37">
        <v>0</v>
      </c>
      <c r="Y212" s="77">
        <f>X212*Valores!$C$2*1.006901</f>
        <v>0</v>
      </c>
      <c r="Z212" s="77">
        <v>0</v>
      </c>
      <c r="AA212" s="89">
        <f>(Valores!$C$32)*D212</f>
        <v>105.60000000000001</v>
      </c>
      <c r="AB212" s="77">
        <f t="shared" si="34"/>
        <v>0</v>
      </c>
      <c r="AC212" s="77">
        <f>Valores!$C$33*D212</f>
        <v>88.4</v>
      </c>
      <c r="AD212" s="116">
        <v>0</v>
      </c>
      <c r="AE212" s="77">
        <f>AD212*Valores!$C$2*1.006901</f>
        <v>0</v>
      </c>
      <c r="AF212" s="77">
        <f>Valores!$D$51*D212</f>
        <v>362.10653163676517</v>
      </c>
      <c r="AG212" s="77">
        <f>Valores!$D$52*D212</f>
        <v>103.46673360763808</v>
      </c>
      <c r="AH212" s="77">
        <f>SUM(G212,I212,K212,M212,N212,O212,P212,Q212,R212,S212,U212,V212,W212,Y212,Z212,AA212,AB212,AC212,AE212,AF212,AG212)*Valores!$C$54</f>
        <v>0</v>
      </c>
      <c r="AI212" s="139">
        <f t="shared" si="38"/>
        <v>19218.1348173644</v>
      </c>
      <c r="AJ212" s="61">
        <f>Valores!$C$36*D212</f>
        <v>288.05333333333334</v>
      </c>
      <c r="AK212" s="79">
        <f>Valores!$C$11*D212</f>
        <v>171.37455020000002</v>
      </c>
      <c r="AL212" s="89">
        <v>188.37204598100001</v>
      </c>
      <c r="AM212" s="79">
        <f>IF($G$4="SI",SUM(AK212+AL212),AK212)*Valores!$C$54</f>
        <v>0</v>
      </c>
      <c r="AN212" s="12">
        <f t="shared" si="35"/>
        <v>647.79992951433337</v>
      </c>
      <c r="AO212" s="13">
        <f>AI212*-Valores!$C$56</f>
        <v>-2498.3575262573722</v>
      </c>
      <c r="AP212" s="13">
        <f>AI212*-Valores!$C$57</f>
        <v>-96.090674086822006</v>
      </c>
      <c r="AQ212" s="78">
        <f>AI212*-Valores!$C$58</f>
        <v>-864.81606678139792</v>
      </c>
      <c r="AR212" s="78">
        <f>AI212*-Valores!$C$59</f>
        <v>-518.88964006883884</v>
      </c>
      <c r="AS212" s="78">
        <f>AI212*-Valores!$C$60</f>
        <v>-57.654404452093203</v>
      </c>
      <c r="AT212" s="15">
        <f t="shared" si="36"/>
        <v>16406.670479753142</v>
      </c>
      <c r="AU212" s="15">
        <f t="shared" si="37"/>
        <v>16694.942502013608</v>
      </c>
      <c r="AV212" s="78">
        <f>AI212*Valores!$C$61</f>
        <v>3074.9015707783042</v>
      </c>
      <c r="AW212" s="78">
        <f>AI212*Valores!$C$62</f>
        <v>864.81606678139792</v>
      </c>
      <c r="AX212" s="78">
        <f>AI212*Valores!$C$64</f>
        <v>192.18134817364401</v>
      </c>
      <c r="AY212" s="78">
        <f>AI212*Valores!$C$65</f>
        <v>672.63471860775405</v>
      </c>
      <c r="AZ212" s="78">
        <f>AI212*Valores!$C$66</f>
        <v>115.30880890418641</v>
      </c>
      <c r="BA212" s="78">
        <f t="shared" si="39"/>
        <v>1037.7792801376777</v>
      </c>
      <c r="BB212" s="20"/>
      <c r="BC212" s="20">
        <f t="shared" si="33"/>
        <v>80</v>
      </c>
      <c r="BD212" s="9" t="s">
        <v>467</v>
      </c>
    </row>
    <row r="213" spans="1:56" s="9" customFormat="1" ht="11.25" customHeight="1" x14ac:dyDescent="0.15">
      <c r="A213" s="20">
        <v>212</v>
      </c>
      <c r="B213" s="20"/>
      <c r="C213" s="9" t="s">
        <v>354</v>
      </c>
      <c r="D213" s="9">
        <v>21</v>
      </c>
      <c r="E213" s="10" t="str">
        <f t="shared" si="31"/>
        <v>Hora Cátedra Enseñanza Superior 21 hs</v>
      </c>
      <c r="F213" s="123">
        <f t="shared" si="32"/>
        <v>2079</v>
      </c>
      <c r="G213" s="7">
        <f>INT((F213*Valores!$C$2*100*1.006901)+0.5)/100</f>
        <v>10941.51</v>
      </c>
      <c r="H213" s="132">
        <v>0</v>
      </c>
      <c r="I213" s="77">
        <f>INT((H213*Valores!$C$2*100*1.006901)+0.5)/100</f>
        <v>0</v>
      </c>
      <c r="J213" s="145">
        <v>0</v>
      </c>
      <c r="K213" s="77">
        <f>INT((J213*Valores!$C$2*100*1.006901)+0.5)/100</f>
        <v>0</v>
      </c>
      <c r="L213" s="120">
        <v>0</v>
      </c>
      <c r="M213" s="77">
        <f>INT((L213*Valores!$C$2*100*1.006901)+0.5)/100</f>
        <v>0</v>
      </c>
      <c r="N213" s="77">
        <f t="shared" si="40"/>
        <v>1888.842795066</v>
      </c>
      <c r="O213" s="77">
        <f t="shared" si="41"/>
        <v>0</v>
      </c>
      <c r="P213" s="61">
        <f>Valores!$C$14*D213</f>
        <v>2533.5844342199998</v>
      </c>
      <c r="Q213" s="61">
        <f>IF(D213&lt;15,(Valores!$E$4*D213),Valores!$D$4)</f>
        <v>2354.08</v>
      </c>
      <c r="R213" s="77">
        <v>0</v>
      </c>
      <c r="S213" s="79">
        <f>Valores!$C$45*D213</f>
        <v>669.02530044000002</v>
      </c>
      <c r="T213" s="61">
        <f>Valores!$C$22*D213</f>
        <v>981.75</v>
      </c>
      <c r="U213" s="77">
        <f t="shared" si="30"/>
        <v>981.75</v>
      </c>
      <c r="V213" s="77">
        <v>0</v>
      </c>
      <c r="W213" s="77">
        <v>0</v>
      </c>
      <c r="X213" s="37">
        <v>0</v>
      </c>
      <c r="Y213" s="77">
        <f>X213*Valores!$C$2*1.006901</f>
        <v>0</v>
      </c>
      <c r="Z213" s="77">
        <v>0</v>
      </c>
      <c r="AA213" s="89">
        <f>(Valores!$C$32)*D213</f>
        <v>110.88000000000001</v>
      </c>
      <c r="AB213" s="77">
        <f t="shared" si="34"/>
        <v>0</v>
      </c>
      <c r="AC213" s="77">
        <f>Valores!$C$33*D213</f>
        <v>92.82</v>
      </c>
      <c r="AD213" s="116">
        <v>0</v>
      </c>
      <c r="AE213" s="77">
        <f>AD213*Valores!$C$2*1.006901</f>
        <v>0</v>
      </c>
      <c r="AF213" s="77">
        <f>Valores!$D$51*D213</f>
        <v>380.21185821860342</v>
      </c>
      <c r="AG213" s="77">
        <f>Valores!$D$52*D213</f>
        <v>108.64007028801997</v>
      </c>
      <c r="AH213" s="77">
        <f>SUM(G213,I213,K213,M213,N213,O213,P213,Q213,R213,S213,U213,V213,W213,Y213,Z213,AA213,AB213,AC213,AE213,AF213,AG213)*Valores!$C$54</f>
        <v>0</v>
      </c>
      <c r="AI213" s="139">
        <f t="shared" si="38"/>
        <v>20061.344458232626</v>
      </c>
      <c r="AJ213" s="61">
        <f>Valores!$C$36*D213</f>
        <v>302.45600000000002</v>
      </c>
      <c r="AK213" s="79">
        <f>Valores!$C$11*D213</f>
        <v>179.94327771000002</v>
      </c>
      <c r="AL213" s="89">
        <v>197.70501135000001</v>
      </c>
      <c r="AM213" s="79">
        <f>IF($G$4="SI",SUM(AK213+AL213),AK213)*Valores!$C$54</f>
        <v>0</v>
      </c>
      <c r="AN213" s="12">
        <f t="shared" si="35"/>
        <v>680.10428906000004</v>
      </c>
      <c r="AO213" s="13">
        <f>AI213*-Valores!$C$56</f>
        <v>-2607.9747795702415</v>
      </c>
      <c r="AP213" s="13">
        <f>AI213*-Valores!$C$57</f>
        <v>-100.30672229116314</v>
      </c>
      <c r="AQ213" s="78">
        <f>AI213*-Valores!$C$58</f>
        <v>-902.76050062046818</v>
      </c>
      <c r="AR213" s="78">
        <f>AI213*-Valores!$C$59</f>
        <v>-541.65630037228095</v>
      </c>
      <c r="AS213" s="78">
        <f>AI213*-Valores!$C$60</f>
        <v>-60.184033374697883</v>
      </c>
      <c r="AT213" s="15">
        <f t="shared" si="36"/>
        <v>17130.406744810753</v>
      </c>
      <c r="AU213" s="15">
        <f t="shared" si="37"/>
        <v>17431.326911684242</v>
      </c>
      <c r="AV213" s="78">
        <f>AI213*Valores!$C$61</f>
        <v>3209.8151133172205</v>
      </c>
      <c r="AW213" s="78">
        <f>AI213*Valores!$C$62</f>
        <v>902.76050062046818</v>
      </c>
      <c r="AX213" s="78">
        <f>AI213*Valores!$C$64</f>
        <v>200.61344458232628</v>
      </c>
      <c r="AY213" s="78">
        <f>AI213*Valores!$C$65</f>
        <v>702.14705603814195</v>
      </c>
      <c r="AZ213" s="78">
        <f>AI213*Valores!$C$66</f>
        <v>120.36806674939577</v>
      </c>
      <c r="BA213" s="78">
        <f t="shared" si="39"/>
        <v>1083.3126007445619</v>
      </c>
      <c r="BB213" s="20"/>
      <c r="BC213" s="20">
        <f t="shared" si="33"/>
        <v>84</v>
      </c>
      <c r="BD213" s="9" t="s">
        <v>466</v>
      </c>
    </row>
    <row r="214" spans="1:56" s="9" customFormat="1" ht="11.25" customHeight="1" x14ac:dyDescent="0.15">
      <c r="A214" s="20">
        <v>213</v>
      </c>
      <c r="B214" s="20"/>
      <c r="C214" s="9" t="s">
        <v>354</v>
      </c>
      <c r="D214" s="9">
        <v>22</v>
      </c>
      <c r="E214" s="10" t="str">
        <f t="shared" si="31"/>
        <v>Hora Cátedra Enseñanza Superior 22 hs</v>
      </c>
      <c r="F214" s="123">
        <f t="shared" si="32"/>
        <v>2178</v>
      </c>
      <c r="G214" s="7">
        <f>INT((F214*Valores!$C$2*100*1.006901)+0.5)/100</f>
        <v>11462.53</v>
      </c>
      <c r="H214" s="132">
        <v>0</v>
      </c>
      <c r="I214" s="77">
        <f>INT((H214*Valores!$C$2*100*1.006901)+0.5)/100</f>
        <v>0</v>
      </c>
      <c r="J214" s="145">
        <v>0</v>
      </c>
      <c r="K214" s="77">
        <f>INT((J214*Valores!$C$2*100*1.006901)+0.5)/100</f>
        <v>0</v>
      </c>
      <c r="L214" s="120">
        <v>0</v>
      </c>
      <c r="M214" s="77">
        <f>INT((L214*Valores!$C$2*100*1.006901)+0.5)/100</f>
        <v>0</v>
      </c>
      <c r="N214" s="77">
        <f t="shared" si="40"/>
        <v>1978.7870472120001</v>
      </c>
      <c r="O214" s="77">
        <f t="shared" si="41"/>
        <v>0</v>
      </c>
      <c r="P214" s="61">
        <f>Valores!$C$14*D214</f>
        <v>2654.2313120399999</v>
      </c>
      <c r="Q214" s="61">
        <f>IF(D214&lt;15,(Valores!$E$4*D214),Valores!$D$4)</f>
        <v>2354.08</v>
      </c>
      <c r="R214" s="77">
        <v>0</v>
      </c>
      <c r="S214" s="79">
        <f>Valores!$C$45*D214</f>
        <v>700.88364808000006</v>
      </c>
      <c r="T214" s="61">
        <f>Valores!$C$22*D214</f>
        <v>1028.5</v>
      </c>
      <c r="U214" s="77">
        <f t="shared" si="30"/>
        <v>1028.5</v>
      </c>
      <c r="V214" s="77">
        <v>0</v>
      </c>
      <c r="W214" s="77">
        <v>0</v>
      </c>
      <c r="X214" s="37">
        <v>0</v>
      </c>
      <c r="Y214" s="77">
        <f>X214*Valores!$C$2*1.006901</f>
        <v>0</v>
      </c>
      <c r="Z214" s="77">
        <v>0</v>
      </c>
      <c r="AA214" s="89">
        <f>(Valores!$C$32)*D214</f>
        <v>116.16000000000001</v>
      </c>
      <c r="AB214" s="77">
        <f t="shared" si="34"/>
        <v>0</v>
      </c>
      <c r="AC214" s="77">
        <f>Valores!$C$33*D214</f>
        <v>97.24</v>
      </c>
      <c r="AD214" s="116">
        <v>0</v>
      </c>
      <c r="AE214" s="77">
        <f>AD214*Valores!$C$2*1.006901</f>
        <v>0</v>
      </c>
      <c r="AF214" s="77">
        <f>Valores!$D$51*D214</f>
        <v>398.31718480044168</v>
      </c>
      <c r="AG214" s="77">
        <f>Valores!$D$52*D214</f>
        <v>113.81340696840188</v>
      </c>
      <c r="AH214" s="77">
        <f>SUM(G214,I214,K214,M214,N214,O214,P214,Q214,R214,S214,U214,V214,W214,Y214,Z214,AA214,AB214,AC214,AE214,AF214,AG214)*Valores!$C$54</f>
        <v>0</v>
      </c>
      <c r="AI214" s="139">
        <f t="shared" si="38"/>
        <v>20904.542599100845</v>
      </c>
      <c r="AJ214" s="61">
        <f>Valores!$C$36*D214</f>
        <v>316.85866666666669</v>
      </c>
      <c r="AK214" s="79">
        <f>Valores!$C$11*D214</f>
        <v>188.51200522000002</v>
      </c>
      <c r="AL214" s="89">
        <v>207.21921889900003</v>
      </c>
      <c r="AM214" s="79">
        <f>IF($G$4="SI",SUM(AK214+AL214),AK214)*Valores!$C$54</f>
        <v>0</v>
      </c>
      <c r="AN214" s="12">
        <f t="shared" si="35"/>
        <v>712.58989078566674</v>
      </c>
      <c r="AO214" s="13">
        <f>AI214*-Valores!$C$56</f>
        <v>-2717.5905378831098</v>
      </c>
      <c r="AP214" s="13">
        <f>AI214*-Valores!$C$57</f>
        <v>-104.52271299550422</v>
      </c>
      <c r="AQ214" s="78">
        <f>AI214*-Valores!$C$58</f>
        <v>-940.70441695953798</v>
      </c>
      <c r="AR214" s="78">
        <f>AI214*-Valores!$C$59</f>
        <v>-564.42265017572288</v>
      </c>
      <c r="AS214" s="78">
        <f>AI214*-Valores!$C$60</f>
        <v>-62.713627797302536</v>
      </c>
      <c r="AT214" s="15">
        <f t="shared" si="36"/>
        <v>17854.31482204836</v>
      </c>
      <c r="AU214" s="15">
        <f t="shared" si="37"/>
        <v>18167.882961034873</v>
      </c>
      <c r="AV214" s="78">
        <f>AI214*Valores!$C$61</f>
        <v>3344.7268158561351</v>
      </c>
      <c r="AW214" s="78">
        <f>AI214*Valores!$C$62</f>
        <v>940.70441695953798</v>
      </c>
      <c r="AX214" s="78">
        <f>AI214*Valores!$C$64</f>
        <v>209.04542599100844</v>
      </c>
      <c r="AY214" s="78">
        <f>AI214*Valores!$C$65</f>
        <v>731.65899096852968</v>
      </c>
      <c r="AZ214" s="78">
        <f>AI214*Valores!$C$66</f>
        <v>125.42725559460507</v>
      </c>
      <c r="BA214" s="78">
        <f t="shared" si="39"/>
        <v>1128.8453003514458</v>
      </c>
      <c r="BB214" s="20"/>
      <c r="BC214" s="55">
        <f t="shared" si="33"/>
        <v>88</v>
      </c>
      <c r="BD214" s="9" t="s">
        <v>467</v>
      </c>
    </row>
    <row r="215" spans="1:56" s="9" customFormat="1" ht="11.25" customHeight="1" x14ac:dyDescent="0.15">
      <c r="A215" s="20">
        <v>214</v>
      </c>
      <c r="B215" s="20"/>
      <c r="C215" s="9" t="s">
        <v>354</v>
      </c>
      <c r="D215" s="9">
        <v>23</v>
      </c>
      <c r="E215" s="10" t="str">
        <f t="shared" si="31"/>
        <v>Hora Cátedra Enseñanza Superior 23 hs</v>
      </c>
      <c r="F215" s="123">
        <f t="shared" si="32"/>
        <v>2277</v>
      </c>
      <c r="G215" s="7">
        <f>INT((F215*Valores!$C$2*100*1.006901)+0.5)/100</f>
        <v>11983.56</v>
      </c>
      <c r="H215" s="132">
        <v>0</v>
      </c>
      <c r="I215" s="77">
        <f>INT((H215*Valores!$C$2*100*1.006901)+0.5)/100</f>
        <v>0</v>
      </c>
      <c r="J215" s="145">
        <v>0</v>
      </c>
      <c r="K215" s="77">
        <f>INT((J215*Valores!$C$2*100*1.006901)+0.5)/100</f>
        <v>0</v>
      </c>
      <c r="L215" s="120">
        <v>0</v>
      </c>
      <c r="M215" s="77">
        <f>INT((L215*Valores!$C$2*100*1.006901)+0.5)/100</f>
        <v>0</v>
      </c>
      <c r="N215" s="77">
        <f t="shared" si="40"/>
        <v>2068.7327993579997</v>
      </c>
      <c r="O215" s="77">
        <f t="shared" si="41"/>
        <v>0</v>
      </c>
      <c r="P215" s="61">
        <f>Valores!$C$14*D215</f>
        <v>2774.87818986</v>
      </c>
      <c r="Q215" s="61">
        <f>IF(D215&lt;15,(Valores!$E$4*D215),Valores!$D$4)</f>
        <v>2354.08</v>
      </c>
      <c r="R215" s="77">
        <v>0</v>
      </c>
      <c r="S215" s="79">
        <f>Valores!$C$45*D215</f>
        <v>732.74199572000009</v>
      </c>
      <c r="T215" s="61">
        <f>Valores!$C$22*D215</f>
        <v>1075.25</v>
      </c>
      <c r="U215" s="77">
        <f t="shared" si="30"/>
        <v>1075.25</v>
      </c>
      <c r="V215" s="77">
        <v>0</v>
      </c>
      <c r="W215" s="77">
        <v>0</v>
      </c>
      <c r="X215" s="37">
        <v>0</v>
      </c>
      <c r="Y215" s="77">
        <f>X215*Valores!$C$2*1.006901</f>
        <v>0</v>
      </c>
      <c r="Z215" s="77">
        <v>0</v>
      </c>
      <c r="AA215" s="89">
        <f>(Valores!$C$32)*D215</f>
        <v>121.44000000000001</v>
      </c>
      <c r="AB215" s="77">
        <f t="shared" si="34"/>
        <v>0</v>
      </c>
      <c r="AC215" s="77">
        <f>Valores!$C$33*D215</f>
        <v>101.66</v>
      </c>
      <c r="AD215" s="116">
        <v>0</v>
      </c>
      <c r="AE215" s="77">
        <f>AD215*Valores!$C$2*1.006901</f>
        <v>0</v>
      </c>
      <c r="AF215" s="77">
        <f>Valores!$D$51*D215</f>
        <v>416.42251138227994</v>
      </c>
      <c r="AG215" s="77">
        <f>Valores!$D$52*D215</f>
        <v>118.98674364878379</v>
      </c>
      <c r="AH215" s="77">
        <f>SUM(G215,I215,K215,M215,N215,O215,P215,Q215,R215,S215,U215,V215,W215,Y215,Z215,AA215,AB215,AC215,AE215,AF215,AG215)*Valores!$C$54</f>
        <v>0</v>
      </c>
      <c r="AI215" s="139">
        <f t="shared" si="38"/>
        <v>21747.752239969064</v>
      </c>
      <c r="AJ215" s="61">
        <f>Valores!$C$36*D215</f>
        <v>331.26133333333331</v>
      </c>
      <c r="AK215" s="79">
        <f>Valores!$C$11*D215</f>
        <v>197.08073273000002</v>
      </c>
      <c r="AL215" s="89">
        <v>216.63827430350003</v>
      </c>
      <c r="AM215" s="79">
        <f>IF($G$4="SI",SUM(AK215+AL215),AK215)*Valores!$C$54</f>
        <v>0</v>
      </c>
      <c r="AN215" s="12">
        <f t="shared" si="35"/>
        <v>744.98034036683327</v>
      </c>
      <c r="AO215" s="13">
        <f>AI215*-Valores!$C$56</f>
        <v>-2827.2077911959786</v>
      </c>
      <c r="AP215" s="13">
        <f>AI215*-Valores!$C$57</f>
        <v>-108.73876119984533</v>
      </c>
      <c r="AQ215" s="78">
        <f>AI215*-Valores!$C$58</f>
        <v>-978.6488507986079</v>
      </c>
      <c r="AR215" s="78">
        <f>AI215*-Valores!$C$59</f>
        <v>-587.18931047916476</v>
      </c>
      <c r="AS215" s="78">
        <f>AI215*-Valores!$C$60</f>
        <v>-65.243256719907194</v>
      </c>
      <c r="AT215" s="15">
        <f t="shared" si="36"/>
        <v>18578.137177141467</v>
      </c>
      <c r="AU215" s="15">
        <f t="shared" si="37"/>
        <v>18904.353460741004</v>
      </c>
      <c r="AV215" s="78">
        <f>AI215*Valores!$C$61</f>
        <v>3479.6403583950505</v>
      </c>
      <c r="AW215" s="78">
        <f>AI215*Valores!$C$62</f>
        <v>978.6488507986079</v>
      </c>
      <c r="AX215" s="78">
        <f>AI215*Valores!$C$64</f>
        <v>217.47752239969066</v>
      </c>
      <c r="AY215" s="78">
        <f>AI215*Valores!$C$65</f>
        <v>761.17132839891735</v>
      </c>
      <c r="AZ215" s="78">
        <f>AI215*Valores!$C$66</f>
        <v>130.48651343981439</v>
      </c>
      <c r="BA215" s="78">
        <f t="shared" si="39"/>
        <v>1174.3786209583295</v>
      </c>
      <c r="BB215" s="20"/>
      <c r="BC215" s="20">
        <f t="shared" si="33"/>
        <v>92</v>
      </c>
      <c r="BD215" s="9" t="s">
        <v>466</v>
      </c>
    </row>
    <row r="216" spans="1:56" s="9" customFormat="1" ht="11.25" customHeight="1" x14ac:dyDescent="0.15">
      <c r="A216" s="55">
        <v>215</v>
      </c>
      <c r="B216" s="55" t="s">
        <v>462</v>
      </c>
      <c r="C216" s="52" t="s">
        <v>354</v>
      </c>
      <c r="D216" s="52">
        <v>24</v>
      </c>
      <c r="E216" s="53" t="str">
        <f t="shared" si="31"/>
        <v>Hora Cátedra Enseñanza Superior 24 hs</v>
      </c>
      <c r="F216" s="124">
        <f t="shared" si="32"/>
        <v>2376</v>
      </c>
      <c r="G216" s="7">
        <f>INT((F216*Valores!$C$2*100*1.006901)+0.5)/100</f>
        <v>12504.58</v>
      </c>
      <c r="H216" s="131">
        <v>0</v>
      </c>
      <c r="I216" s="77">
        <f>INT((H216*Valores!$C$2*100*1.006901)+0.5)/100</f>
        <v>0</v>
      </c>
      <c r="J216" s="146">
        <v>0</v>
      </c>
      <c r="K216" s="77">
        <f>INT((J216*Valores!$C$2*100*1.006901)+0.5)/100</f>
        <v>0</v>
      </c>
      <c r="L216" s="121">
        <v>0</v>
      </c>
      <c r="M216" s="77">
        <f>INT((L216*Valores!$C$2*100*1.006901)+0.5)/100</f>
        <v>0</v>
      </c>
      <c r="N216" s="80">
        <f t="shared" si="40"/>
        <v>2158.6770515039998</v>
      </c>
      <c r="O216" s="80">
        <f t="shared" si="41"/>
        <v>0</v>
      </c>
      <c r="P216" s="85">
        <f>Valores!$C$14*D216</f>
        <v>2895.5250676800001</v>
      </c>
      <c r="Q216" s="85">
        <f>IF(D216&lt;15,(Valores!$E$4*D216),Valores!$D$4)</f>
        <v>2354.08</v>
      </c>
      <c r="R216" s="80">
        <v>0</v>
      </c>
      <c r="S216" s="82">
        <f>Valores!$C$45*D216</f>
        <v>764.60034336000001</v>
      </c>
      <c r="T216" s="85">
        <f>Valores!$C$22*D216</f>
        <v>1122</v>
      </c>
      <c r="U216" s="80">
        <f t="shared" si="30"/>
        <v>1122</v>
      </c>
      <c r="V216" s="80">
        <v>0</v>
      </c>
      <c r="W216" s="80">
        <v>0</v>
      </c>
      <c r="X216" s="60">
        <v>0</v>
      </c>
      <c r="Y216" s="77">
        <f>X216*Valores!$C$2*1.006901</f>
        <v>0</v>
      </c>
      <c r="Z216" s="80">
        <v>0</v>
      </c>
      <c r="AA216" s="90">
        <f>(Valores!$C$32)*D216</f>
        <v>126.72</v>
      </c>
      <c r="AB216" s="80">
        <f t="shared" si="34"/>
        <v>0</v>
      </c>
      <c r="AC216" s="80">
        <f>Valores!$C$33*D216</f>
        <v>106.08</v>
      </c>
      <c r="AD216" s="115">
        <v>0</v>
      </c>
      <c r="AE216" s="77">
        <f>AD216*Valores!$C$2*1.006901</f>
        <v>0</v>
      </c>
      <c r="AF216" s="80">
        <f>Valores!$D$51*D216</f>
        <v>434.52783796411825</v>
      </c>
      <c r="AG216" s="80">
        <f>Valores!$D$52*D216</f>
        <v>124.16008032916568</v>
      </c>
      <c r="AH216" s="80">
        <f>SUM(G216,I216,K216,M216,N216,O216,P216,Q216,R216,S216,U216,V216,W216,Y216,Z216,AA216,AB216,AC216,AE216,AF216,AG216)*Valores!$C$54</f>
        <v>0</v>
      </c>
      <c r="AI216" s="140">
        <f t="shared" si="38"/>
        <v>22590.950380837287</v>
      </c>
      <c r="AJ216" s="85">
        <f>Valores!$C$36*D216</f>
        <v>345.66399999999999</v>
      </c>
      <c r="AK216" s="82">
        <f>Valores!$C$11*D216</f>
        <v>205.64946024</v>
      </c>
      <c r="AL216" s="90">
        <v>226.04645517720004</v>
      </c>
      <c r="AM216" s="82">
        <f>IF($G$4="SI",SUM(AK216+AL216),AK216)*Valores!$C$54</f>
        <v>0</v>
      </c>
      <c r="AN216" s="184">
        <f t="shared" si="35"/>
        <v>777.35991541720011</v>
      </c>
      <c r="AO216" s="153">
        <f>AI216*-Valores!$C$56</f>
        <v>-2936.8235495088475</v>
      </c>
      <c r="AP216" s="153">
        <f>AI216*-Valores!$C$57</f>
        <v>-112.95475190418644</v>
      </c>
      <c r="AQ216" s="81">
        <f>AI216*-Valores!$C$58</f>
        <v>-1016.5927671376778</v>
      </c>
      <c r="AR216" s="81">
        <f>AI216*-Valores!$C$59</f>
        <v>-609.9556602826068</v>
      </c>
      <c r="AS216" s="81">
        <f>AI216*-Valores!$C$60</f>
        <v>-67.772851142511854</v>
      </c>
      <c r="AT216" s="54">
        <f t="shared" si="36"/>
        <v>19301.939227703773</v>
      </c>
      <c r="AU216" s="54">
        <f t="shared" si="37"/>
        <v>19640.803483416334</v>
      </c>
      <c r="AV216" s="81">
        <f>AI216*Valores!$C$61</f>
        <v>3614.552060933966</v>
      </c>
      <c r="AW216" s="81">
        <f>AI216*Valores!$C$62</f>
        <v>1016.5927671376778</v>
      </c>
      <c r="AX216" s="81">
        <f>AI216*Valores!$C$64</f>
        <v>225.90950380837288</v>
      </c>
      <c r="AY216" s="81">
        <f>AI216*Valores!$C$65</f>
        <v>790.68326332930508</v>
      </c>
      <c r="AZ216" s="81">
        <f>AI216*Valores!$C$66</f>
        <v>135.54570228502371</v>
      </c>
      <c r="BA216" s="81">
        <f t="shared" si="39"/>
        <v>1219.9113205652136</v>
      </c>
      <c r="BB216" s="55"/>
      <c r="BC216" s="55">
        <f t="shared" si="33"/>
        <v>96</v>
      </c>
      <c r="BD216" s="52" t="s">
        <v>466</v>
      </c>
    </row>
    <row r="217" spans="1:56" s="9" customFormat="1" ht="11.25" customHeight="1" x14ac:dyDescent="0.15">
      <c r="A217" s="20">
        <v>216</v>
      </c>
      <c r="B217" s="20"/>
      <c r="C217" s="9" t="s">
        <v>354</v>
      </c>
      <c r="D217" s="9">
        <v>25</v>
      </c>
      <c r="E217" s="10" t="str">
        <f t="shared" si="31"/>
        <v>Hora Cátedra Enseñanza Superior 25 hs</v>
      </c>
      <c r="F217" s="123">
        <f t="shared" si="32"/>
        <v>2475</v>
      </c>
      <c r="G217" s="7">
        <f>INT((F217*Valores!$C$2*100*1.006901)+0.5)/100</f>
        <v>13025.6</v>
      </c>
      <c r="H217" s="132">
        <v>0</v>
      </c>
      <c r="I217" s="77">
        <f>INT((H217*Valores!$C$2*100*1.006901)+0.5)/100</f>
        <v>0</v>
      </c>
      <c r="J217" s="145">
        <v>0</v>
      </c>
      <c r="K217" s="77">
        <f>INT((J217*Valores!$C$2*100*1.006901)+0.5)/100</f>
        <v>0</v>
      </c>
      <c r="L217" s="120">
        <v>0</v>
      </c>
      <c r="M217" s="77">
        <f>INT((L217*Valores!$C$2*100*1.006901)+0.5)/100</f>
        <v>0</v>
      </c>
      <c r="N217" s="77">
        <f t="shared" si="40"/>
        <v>2248.6213036499998</v>
      </c>
      <c r="O217" s="77">
        <f t="shared" si="41"/>
        <v>0</v>
      </c>
      <c r="P217" s="61">
        <f>Valores!$C$14*D217</f>
        <v>3016.1719455000002</v>
      </c>
      <c r="Q217" s="61">
        <f>IF(D217&lt;15,(Valores!$E$4*D217),Valores!$D$4)</f>
        <v>2354.08</v>
      </c>
      <c r="R217" s="77">
        <v>0</v>
      </c>
      <c r="S217" s="79">
        <f>Valores!$C$45*D217</f>
        <v>796.45869100000004</v>
      </c>
      <c r="T217" s="61">
        <f>Valores!$C$22*D217</f>
        <v>1168.75</v>
      </c>
      <c r="U217" s="77">
        <f t="shared" si="30"/>
        <v>1168.75</v>
      </c>
      <c r="V217" s="77">
        <v>0</v>
      </c>
      <c r="W217" s="77">
        <v>0</v>
      </c>
      <c r="X217" s="37">
        <v>0</v>
      </c>
      <c r="Y217" s="77">
        <f>X217*Valores!$C$2*1.006901</f>
        <v>0</v>
      </c>
      <c r="Z217" s="77">
        <v>0</v>
      </c>
      <c r="AA217" s="89">
        <f>(Valores!$C$32)*D217</f>
        <v>132</v>
      </c>
      <c r="AB217" s="77">
        <f t="shared" si="34"/>
        <v>0</v>
      </c>
      <c r="AC217" s="77">
        <f>Valores!$C$33*D217</f>
        <v>110.5</v>
      </c>
      <c r="AD217" s="116">
        <v>0</v>
      </c>
      <c r="AE217" s="77">
        <f>AD217*Valores!$C$2*1.006901</f>
        <v>0</v>
      </c>
      <c r="AF217" s="77">
        <f>Valores!$D$51*D217</f>
        <v>452.6331645459565</v>
      </c>
      <c r="AG217" s="77">
        <f>Valores!$D$52*D217</f>
        <v>129.33341700954759</v>
      </c>
      <c r="AH217" s="77">
        <f>SUM(G217,I217,K217,M217,N217,O217,P217,Q217,R217,S217,U217,V217,W217,Y217,Z217,AA217,AB217,AC217,AE217,AF217,AG217)*Valores!$C$54</f>
        <v>0</v>
      </c>
      <c r="AI217" s="139">
        <f t="shared" si="38"/>
        <v>23434.148521705509</v>
      </c>
      <c r="AJ217" s="61">
        <f>Valores!$C$36*D217</f>
        <v>360.06666666666666</v>
      </c>
      <c r="AK217" s="79">
        <f>Valores!$C$11*D217</f>
        <v>214.21818775</v>
      </c>
      <c r="AL217" s="89">
        <v>226.04927450000002</v>
      </c>
      <c r="AM217" s="79">
        <f>IF($G$4="SI",SUM(AK217+AL217),AK217)*Valores!$C$54</f>
        <v>0</v>
      </c>
      <c r="AN217" s="12">
        <f t="shared" si="35"/>
        <v>800.33412891666671</v>
      </c>
      <c r="AO217" s="13">
        <f>AI217*-Valores!$C$56</f>
        <v>-3046.4393078217163</v>
      </c>
      <c r="AP217" s="13">
        <f>AI217*-Valores!$C$57</f>
        <v>-117.17074260852755</v>
      </c>
      <c r="AQ217" s="78">
        <f>AI217*-Valores!$C$58</f>
        <v>-1054.5366834767478</v>
      </c>
      <c r="AR217" s="78">
        <f>AI217*-Valores!$C$59</f>
        <v>-632.72201008604884</v>
      </c>
      <c r="AS217" s="78">
        <f>AI217*-Valores!$C$60</f>
        <v>-70.302445565116528</v>
      </c>
      <c r="AT217" s="15">
        <f t="shared" si="36"/>
        <v>20016.335916715187</v>
      </c>
      <c r="AU217" s="15">
        <f t="shared" si="37"/>
        <v>20367.848144540767</v>
      </c>
      <c r="AV217" s="78">
        <f>AI217*Valores!$C$61</f>
        <v>3749.4637634728815</v>
      </c>
      <c r="AW217" s="78">
        <f>AI217*Valores!$C$62</f>
        <v>1054.5366834767478</v>
      </c>
      <c r="AX217" s="78">
        <f>AI217*Valores!$C$64</f>
        <v>234.34148521705509</v>
      </c>
      <c r="AY217" s="78">
        <f>AI217*Valores!$C$65</f>
        <v>820.19519825969292</v>
      </c>
      <c r="AZ217" s="78">
        <f>AI217*Valores!$C$66</f>
        <v>140.60489113023306</v>
      </c>
      <c r="BA217" s="78">
        <f t="shared" si="39"/>
        <v>1265.4440201720975</v>
      </c>
      <c r="BB217" s="20"/>
      <c r="BC217" s="20">
        <f t="shared" si="33"/>
        <v>100</v>
      </c>
      <c r="BD217" s="9" t="s">
        <v>466</v>
      </c>
    </row>
    <row r="218" spans="1:56" s="9" customFormat="1" ht="11.25" customHeight="1" x14ac:dyDescent="0.15">
      <c r="A218" s="20">
        <v>217</v>
      </c>
      <c r="B218" s="20"/>
      <c r="C218" s="9" t="s">
        <v>354</v>
      </c>
      <c r="D218" s="9">
        <v>26</v>
      </c>
      <c r="E218" s="10" t="str">
        <f t="shared" si="31"/>
        <v>Hora Cátedra Enseñanza Superior 26 hs</v>
      </c>
      <c r="F218" s="123">
        <f t="shared" si="32"/>
        <v>2574</v>
      </c>
      <c r="G218" s="7">
        <f>INT((F218*Valores!$C$2*100*1.006901)+0.5)/100</f>
        <v>13546.63</v>
      </c>
      <c r="H218" s="132">
        <v>0</v>
      </c>
      <c r="I218" s="77">
        <f>INT((H218*Valores!$C$2*100*1.006901)+0.5)/100</f>
        <v>0</v>
      </c>
      <c r="J218" s="145">
        <v>0</v>
      </c>
      <c r="K218" s="77">
        <f>INT((J218*Valores!$C$2*100*1.006901)+0.5)/100</f>
        <v>0</v>
      </c>
      <c r="L218" s="120">
        <v>0</v>
      </c>
      <c r="M218" s="77">
        <f>INT((L218*Valores!$C$2*100*1.006901)+0.5)/100</f>
        <v>0</v>
      </c>
      <c r="N218" s="77">
        <f t="shared" si="40"/>
        <v>2338.5670557959997</v>
      </c>
      <c r="O218" s="77">
        <f t="shared" si="41"/>
        <v>0</v>
      </c>
      <c r="P218" s="61">
        <f>Valores!$C$14*D218</f>
        <v>3136.8188233199999</v>
      </c>
      <c r="Q218" s="61">
        <f>IF(D218&lt;15,(Valores!$E$4*D218),Valores!$D$4)</f>
        <v>2354.08</v>
      </c>
      <c r="R218" s="77">
        <v>0</v>
      </c>
      <c r="S218" s="79">
        <f>Valores!$C$45*D218</f>
        <v>828.31703864000008</v>
      </c>
      <c r="T218" s="61">
        <f>Valores!$C$22*D218</f>
        <v>1215.5</v>
      </c>
      <c r="U218" s="77">
        <f t="shared" si="30"/>
        <v>1215.5</v>
      </c>
      <c r="V218" s="77">
        <v>0</v>
      </c>
      <c r="W218" s="77">
        <v>0</v>
      </c>
      <c r="X218" s="37">
        <v>0</v>
      </c>
      <c r="Y218" s="77">
        <f>X218*Valores!$C$2*1.006901</f>
        <v>0</v>
      </c>
      <c r="Z218" s="77">
        <v>0</v>
      </c>
      <c r="AA218" s="89">
        <f>(Valores!$C$32)*D218</f>
        <v>137.28</v>
      </c>
      <c r="AB218" s="77">
        <f t="shared" si="34"/>
        <v>0</v>
      </c>
      <c r="AC218" s="77">
        <f>Valores!$C$33*D218</f>
        <v>114.92</v>
      </c>
      <c r="AD218" s="116">
        <v>0</v>
      </c>
      <c r="AE218" s="77">
        <f>AD218*Valores!$C$2*1.006901</f>
        <v>0</v>
      </c>
      <c r="AF218" s="77">
        <f>Valores!$D$51*D218</f>
        <v>470.73849112779476</v>
      </c>
      <c r="AG218" s="77">
        <f>Valores!$D$52*D218</f>
        <v>134.5067536899295</v>
      </c>
      <c r="AH218" s="77">
        <f>SUM(G218,I218,K218,M218,N218,O218,P218,Q218,R218,S218,U218,V218,W218,Y218,Z218,AA218,AB218,AC218,AE218,AF218,AG218)*Valores!$C$54</f>
        <v>0</v>
      </c>
      <c r="AI218" s="139">
        <f t="shared" si="38"/>
        <v>24277.358162573724</v>
      </c>
      <c r="AJ218" s="61">
        <f>Valores!$C$36*D218</f>
        <v>374.46933333333334</v>
      </c>
      <c r="AK218" s="79">
        <f>Valores!$C$11*D218</f>
        <v>222.78691526</v>
      </c>
      <c r="AL218" s="89">
        <v>226.04927450000002</v>
      </c>
      <c r="AM218" s="79">
        <f>IF($G$4="SI",SUM(AK218+AL218),AK218)*Valores!$C$54</f>
        <v>0</v>
      </c>
      <c r="AN218" s="12">
        <f t="shared" si="35"/>
        <v>823.30552309333336</v>
      </c>
      <c r="AO218" s="13">
        <f>AI218*-Valores!$C$56</f>
        <v>-3156.0565611345842</v>
      </c>
      <c r="AP218" s="13">
        <f>AI218*-Valores!$C$57</f>
        <v>-121.38679081286863</v>
      </c>
      <c r="AQ218" s="78">
        <f>AI218*-Valores!$C$58</f>
        <v>-1092.4811173158175</v>
      </c>
      <c r="AR218" s="78">
        <f>AI218*-Valores!$C$59</f>
        <v>-655.48867038949061</v>
      </c>
      <c r="AS218" s="78">
        <f>AI218*-Valores!$C$60</f>
        <v>-72.832074487721172</v>
      </c>
      <c r="AT218" s="15">
        <f t="shared" si="36"/>
        <v>20730.739216403792</v>
      </c>
      <c r="AU218" s="15">
        <f t="shared" si="37"/>
        <v>21094.899588842396</v>
      </c>
      <c r="AV218" s="78">
        <f>AI218*Valores!$C$61</f>
        <v>3884.377306011796</v>
      </c>
      <c r="AW218" s="78">
        <f>AI218*Valores!$C$62</f>
        <v>1092.4811173158175</v>
      </c>
      <c r="AX218" s="78">
        <f>AI218*Valores!$C$64</f>
        <v>242.77358162573725</v>
      </c>
      <c r="AY218" s="78">
        <f>AI218*Valores!$C$65</f>
        <v>849.70753569008048</v>
      </c>
      <c r="AZ218" s="78">
        <f>AI218*Valores!$C$66</f>
        <v>145.66414897544234</v>
      </c>
      <c r="BA218" s="78">
        <f t="shared" si="39"/>
        <v>1310.9773407789812</v>
      </c>
      <c r="BB218" s="20"/>
      <c r="BC218" s="20">
        <f t="shared" si="33"/>
        <v>104</v>
      </c>
      <c r="BD218" s="9" t="s">
        <v>466</v>
      </c>
    </row>
    <row r="219" spans="1:56" s="9" customFormat="1" ht="11.25" customHeight="1" x14ac:dyDescent="0.15">
      <c r="A219" s="20">
        <v>218</v>
      </c>
      <c r="B219" s="20"/>
      <c r="C219" s="9" t="s">
        <v>354</v>
      </c>
      <c r="D219" s="9">
        <v>27</v>
      </c>
      <c r="E219" s="10" t="str">
        <f t="shared" si="31"/>
        <v>Hora Cátedra Enseñanza Superior 27 hs</v>
      </c>
      <c r="F219" s="123">
        <f t="shared" si="32"/>
        <v>2673</v>
      </c>
      <c r="G219" s="7">
        <f>INT((F219*Valores!$C$2*100*1.006901)+0.5)/100</f>
        <v>14067.65</v>
      </c>
      <c r="H219" s="132">
        <v>0</v>
      </c>
      <c r="I219" s="77">
        <f>INT((H219*Valores!$C$2*100*1.006901)+0.5)/100</f>
        <v>0</v>
      </c>
      <c r="J219" s="145">
        <v>0</v>
      </c>
      <c r="K219" s="77">
        <f>INT((J219*Valores!$C$2*100*1.006901)+0.5)/100</f>
        <v>0</v>
      </c>
      <c r="L219" s="120">
        <v>0</v>
      </c>
      <c r="M219" s="77">
        <f>INT((L219*Valores!$C$2*100*1.006901)+0.5)/100</f>
        <v>0</v>
      </c>
      <c r="N219" s="77">
        <f t="shared" si="40"/>
        <v>2428.5113079419998</v>
      </c>
      <c r="O219" s="77">
        <f t="shared" si="41"/>
        <v>0</v>
      </c>
      <c r="P219" s="61">
        <f>Valores!$C$14*D219</f>
        <v>3257.46570114</v>
      </c>
      <c r="Q219" s="61">
        <f>IF(D219&lt;15,(Valores!$E$4*D219),Valores!$D$4)</f>
        <v>2354.08</v>
      </c>
      <c r="R219" s="77">
        <v>0</v>
      </c>
      <c r="S219" s="79">
        <f>Valores!$C$45*D219</f>
        <v>860.17538628</v>
      </c>
      <c r="T219" s="79">
        <f>Valores!$C$22*D219</f>
        <v>1262.25</v>
      </c>
      <c r="U219" s="77">
        <f t="shared" si="30"/>
        <v>1262.25</v>
      </c>
      <c r="V219" s="77">
        <v>0</v>
      </c>
      <c r="W219" s="77">
        <v>0</v>
      </c>
      <c r="X219" s="37">
        <v>0</v>
      </c>
      <c r="Y219" s="77">
        <f>X219*Valores!$C$2*1.006901</f>
        <v>0</v>
      </c>
      <c r="Z219" s="77">
        <v>0</v>
      </c>
      <c r="AA219" s="89">
        <f>(Valores!$C$32)*D219</f>
        <v>142.56</v>
      </c>
      <c r="AB219" s="77">
        <f t="shared" si="34"/>
        <v>0</v>
      </c>
      <c r="AC219" s="77">
        <f>Valores!$C$33*D219</f>
        <v>119.34</v>
      </c>
      <c r="AD219" s="116">
        <v>0</v>
      </c>
      <c r="AE219" s="77">
        <f>AD219*Valores!$C$2*1.006901</f>
        <v>0</v>
      </c>
      <c r="AF219" s="77">
        <f>Valores!$D$51*D219</f>
        <v>488.84381770963302</v>
      </c>
      <c r="AG219" s="77">
        <f>Valores!$D$52*D219</f>
        <v>139.6800903703114</v>
      </c>
      <c r="AH219" s="77">
        <f>SUM(G219,I219,K219,M219,N219,O219,P219,Q219,R219,S219,U219,V219,W219,Y219,Z219,AA219,AB219,AC219,AE219,AF219,AG219)*Valores!$C$54</f>
        <v>0</v>
      </c>
      <c r="AI219" s="139">
        <f t="shared" si="38"/>
        <v>25120.556303441943</v>
      </c>
      <c r="AJ219" s="61">
        <f>Valores!$C$36*D219</f>
        <v>388.87200000000001</v>
      </c>
      <c r="AK219" s="79">
        <f>Valores!$C$11*D219</f>
        <v>231.35564277</v>
      </c>
      <c r="AL219" s="89">
        <v>226.04927450000002</v>
      </c>
      <c r="AM219" s="79">
        <f>IF($G$4="SI",SUM(AK219+AL219),AK219)*Valores!$C$54</f>
        <v>0</v>
      </c>
      <c r="AN219" s="12">
        <f t="shared" si="35"/>
        <v>846.27691727000001</v>
      </c>
      <c r="AO219" s="13">
        <f>AI219*-Valores!$C$56</f>
        <v>-3265.6723194474525</v>
      </c>
      <c r="AP219" s="13">
        <f>AI219*-Valores!$C$57</f>
        <v>-125.60278151720972</v>
      </c>
      <c r="AQ219" s="78">
        <f>AI219*-Valores!$C$58</f>
        <v>-1130.4250336548873</v>
      </c>
      <c r="AR219" s="78">
        <f>AI219*-Valores!$C$59</f>
        <v>-678.25502019293253</v>
      </c>
      <c r="AS219" s="78">
        <f>AI219*-Valores!$C$60</f>
        <v>-75.361668910325832</v>
      </c>
      <c r="AT219" s="15">
        <f t="shared" si="36"/>
        <v>21445.133086092392</v>
      </c>
      <c r="AU219" s="15">
        <f t="shared" si="37"/>
        <v>21821.941430644019</v>
      </c>
      <c r="AV219" s="78">
        <f>AI219*Valores!$C$61</f>
        <v>4019.2890085507111</v>
      </c>
      <c r="AW219" s="78">
        <f>AI219*Valores!$C$62</f>
        <v>1130.4250336548873</v>
      </c>
      <c r="AX219" s="78">
        <f>AI219*Valores!$C$64</f>
        <v>251.20556303441944</v>
      </c>
      <c r="AY219" s="78">
        <f>AI219*Valores!$C$65</f>
        <v>879.21947062046809</v>
      </c>
      <c r="AZ219" s="78">
        <f>AI219*Valores!$C$66</f>
        <v>150.72333782065166</v>
      </c>
      <c r="BA219" s="78">
        <f t="shared" si="39"/>
        <v>1356.5100403858651</v>
      </c>
      <c r="BB219" s="20"/>
      <c r="BC219" s="20">
        <f t="shared" si="33"/>
        <v>108</v>
      </c>
      <c r="BD219" s="9" t="s">
        <v>466</v>
      </c>
    </row>
    <row r="220" spans="1:56" s="9" customFormat="1" ht="11.25" customHeight="1" x14ac:dyDescent="0.15">
      <c r="A220" s="20">
        <v>219</v>
      </c>
      <c r="B220" s="20"/>
      <c r="C220" s="9" t="s">
        <v>354</v>
      </c>
      <c r="D220" s="9">
        <v>28</v>
      </c>
      <c r="E220" s="10" t="str">
        <f t="shared" si="31"/>
        <v>Hora Cátedra Enseñanza Superior 28 hs</v>
      </c>
      <c r="F220" s="123">
        <f t="shared" si="32"/>
        <v>2772</v>
      </c>
      <c r="G220" s="7">
        <f>INT((F220*Valores!$C$2*100*1.006901)+0.5)/100</f>
        <v>14588.68</v>
      </c>
      <c r="H220" s="132">
        <v>0</v>
      </c>
      <c r="I220" s="77">
        <f>INT((H220*Valores!$C$2*100*1.006901)+0.5)/100</f>
        <v>0</v>
      </c>
      <c r="J220" s="145">
        <v>0</v>
      </c>
      <c r="K220" s="77">
        <f>INT((J220*Valores!$C$2*100*1.006901)+0.5)/100</f>
        <v>0</v>
      </c>
      <c r="L220" s="120">
        <v>0</v>
      </c>
      <c r="M220" s="77">
        <f>INT((L220*Valores!$C$2*100*1.006901)+0.5)/100</f>
        <v>0</v>
      </c>
      <c r="N220" s="77">
        <f t="shared" si="40"/>
        <v>2518.4570600880002</v>
      </c>
      <c r="O220" s="77">
        <f t="shared" si="41"/>
        <v>0</v>
      </c>
      <c r="P220" s="61">
        <f>Valores!$C$14*D220</f>
        <v>3378.1125789600001</v>
      </c>
      <c r="Q220" s="61">
        <f>IF(D220&lt;15,(Valores!$E$4*D220),Valores!$D$4)</f>
        <v>2354.08</v>
      </c>
      <c r="R220" s="77">
        <v>0</v>
      </c>
      <c r="S220" s="79">
        <f>Valores!$C$45*D220</f>
        <v>892.03373392000003</v>
      </c>
      <c r="T220" s="61">
        <f>Valores!$C$22*D220</f>
        <v>1309</v>
      </c>
      <c r="U220" s="77">
        <f t="shared" si="30"/>
        <v>1309</v>
      </c>
      <c r="V220" s="77">
        <v>0</v>
      </c>
      <c r="W220" s="77">
        <v>0</v>
      </c>
      <c r="X220" s="37">
        <v>0</v>
      </c>
      <c r="Y220" s="77">
        <f>X220*Valores!$C$2*1.006901</f>
        <v>0</v>
      </c>
      <c r="Z220" s="77">
        <v>0</v>
      </c>
      <c r="AA220" s="89">
        <f>(Valores!$C$32)*D220</f>
        <v>147.84</v>
      </c>
      <c r="AB220" s="77">
        <f t="shared" si="34"/>
        <v>0</v>
      </c>
      <c r="AC220" s="77">
        <f>Valores!$C$33*D220</f>
        <v>123.75999999999999</v>
      </c>
      <c r="AD220" s="116">
        <v>0</v>
      </c>
      <c r="AE220" s="77">
        <f>AD220*Valores!$C$2*1.006901</f>
        <v>0</v>
      </c>
      <c r="AF220" s="77">
        <f>Valores!$D$51*D220</f>
        <v>506.94914429147127</v>
      </c>
      <c r="AG220" s="77">
        <f>Valores!$D$52*D220</f>
        <v>144.85342705069331</v>
      </c>
      <c r="AH220" s="77">
        <f>SUM(G220,I220,K220,M220,N220,O220,P220,Q220,R220,S220,U220,V220,W220,Y220,Z220,AA220,AB220,AC220,AE220,AF220,AG220)*Valores!$C$54</f>
        <v>0</v>
      </c>
      <c r="AI220" s="139">
        <f t="shared" si="38"/>
        <v>25963.765944310166</v>
      </c>
      <c r="AJ220" s="61">
        <f>Valores!$C$36*D220</f>
        <v>403.27466666666669</v>
      </c>
      <c r="AK220" s="79">
        <f>Valores!$C$11*D220</f>
        <v>239.92437028000001</v>
      </c>
      <c r="AL220" s="89">
        <v>226.04927450000002</v>
      </c>
      <c r="AM220" s="79">
        <f>IF($G$4="SI",SUM(AK220+AL220),AK220)*Valores!$C$54</f>
        <v>0</v>
      </c>
      <c r="AN220" s="12">
        <f t="shared" si="35"/>
        <v>869.24831144666666</v>
      </c>
      <c r="AO220" s="13">
        <f>AI220*-Valores!$C$56</f>
        <v>-3375.2895727603218</v>
      </c>
      <c r="AP220" s="13">
        <f>AI220*-Valores!$C$57</f>
        <v>-129.81882972155083</v>
      </c>
      <c r="AQ220" s="78">
        <f>AI220*-Valores!$C$58</f>
        <v>-1168.3694674939575</v>
      </c>
      <c r="AR220" s="78">
        <f>AI220*-Valores!$C$59</f>
        <v>-701.02168049637453</v>
      </c>
      <c r="AS220" s="78">
        <f>AI220*-Valores!$C$60</f>
        <v>-77.891297832930505</v>
      </c>
      <c r="AT220" s="15">
        <f t="shared" si="36"/>
        <v>22159.536385781004</v>
      </c>
      <c r="AU220" s="15">
        <f t="shared" si="37"/>
        <v>22548.992874945656</v>
      </c>
      <c r="AV220" s="78">
        <f>AI220*Valores!$C$61</f>
        <v>4154.2025510896265</v>
      </c>
      <c r="AW220" s="78">
        <f>AI220*Valores!$C$62</f>
        <v>1168.3694674939575</v>
      </c>
      <c r="AX220" s="78">
        <f>AI220*Valores!$C$64</f>
        <v>259.63765944310165</v>
      </c>
      <c r="AY220" s="78">
        <f>AI220*Valores!$C$65</f>
        <v>908.73180805085588</v>
      </c>
      <c r="AZ220" s="78">
        <f>AI220*Valores!$C$66</f>
        <v>155.78259566586101</v>
      </c>
      <c r="BA220" s="78">
        <f t="shared" si="39"/>
        <v>1402.0433609927488</v>
      </c>
      <c r="BB220" s="20"/>
      <c r="BC220" s="20">
        <f t="shared" si="33"/>
        <v>112</v>
      </c>
      <c r="BD220" s="9" t="s">
        <v>466</v>
      </c>
    </row>
    <row r="221" spans="1:56" s="9" customFormat="1" ht="11.25" customHeight="1" x14ac:dyDescent="0.15">
      <c r="A221" s="55">
        <v>220</v>
      </c>
      <c r="B221" s="55" t="s">
        <v>462</v>
      </c>
      <c r="C221" s="52" t="s">
        <v>354</v>
      </c>
      <c r="D221" s="52">
        <v>29</v>
      </c>
      <c r="E221" s="53" t="str">
        <f t="shared" si="31"/>
        <v>Hora Cátedra Enseñanza Superior 29 hs</v>
      </c>
      <c r="F221" s="124">
        <f t="shared" si="32"/>
        <v>2871</v>
      </c>
      <c r="G221" s="7">
        <f>INT((F221*Valores!$C$2*100*1.006901)+0.5)/100</f>
        <v>15109.7</v>
      </c>
      <c r="H221" s="131">
        <v>0</v>
      </c>
      <c r="I221" s="77">
        <f>INT((H221*Valores!$C$2*100*1.006901)+0.5)/100</f>
        <v>0</v>
      </c>
      <c r="J221" s="146">
        <v>0</v>
      </c>
      <c r="K221" s="77">
        <f>INT((J221*Valores!$C$2*100*1.006901)+0.5)/100</f>
        <v>0</v>
      </c>
      <c r="L221" s="121">
        <v>0</v>
      </c>
      <c r="M221" s="77">
        <f>INT((L221*Valores!$C$2*100*1.006901)+0.5)/100</f>
        <v>0</v>
      </c>
      <c r="N221" s="80">
        <f t="shared" si="40"/>
        <v>2608.4013122339998</v>
      </c>
      <c r="O221" s="80">
        <f t="shared" si="41"/>
        <v>0</v>
      </c>
      <c r="P221" s="85">
        <f>Valores!$C$14*D221</f>
        <v>3498.7594567800002</v>
      </c>
      <c r="Q221" s="85">
        <f>IF(D221&lt;15,(Valores!$E$4*D221),Valores!$D$4)</f>
        <v>2354.08</v>
      </c>
      <c r="R221" s="80">
        <v>0</v>
      </c>
      <c r="S221" s="82">
        <f>Valores!$C$45*D221</f>
        <v>923.89208156000007</v>
      </c>
      <c r="T221" s="82">
        <f>Valores!$C$22*D221</f>
        <v>1355.75</v>
      </c>
      <c r="U221" s="80">
        <f t="shared" si="30"/>
        <v>1355.75</v>
      </c>
      <c r="V221" s="80">
        <v>0</v>
      </c>
      <c r="W221" s="80">
        <v>0</v>
      </c>
      <c r="X221" s="60">
        <v>0</v>
      </c>
      <c r="Y221" s="77">
        <f>X221*Valores!$C$2*1.006901</f>
        <v>0</v>
      </c>
      <c r="Z221" s="80">
        <v>0</v>
      </c>
      <c r="AA221" s="90">
        <f>(Valores!$C$32)*D221</f>
        <v>153.12</v>
      </c>
      <c r="AB221" s="80">
        <f t="shared" si="34"/>
        <v>0</v>
      </c>
      <c r="AC221" s="80">
        <f>Valores!$C$33*D221</f>
        <v>128.18</v>
      </c>
      <c r="AD221" s="115">
        <v>0</v>
      </c>
      <c r="AE221" s="77">
        <f>AD221*Valores!$C$2*1.006901</f>
        <v>0</v>
      </c>
      <c r="AF221" s="80">
        <f>Valores!$D$51*D221</f>
        <v>525.05447087330947</v>
      </c>
      <c r="AG221" s="80">
        <f>Valores!$D$52*D221</f>
        <v>150.02676373107519</v>
      </c>
      <c r="AH221" s="80">
        <f>SUM(G221,I221,K221,M221,N221,O221,P221,Q221,R221,S221,U221,V221,W221,Y221,Z221,AA221,AB221,AC221,AE221,AF221,AG221)*Valores!$C$54</f>
        <v>0</v>
      </c>
      <c r="AI221" s="140">
        <f t="shared" si="38"/>
        <v>26806.964085178384</v>
      </c>
      <c r="AJ221" s="85">
        <f>Valores!$C$36*D221</f>
        <v>417.67733333333331</v>
      </c>
      <c r="AK221" s="82">
        <f>Valores!$C$11*D221</f>
        <v>248.49309779000001</v>
      </c>
      <c r="AL221" s="90">
        <v>226.04927450000002</v>
      </c>
      <c r="AM221" s="82">
        <f>IF($G$4="SI",SUM(AK221+AL221),AK221)*Valores!$C$54</f>
        <v>0</v>
      </c>
      <c r="AN221" s="184">
        <f t="shared" si="35"/>
        <v>892.21970562333331</v>
      </c>
      <c r="AO221" s="153">
        <f>AI221*-Valores!$C$56</f>
        <v>-3484.9053310731902</v>
      </c>
      <c r="AP221" s="153">
        <f>AI221*-Valores!$C$57</f>
        <v>-134.03482042589192</v>
      </c>
      <c r="AQ221" s="81">
        <f>AI221*-Valores!$C$58</f>
        <v>-1206.3133838330273</v>
      </c>
      <c r="AR221" s="81">
        <f>AI221*-Valores!$C$59</f>
        <v>-723.78803029981646</v>
      </c>
      <c r="AS221" s="81">
        <f>AI221*-Valores!$C$60</f>
        <v>-80.420892255535151</v>
      </c>
      <c r="AT221" s="54">
        <f t="shared" si="36"/>
        <v>22873.930255469608</v>
      </c>
      <c r="AU221" s="54">
        <f t="shared" si="37"/>
        <v>23276.034716747286</v>
      </c>
      <c r="AV221" s="81">
        <f>AI221*Valores!$C$61</f>
        <v>4289.1142536285415</v>
      </c>
      <c r="AW221" s="81">
        <f>AI221*Valores!$C$62</f>
        <v>1206.3133838330273</v>
      </c>
      <c r="AX221" s="81">
        <f>AI221*Valores!$C$64</f>
        <v>268.06964085178384</v>
      </c>
      <c r="AY221" s="81">
        <f>AI221*Valores!$C$65</f>
        <v>938.24374298124349</v>
      </c>
      <c r="AZ221" s="81">
        <f>AI221*Valores!$C$66</f>
        <v>160.8417845110703</v>
      </c>
      <c r="BA221" s="81">
        <f t="shared" si="39"/>
        <v>1447.5760605996329</v>
      </c>
      <c r="BB221" s="55"/>
      <c r="BC221" s="55">
        <f t="shared" si="33"/>
        <v>116</v>
      </c>
      <c r="BD221" s="52" t="s">
        <v>466</v>
      </c>
    </row>
    <row r="222" spans="1:56" s="9" customFormat="1" ht="11.25" customHeight="1" thickBot="1" x14ac:dyDescent="0.2">
      <c r="A222" s="20">
        <v>221</v>
      </c>
      <c r="B222" s="20"/>
      <c r="C222" s="9" t="s">
        <v>354</v>
      </c>
      <c r="D222" s="9">
        <v>30</v>
      </c>
      <c r="E222" s="10" t="str">
        <f t="shared" si="31"/>
        <v>Hora Cátedra Enseñanza Superior 30 hs</v>
      </c>
      <c r="F222" s="123">
        <f t="shared" si="32"/>
        <v>2970</v>
      </c>
      <c r="G222" s="7">
        <f>INT((F222*Valores!$C$2*100*1.006901)+0.5)/100</f>
        <v>15630.72</v>
      </c>
      <c r="H222" s="132">
        <v>0</v>
      </c>
      <c r="I222" s="77">
        <f>INT((H222*Valores!$C$2*100*1.006901)+0.5)/100</f>
        <v>0</v>
      </c>
      <c r="J222" s="145">
        <v>0</v>
      </c>
      <c r="K222" s="77">
        <f>INT((J222*Valores!$C$2*100*1.006901)+0.5)/100</f>
        <v>0</v>
      </c>
      <c r="L222" s="120">
        <v>0</v>
      </c>
      <c r="M222" s="77">
        <f>INT((L222*Valores!$C$2*100*1.006901)+0.5)/100</f>
        <v>0</v>
      </c>
      <c r="N222" s="77">
        <f t="shared" si="40"/>
        <v>2698.3455643800003</v>
      </c>
      <c r="O222" s="77">
        <f t="shared" si="41"/>
        <v>0</v>
      </c>
      <c r="P222" s="61">
        <f>Valores!$C$14*D222</f>
        <v>3619.4063345999998</v>
      </c>
      <c r="Q222" s="61">
        <f>IF(D222&lt;15,(Valores!$E$4*D222),Valores!$D$4)</f>
        <v>2354.08</v>
      </c>
      <c r="R222" s="77">
        <v>0</v>
      </c>
      <c r="S222" s="79">
        <f>Valores!$C$45*D222</f>
        <v>955.7504292000001</v>
      </c>
      <c r="T222" s="61">
        <f>Valores!$C$22*D222</f>
        <v>1402.5</v>
      </c>
      <c r="U222" s="77">
        <f t="shared" si="30"/>
        <v>1402.5</v>
      </c>
      <c r="V222" s="77">
        <v>0</v>
      </c>
      <c r="W222" s="77">
        <v>0</v>
      </c>
      <c r="X222" s="37">
        <v>0</v>
      </c>
      <c r="Y222" s="77">
        <f>X222*Valores!$C$2*1.006901</f>
        <v>0</v>
      </c>
      <c r="Z222" s="77">
        <v>0</v>
      </c>
      <c r="AA222" s="89">
        <f>(Valores!$C$32)*D222</f>
        <v>158.4</v>
      </c>
      <c r="AB222" s="77">
        <f t="shared" si="34"/>
        <v>0</v>
      </c>
      <c r="AC222" s="77">
        <v>131.68</v>
      </c>
      <c r="AD222" s="116">
        <v>0</v>
      </c>
      <c r="AE222" s="77">
        <f>AD222*Valores!$C$2*1.006901</f>
        <v>0</v>
      </c>
      <c r="AF222" s="77">
        <f>Valores!$D$51*D222</f>
        <v>543.15979745514778</v>
      </c>
      <c r="AG222" s="77">
        <f>Valores!$D$52*D222</f>
        <v>155.2001004114571</v>
      </c>
      <c r="AH222" s="77">
        <f>SUM(G222,I222,K222,M222,N222,O222,P222,Q222,R222,S222,U222,V222,W222,Y222,Z222,AA222,AB222,AC222,AE222,AF222,AG222)*Valores!$C$54</f>
        <v>0</v>
      </c>
      <c r="AI222" s="139">
        <f t="shared" si="38"/>
        <v>27649.242226046605</v>
      </c>
      <c r="AJ222" s="61">
        <f>Valores!$C$36*D222</f>
        <v>432.08</v>
      </c>
      <c r="AK222" s="79">
        <f>Valores!$C$11*D222</f>
        <v>257.06182530000001</v>
      </c>
      <c r="AL222" s="89">
        <v>226.04927450000002</v>
      </c>
      <c r="AM222" s="79">
        <f>IF($G$4="SI",SUM(AK222+AL222),AK222)*Valores!$C$54</f>
        <v>0</v>
      </c>
      <c r="AN222" s="12">
        <f t="shared" si="35"/>
        <v>915.19109979999996</v>
      </c>
      <c r="AO222" s="13">
        <f>AI222*-Valores!$C$56</f>
        <v>-3594.4014893860585</v>
      </c>
      <c r="AP222" s="13">
        <f>AI222*-Valores!$C$57</f>
        <v>-138.24621113023304</v>
      </c>
      <c r="AQ222" s="78">
        <f>AI222*-Valores!$C$58</f>
        <v>-1244.2159001720972</v>
      </c>
      <c r="AR222" s="78">
        <f>AI222*-Valores!$C$59</f>
        <v>-746.52954010325846</v>
      </c>
      <c r="AS222" s="78">
        <f>AI222*-Valores!$C$60</f>
        <v>-82.947726678139816</v>
      </c>
      <c r="AT222" s="15">
        <f t="shared" si="36"/>
        <v>23587.569725158213</v>
      </c>
      <c r="AU222" s="15">
        <f t="shared" si="37"/>
        <v>24002.308358548911</v>
      </c>
      <c r="AV222" s="78">
        <f>AI222*Valores!$C$61</f>
        <v>4423.8787561674571</v>
      </c>
      <c r="AW222" s="78">
        <f>AI222*Valores!$C$62</f>
        <v>1244.2159001720972</v>
      </c>
      <c r="AX222" s="78">
        <f>AI222*Valores!$C$64</f>
        <v>276.49242226046607</v>
      </c>
      <c r="AY222" s="78">
        <f>AI222*Valores!$C$65</f>
        <v>967.72347791163122</v>
      </c>
      <c r="AZ222" s="78">
        <f>AI222*Valores!$C$66</f>
        <v>165.89545335627963</v>
      </c>
      <c r="BA222" s="78">
        <f t="shared" si="39"/>
        <v>1493.0590802065167</v>
      </c>
      <c r="BB222" s="20"/>
      <c r="BC222" s="110">
        <f t="shared" si="33"/>
        <v>120</v>
      </c>
      <c r="BD222" s="9" t="s">
        <v>466</v>
      </c>
    </row>
    <row r="223" spans="1:56" s="9" customFormat="1" ht="11.25" customHeight="1" thickTop="1" thickBot="1" x14ac:dyDescent="0.2">
      <c r="A223" s="20">
        <v>222</v>
      </c>
      <c r="B223" s="20"/>
      <c r="C223" s="9" t="s">
        <v>354</v>
      </c>
      <c r="D223" s="9">
        <v>31</v>
      </c>
      <c r="E223" s="10" t="str">
        <f t="shared" si="31"/>
        <v>Hora Cátedra Enseñanza Superior 31 hs</v>
      </c>
      <c r="F223" s="123">
        <f t="shared" si="32"/>
        <v>3069</v>
      </c>
      <c r="G223" s="7">
        <f>INT((F223*Valores!$C$2*100*1.006901)+0.5)/100</f>
        <v>16151.75</v>
      </c>
      <c r="H223" s="132">
        <v>0</v>
      </c>
      <c r="I223" s="77">
        <f>INT((H223*Valores!$C$2*100*1.006901)+0.5)/100</f>
        <v>0</v>
      </c>
      <c r="J223" s="145">
        <v>0</v>
      </c>
      <c r="K223" s="77">
        <f>INT((J223*Valores!$C$2*100*1.006901)+0.5)/100</f>
        <v>0</v>
      </c>
      <c r="L223" s="120">
        <v>0</v>
      </c>
      <c r="M223" s="77">
        <f>INT((L223*Valores!$C$2*100*1.006901)+0.5)/100</f>
        <v>0</v>
      </c>
      <c r="N223" s="77">
        <f t="shared" si="40"/>
        <v>2788.2913165259997</v>
      </c>
      <c r="O223" s="77">
        <f t="shared" si="41"/>
        <v>0</v>
      </c>
      <c r="P223" s="61">
        <f>Valores!$C$14*D223</f>
        <v>3740.0532124199999</v>
      </c>
      <c r="Q223" s="61">
        <f>IF(D223&lt;15,(Valores!$E$4*D223),Valores!$D$4)</f>
        <v>2354.08</v>
      </c>
      <c r="R223" s="77">
        <v>0</v>
      </c>
      <c r="S223" s="79">
        <f>Valores!$C$45*D223</f>
        <v>987.60877684000002</v>
      </c>
      <c r="T223" s="79">
        <f>Valores!$C$22*D223</f>
        <v>1449.25</v>
      </c>
      <c r="U223" s="77">
        <f t="shared" si="30"/>
        <v>1449.25</v>
      </c>
      <c r="V223" s="77">
        <v>0</v>
      </c>
      <c r="W223" s="77">
        <v>0</v>
      </c>
      <c r="X223" s="37">
        <v>0</v>
      </c>
      <c r="Y223" s="77">
        <f>X223*Valores!$C$2*1.006901</f>
        <v>0</v>
      </c>
      <c r="Z223" s="77">
        <v>0</v>
      </c>
      <c r="AA223" s="89">
        <f>(Valores!$C$32)*D223</f>
        <v>163.68</v>
      </c>
      <c r="AB223" s="77">
        <f t="shared" si="34"/>
        <v>0</v>
      </c>
      <c r="AC223" s="77">
        <v>131.68</v>
      </c>
      <c r="AD223" s="116">
        <v>0</v>
      </c>
      <c r="AE223" s="77">
        <f>AD223*Valores!$C$2*1.006901</f>
        <v>0</v>
      </c>
      <c r="AF223" s="77">
        <f t="shared" ref="AF223:AG228" si="42">AF222</f>
        <v>543.15979745514778</v>
      </c>
      <c r="AG223" s="77">
        <f t="shared" si="42"/>
        <v>155.2001004114571</v>
      </c>
      <c r="AH223" s="77">
        <f>SUM(G223,I223,K223,M223,N223,O223,P223,Q223,R223,S223,U223,V223,W223,Y223,Z223,AA223,AB223,AC223,AE223,AF223,AG223)*Valores!$C$54</f>
        <v>0</v>
      </c>
      <c r="AI223" s="139">
        <f t="shared" si="38"/>
        <v>28464.753203652606</v>
      </c>
      <c r="AJ223" s="61">
        <f>(Valores!$C$36*$D$222)+0.04</f>
        <v>432.12</v>
      </c>
      <c r="AK223" s="79">
        <f>Valores!$C$11*D223</f>
        <v>265.63055281000004</v>
      </c>
      <c r="AL223" s="89">
        <v>226.04927450000002</v>
      </c>
      <c r="AM223" s="79">
        <f>IF($G$4="SI",SUM(AK223+AL223),AK223)*Valores!$C$54</f>
        <v>0</v>
      </c>
      <c r="AN223" s="12">
        <f t="shared" si="35"/>
        <v>923.79982731000007</v>
      </c>
      <c r="AO223" s="13">
        <f>AI223*-Valores!$C$56</f>
        <v>-3700.4179164748389</v>
      </c>
      <c r="AP223" s="13">
        <f>AI223*-Valores!$C$57</f>
        <v>-142.32376601826303</v>
      </c>
      <c r="AQ223" s="78">
        <f>AI223*-Valores!$C$58</f>
        <v>-1280.9138941643673</v>
      </c>
      <c r="AR223" s="78">
        <f>AI223*-Valores!$C$59</f>
        <v>-768.54833649862042</v>
      </c>
      <c r="AS223" s="78">
        <f>AI223*-Valores!$C$60</f>
        <v>-85.394259610957818</v>
      </c>
      <c r="AT223" s="15">
        <f t="shared" si="36"/>
        <v>24264.897454305134</v>
      </c>
      <c r="AU223" s="15">
        <f t="shared" si="37"/>
        <v>24691.868752359922</v>
      </c>
      <c r="AV223" s="78">
        <f>AI223*Valores!$C$61</f>
        <v>4554.3605125844169</v>
      </c>
      <c r="AW223" s="78">
        <f>AI223*Valores!$C$62</f>
        <v>1280.9138941643673</v>
      </c>
      <c r="AX223" s="78">
        <f>AI223*Valores!$C$64</f>
        <v>284.64753203652606</v>
      </c>
      <c r="AY223" s="78">
        <f>AI223*Valores!$C$65</f>
        <v>996.26636212784126</v>
      </c>
      <c r="AZ223" s="78">
        <f>AI223*Valores!$C$66</f>
        <v>170.78851922191564</v>
      </c>
      <c r="BA223" s="78">
        <f t="shared" si="39"/>
        <v>1537.0966729972411</v>
      </c>
      <c r="BB223" s="20"/>
      <c r="BC223" s="110">
        <f t="shared" si="33"/>
        <v>124</v>
      </c>
      <c r="BD223" s="9" t="s">
        <v>466</v>
      </c>
    </row>
    <row r="224" spans="1:56" s="9" customFormat="1" ht="11.25" customHeight="1" thickTop="1" x14ac:dyDescent="0.15">
      <c r="A224" s="20">
        <v>223</v>
      </c>
      <c r="B224" s="20"/>
      <c r="C224" s="9" t="s">
        <v>354</v>
      </c>
      <c r="D224" s="9">
        <v>32</v>
      </c>
      <c r="E224" s="10" t="str">
        <f t="shared" si="31"/>
        <v>Hora Cátedra Enseñanza Superior 32 hs</v>
      </c>
      <c r="F224" s="123">
        <f t="shared" si="32"/>
        <v>3168</v>
      </c>
      <c r="G224" s="7">
        <f>INT((F224*Valores!$C$2*100*1.006901)+0.5)/100</f>
        <v>16672.77</v>
      </c>
      <c r="H224" s="132">
        <v>0</v>
      </c>
      <c r="I224" s="77">
        <f>INT((H224*Valores!$C$2*100*1.006901)+0.5)/100</f>
        <v>0</v>
      </c>
      <c r="J224" s="145">
        <v>0</v>
      </c>
      <c r="K224" s="77">
        <f>INT((J224*Valores!$C$2*100*1.006901)+0.5)/100</f>
        <v>0</v>
      </c>
      <c r="L224" s="120">
        <v>0</v>
      </c>
      <c r="M224" s="77">
        <f>INT((L224*Valores!$C$2*100*1.006901)+0.5)/100</f>
        <v>0</v>
      </c>
      <c r="N224" s="77">
        <f t="shared" si="40"/>
        <v>2878.2355686720002</v>
      </c>
      <c r="O224" s="77">
        <f t="shared" si="41"/>
        <v>0</v>
      </c>
      <c r="P224" s="61">
        <f>Valores!$C$14*D224</f>
        <v>3860.70009024</v>
      </c>
      <c r="Q224" s="61">
        <f>IF(D224&lt;15,(Valores!$E$4*D224),Valores!$D$4)</f>
        <v>2354.08</v>
      </c>
      <c r="R224" s="77">
        <v>0</v>
      </c>
      <c r="S224" s="79">
        <f>Valores!$C$45*D224</f>
        <v>1019.4671244800001</v>
      </c>
      <c r="T224" s="61">
        <f>Valores!$C$22*D224</f>
        <v>1496</v>
      </c>
      <c r="U224" s="77">
        <f t="shared" si="30"/>
        <v>1496</v>
      </c>
      <c r="V224" s="77">
        <v>0</v>
      </c>
      <c r="W224" s="77">
        <v>0</v>
      </c>
      <c r="X224" s="37">
        <v>0</v>
      </c>
      <c r="Y224" s="77">
        <f>X224*Valores!$C$2*1.006901</f>
        <v>0</v>
      </c>
      <c r="Z224" s="77">
        <v>0</v>
      </c>
      <c r="AA224" s="89">
        <f>(Valores!$C$32)*D224</f>
        <v>168.96</v>
      </c>
      <c r="AB224" s="77">
        <f t="shared" si="34"/>
        <v>0</v>
      </c>
      <c r="AC224" s="77">
        <v>131.68</v>
      </c>
      <c r="AD224" s="116">
        <v>0</v>
      </c>
      <c r="AE224" s="77">
        <f>AD224*Valores!$C$2*1.006901</f>
        <v>0</v>
      </c>
      <c r="AF224" s="77">
        <f t="shared" si="42"/>
        <v>543.15979745514778</v>
      </c>
      <c r="AG224" s="77">
        <f t="shared" si="42"/>
        <v>155.2001004114571</v>
      </c>
      <c r="AH224" s="77">
        <f>SUM(G224,I224,K224,M224,N224,O224,P224,Q224,R224,S224,U224,V224,W224,Y224,Z224,AA224,AB224,AC224,AE224,AF224,AG224)*Valores!$C$54</f>
        <v>0</v>
      </c>
      <c r="AI224" s="139">
        <f t="shared" si="38"/>
        <v>29280.252681258604</v>
      </c>
      <c r="AJ224" s="61">
        <f>(Valores!$C$36*$D$222)+0.04</f>
        <v>432.12</v>
      </c>
      <c r="AK224" s="79">
        <f>Valores!$C$11*D224</f>
        <v>274.19928032000001</v>
      </c>
      <c r="AL224" s="89">
        <v>226.04927450000002</v>
      </c>
      <c r="AM224" s="79">
        <f>IF($G$4="SI",SUM(AK224+AL224),AK224)*Valores!$C$54</f>
        <v>0</v>
      </c>
      <c r="AN224" s="12">
        <f t="shared" si="35"/>
        <v>932.36855481999999</v>
      </c>
      <c r="AO224" s="13">
        <f>AI224*-Valores!$C$56</f>
        <v>-3806.4328485636188</v>
      </c>
      <c r="AP224" s="13">
        <f>AI224*-Valores!$C$57</f>
        <v>-146.40126340629303</v>
      </c>
      <c r="AQ224" s="78">
        <f>AI224*-Valores!$C$58</f>
        <v>-1317.6113706566371</v>
      </c>
      <c r="AR224" s="78">
        <f>AI224*-Valores!$C$59</f>
        <v>-790.56682239398242</v>
      </c>
      <c r="AS224" s="78">
        <f>AI224*-Valores!$C$60</f>
        <v>-87.840758043775807</v>
      </c>
      <c r="AT224" s="15">
        <f t="shared" si="36"/>
        <v>24942.175753452058</v>
      </c>
      <c r="AU224" s="15">
        <f t="shared" si="37"/>
        <v>25381.379543670937</v>
      </c>
      <c r="AV224" s="78">
        <f>AI224*Valores!$C$61</f>
        <v>4684.8404290013768</v>
      </c>
      <c r="AW224" s="78">
        <f>AI224*Valores!$C$62</f>
        <v>1317.6113706566371</v>
      </c>
      <c r="AX224" s="78">
        <f>AI224*Valores!$C$64</f>
        <v>292.80252681258605</v>
      </c>
      <c r="AY224" s="78">
        <f>AI224*Valores!$C$65</f>
        <v>1024.8088438440511</v>
      </c>
      <c r="AZ224" s="78">
        <f>AI224*Valores!$C$66</f>
        <v>175.68151608755161</v>
      </c>
      <c r="BA224" s="78">
        <f t="shared" si="39"/>
        <v>1581.1336447879646</v>
      </c>
      <c r="BB224" s="20"/>
      <c r="BC224" s="55">
        <f t="shared" si="33"/>
        <v>128</v>
      </c>
      <c r="BD224" s="9" t="s">
        <v>466</v>
      </c>
    </row>
    <row r="225" spans="1:56" s="9" customFormat="1" ht="11.25" customHeight="1" x14ac:dyDescent="0.15">
      <c r="A225" s="20">
        <v>224</v>
      </c>
      <c r="B225" s="20"/>
      <c r="C225" s="9" t="s">
        <v>354</v>
      </c>
      <c r="D225" s="9">
        <v>33</v>
      </c>
      <c r="E225" s="10" t="str">
        <f t="shared" si="31"/>
        <v>Hora Cátedra Enseñanza Superior 33 hs</v>
      </c>
      <c r="F225" s="123">
        <f t="shared" si="32"/>
        <v>3267</v>
      </c>
      <c r="G225" s="7">
        <f>INT((F225*Valores!$C$2*100*1.006901)+0.5)/100</f>
        <v>17193.8</v>
      </c>
      <c r="H225" s="132">
        <v>0</v>
      </c>
      <c r="I225" s="77">
        <f>INT((H225*Valores!$C$2*100*1.006901)+0.5)/100</f>
        <v>0</v>
      </c>
      <c r="J225" s="145">
        <v>0</v>
      </c>
      <c r="K225" s="77">
        <f>INT((J225*Valores!$C$2*100*1.006901)+0.5)/100</f>
        <v>0</v>
      </c>
      <c r="L225" s="120">
        <v>0</v>
      </c>
      <c r="M225" s="77">
        <f>INT((L225*Valores!$C$2*100*1.006901)+0.5)/100</f>
        <v>0</v>
      </c>
      <c r="N225" s="77">
        <f t="shared" si="40"/>
        <v>2968.1813208179997</v>
      </c>
      <c r="O225" s="77">
        <f t="shared" si="41"/>
        <v>0</v>
      </c>
      <c r="P225" s="61">
        <f>Valores!$C$14*D225</f>
        <v>3981.3469680600001</v>
      </c>
      <c r="Q225" s="61">
        <f>IF(D225&lt;15,(Valores!$E$4*D225),Valores!$D$4)</f>
        <v>2354.08</v>
      </c>
      <c r="R225" s="77">
        <v>0</v>
      </c>
      <c r="S225" s="79">
        <f>Valores!$C$45*D225</f>
        <v>1051.3254721200001</v>
      </c>
      <c r="T225" s="61">
        <f>Valores!$C$22*D225</f>
        <v>1542.75</v>
      </c>
      <c r="U225" s="77">
        <f t="shared" si="30"/>
        <v>1542.75</v>
      </c>
      <c r="V225" s="77">
        <v>0</v>
      </c>
      <c r="W225" s="77">
        <v>0</v>
      </c>
      <c r="X225" s="37">
        <v>0</v>
      </c>
      <c r="Y225" s="77">
        <f>X225*Valores!$C$2*1.006901</f>
        <v>0</v>
      </c>
      <c r="Z225" s="77">
        <v>0</v>
      </c>
      <c r="AA225" s="89">
        <f>(Valores!$C$32)*D225</f>
        <v>174.24</v>
      </c>
      <c r="AB225" s="77">
        <f t="shared" si="34"/>
        <v>0</v>
      </c>
      <c r="AC225" s="77">
        <v>131.68</v>
      </c>
      <c r="AD225" s="116">
        <v>0</v>
      </c>
      <c r="AE225" s="77">
        <f>AD225*Valores!$C$2*1.006901</f>
        <v>0</v>
      </c>
      <c r="AF225" s="77">
        <f t="shared" si="42"/>
        <v>543.15979745514778</v>
      </c>
      <c r="AG225" s="77">
        <f t="shared" si="42"/>
        <v>155.2001004114571</v>
      </c>
      <c r="AH225" s="77">
        <f>SUM(G225,I225,K225,M225,N225,O225,P225,Q225,R225,S225,U225,V225,W225,Y225,Z225,AA225,AB225,AC225,AE225,AF225,AG225)*Valores!$C$54</f>
        <v>0</v>
      </c>
      <c r="AI225" s="139">
        <f t="shared" si="38"/>
        <v>30095.763658864602</v>
      </c>
      <c r="AJ225" s="61">
        <f>(Valores!$C$36*$D$222)+0.04</f>
        <v>432.12</v>
      </c>
      <c r="AK225" s="79">
        <f>Valores!$C$11*D225</f>
        <v>282.76800782999999</v>
      </c>
      <c r="AL225" s="89">
        <v>226.04927450000002</v>
      </c>
      <c r="AM225" s="79">
        <f>IF($G$4="SI",SUM(AK225+AL225),AK225)*Valores!$C$54</f>
        <v>0</v>
      </c>
      <c r="AN225" s="12">
        <f t="shared" si="35"/>
        <v>940.93728233000002</v>
      </c>
      <c r="AO225" s="13">
        <f>AI225*-Valores!$C$56</f>
        <v>-3912.4492756523982</v>
      </c>
      <c r="AP225" s="13">
        <f>AI225*-Valores!$C$57</f>
        <v>-150.47881829432302</v>
      </c>
      <c r="AQ225" s="78">
        <f>AI225*-Valores!$C$58</f>
        <v>-1354.3093646489069</v>
      </c>
      <c r="AR225" s="78">
        <f>AI225*-Valores!$C$59</f>
        <v>-812.58561878934438</v>
      </c>
      <c r="AS225" s="78">
        <f>AI225*-Valores!$C$60</f>
        <v>-90.287290976593809</v>
      </c>
      <c r="AT225" s="15">
        <f t="shared" si="36"/>
        <v>25619.463482598974</v>
      </c>
      <c r="AU225" s="15">
        <f t="shared" si="37"/>
        <v>26070.899937481943</v>
      </c>
      <c r="AV225" s="78">
        <f>AI225*Valores!$C$61</f>
        <v>4815.3221854183366</v>
      </c>
      <c r="AW225" s="78">
        <f>AI225*Valores!$C$62</f>
        <v>1354.3093646489069</v>
      </c>
      <c r="AX225" s="78">
        <f>AI225*Valores!$C$64</f>
        <v>300.95763658864604</v>
      </c>
      <c r="AY225" s="78">
        <f>AI225*Valores!$C$65</f>
        <v>1053.3517280602612</v>
      </c>
      <c r="AZ225" s="78">
        <f>AI225*Valores!$C$66</f>
        <v>180.57458195318762</v>
      </c>
      <c r="BA225" s="78">
        <f t="shared" si="39"/>
        <v>1625.1712375786885</v>
      </c>
      <c r="BB225" s="20"/>
      <c r="BC225" s="20">
        <f t="shared" ref="BC225:BC256" si="43">4*D225</f>
        <v>132</v>
      </c>
      <c r="BD225" s="9" t="s">
        <v>466</v>
      </c>
    </row>
    <row r="226" spans="1:56" s="9" customFormat="1" ht="11.25" customHeight="1" x14ac:dyDescent="0.15">
      <c r="A226" s="55">
        <v>225</v>
      </c>
      <c r="B226" s="55" t="s">
        <v>462</v>
      </c>
      <c r="C226" s="52" t="s">
        <v>354</v>
      </c>
      <c r="D226" s="52">
        <v>34</v>
      </c>
      <c r="E226" s="53" t="str">
        <f t="shared" si="31"/>
        <v>Hora Cátedra Enseñanza Superior 34 hs</v>
      </c>
      <c r="F226" s="124">
        <f t="shared" si="32"/>
        <v>3366</v>
      </c>
      <c r="G226" s="7">
        <f>INT((F226*Valores!$C$2*100*1.006901)+0.5)/100</f>
        <v>17714.82</v>
      </c>
      <c r="H226" s="131">
        <v>0</v>
      </c>
      <c r="I226" s="77">
        <f>INT((H226*Valores!$C$2*100*1.006901)+0.5)/100</f>
        <v>0</v>
      </c>
      <c r="J226" s="146">
        <v>0</v>
      </c>
      <c r="K226" s="77">
        <f>INT((J226*Valores!$C$2*100*1.006901)+0.5)/100</f>
        <v>0</v>
      </c>
      <c r="L226" s="121">
        <v>0</v>
      </c>
      <c r="M226" s="77">
        <f>INT((L226*Valores!$C$2*100*1.006901)+0.5)/100</f>
        <v>0</v>
      </c>
      <c r="N226" s="80">
        <f t="shared" si="40"/>
        <v>3058.1255729640002</v>
      </c>
      <c r="O226" s="80">
        <f t="shared" si="41"/>
        <v>0</v>
      </c>
      <c r="P226" s="85">
        <f>Valores!$C$14*D226</f>
        <v>4101.9938458799998</v>
      </c>
      <c r="Q226" s="85">
        <f>IF(D226&lt;15,(Valores!$E$4*D226),Valores!$D$4)</f>
        <v>2354.08</v>
      </c>
      <c r="R226" s="80">
        <v>0</v>
      </c>
      <c r="S226" s="82">
        <f>Valores!$C$45*D226</f>
        <v>1083.18381976</v>
      </c>
      <c r="T226" s="85">
        <f>Valores!$C$22*D226</f>
        <v>1589.5</v>
      </c>
      <c r="U226" s="80">
        <f t="shared" si="30"/>
        <v>1589.5</v>
      </c>
      <c r="V226" s="80">
        <v>0</v>
      </c>
      <c r="W226" s="80">
        <v>0</v>
      </c>
      <c r="X226" s="60">
        <v>0</v>
      </c>
      <c r="Y226" s="77">
        <f>X226*Valores!$C$2*1.006901</f>
        <v>0</v>
      </c>
      <c r="Z226" s="80">
        <v>0</v>
      </c>
      <c r="AA226" s="90">
        <f>(Valores!$C$32)*D226</f>
        <v>179.52</v>
      </c>
      <c r="AB226" s="80">
        <f t="shared" si="34"/>
        <v>0</v>
      </c>
      <c r="AC226" s="80">
        <v>131.68</v>
      </c>
      <c r="AD226" s="115">
        <v>0</v>
      </c>
      <c r="AE226" s="77">
        <f>AD226*Valores!$C$2*1.006901</f>
        <v>0</v>
      </c>
      <c r="AF226" s="80">
        <f t="shared" si="42"/>
        <v>543.15979745514778</v>
      </c>
      <c r="AG226" s="80">
        <f t="shared" si="42"/>
        <v>155.2001004114571</v>
      </c>
      <c r="AH226" s="80">
        <f>SUM(G226,I226,K226,M226,N226,O226,P226,Q226,R226,S226,U226,V226,W226,Y226,Z226,AA226,AB226,AC226,AE226,AF226,AG226)*Valores!$C$54</f>
        <v>0</v>
      </c>
      <c r="AI226" s="140">
        <f t="shared" si="38"/>
        <v>30911.263136470607</v>
      </c>
      <c r="AJ226" s="85">
        <f>(Valores!$C$36*$D$222)+0.04</f>
        <v>432.12</v>
      </c>
      <c r="AK226" s="82">
        <f>Valores!$C$11*D226</f>
        <v>291.33673534000002</v>
      </c>
      <c r="AL226" s="90">
        <v>226.04927450000002</v>
      </c>
      <c r="AM226" s="82">
        <f>IF($G$4="SI",SUM(AK226+AL226),AK226)*Valores!$C$54</f>
        <v>0</v>
      </c>
      <c r="AN226" s="184">
        <f t="shared" si="35"/>
        <v>949.50600984000005</v>
      </c>
      <c r="AO226" s="153">
        <f>AI226*-Valores!$C$56</f>
        <v>-4018.4642077411791</v>
      </c>
      <c r="AP226" s="153">
        <f>AI226*-Valores!$C$57</f>
        <v>-154.55631568235304</v>
      </c>
      <c r="AQ226" s="81">
        <f>AI226*-Valores!$C$58</f>
        <v>-1391.0068411411773</v>
      </c>
      <c r="AR226" s="81">
        <f>AI226*-Valores!$C$59</f>
        <v>-834.6041046847065</v>
      </c>
      <c r="AS226" s="81">
        <f>AI226*-Valores!$C$60</f>
        <v>-92.733789409411827</v>
      </c>
      <c r="AT226" s="54">
        <f t="shared" si="36"/>
        <v>26296.741781745899</v>
      </c>
      <c r="AU226" s="54">
        <f t="shared" si="37"/>
        <v>26760.410728792955</v>
      </c>
      <c r="AV226" s="81">
        <f>AI226*Valores!$C$61</f>
        <v>4945.8021018352974</v>
      </c>
      <c r="AW226" s="81">
        <f>AI226*Valores!$C$62</f>
        <v>1391.0068411411773</v>
      </c>
      <c r="AX226" s="81">
        <f>AI226*Valores!$C$64</f>
        <v>309.11263136470609</v>
      </c>
      <c r="AY226" s="81">
        <f>AI226*Valores!$C$65</f>
        <v>1081.8942097764714</v>
      </c>
      <c r="AZ226" s="81">
        <f>AI226*Valores!$C$66</f>
        <v>185.46757881882365</v>
      </c>
      <c r="BA226" s="81">
        <f t="shared" si="39"/>
        <v>1669.2082093694128</v>
      </c>
      <c r="BB226" s="55"/>
      <c r="BC226" s="55">
        <f t="shared" si="43"/>
        <v>136</v>
      </c>
      <c r="BD226" s="52" t="s">
        <v>466</v>
      </c>
    </row>
    <row r="227" spans="1:56" s="9" customFormat="1" ht="11.25" customHeight="1" x14ac:dyDescent="0.15">
      <c r="A227" s="20">
        <v>226</v>
      </c>
      <c r="B227" s="20"/>
      <c r="C227" s="9" t="s">
        <v>354</v>
      </c>
      <c r="D227" s="9">
        <v>35</v>
      </c>
      <c r="E227" s="10" t="str">
        <f t="shared" si="31"/>
        <v>Hora Cátedra Enseñanza Superior 35 hs</v>
      </c>
      <c r="F227" s="123">
        <f t="shared" si="32"/>
        <v>3465</v>
      </c>
      <c r="G227" s="7">
        <f>INT((F227*Valores!$C$2*100*1.006901)+0.5)/100</f>
        <v>18235.849999999999</v>
      </c>
      <c r="H227" s="132">
        <v>0</v>
      </c>
      <c r="I227" s="77">
        <f>INT((H227*Valores!$C$2*100*1.006901)+0.5)/100</f>
        <v>0</v>
      </c>
      <c r="J227" s="145">
        <v>0</v>
      </c>
      <c r="K227" s="77">
        <f>INT((J227*Valores!$C$2*100*1.006901)+0.5)/100</f>
        <v>0</v>
      </c>
      <c r="L227" s="120">
        <v>0</v>
      </c>
      <c r="M227" s="77">
        <f>INT((L227*Valores!$C$2*100*1.006901)+0.5)/100</f>
        <v>0</v>
      </c>
      <c r="N227" s="77">
        <f t="shared" si="40"/>
        <v>3148.0713251099996</v>
      </c>
      <c r="O227" s="77">
        <f t="shared" si="41"/>
        <v>0</v>
      </c>
      <c r="P227" s="61">
        <f>Valores!$C$14*D227</f>
        <v>4222.6407237000003</v>
      </c>
      <c r="Q227" s="61">
        <f>IF(D227&lt;15,(Valores!$E$4*D227),Valores!$D$4)</f>
        <v>2354.08</v>
      </c>
      <c r="R227" s="77">
        <v>0</v>
      </c>
      <c r="S227" s="79">
        <f>Valores!$C$45*D227</f>
        <v>1115.0421674000002</v>
      </c>
      <c r="T227" s="61">
        <f>Valores!$C$22*D227</f>
        <v>1636.25</v>
      </c>
      <c r="U227" s="77">
        <f t="shared" si="30"/>
        <v>1636.25</v>
      </c>
      <c r="V227" s="77">
        <v>0</v>
      </c>
      <c r="W227" s="77">
        <v>0</v>
      </c>
      <c r="X227" s="37">
        <v>0</v>
      </c>
      <c r="Y227" s="77">
        <f>X227*Valores!$C$2*1.006901</f>
        <v>0</v>
      </c>
      <c r="Z227" s="77">
        <v>0</v>
      </c>
      <c r="AA227" s="89">
        <f>(Valores!$C$32)*D227</f>
        <v>184.8</v>
      </c>
      <c r="AB227" s="77">
        <f t="shared" si="34"/>
        <v>0</v>
      </c>
      <c r="AC227" s="77">
        <v>131.68</v>
      </c>
      <c r="AD227" s="116">
        <v>0</v>
      </c>
      <c r="AE227" s="77">
        <f>AD227*Valores!$C$2*1.006901</f>
        <v>0</v>
      </c>
      <c r="AF227" s="77">
        <f t="shared" si="42"/>
        <v>543.15979745514778</v>
      </c>
      <c r="AG227" s="77">
        <f t="shared" si="42"/>
        <v>155.2001004114571</v>
      </c>
      <c r="AH227" s="77">
        <f>SUM(G227,I227,K227,M227,N227,O227,P227,Q227,R227,S227,U227,V227,W227,Y227,Z227,AA227,AB227,AC227,AE227,AF227,AG227)*Valores!$C$54</f>
        <v>0</v>
      </c>
      <c r="AI227" s="139">
        <f t="shared" si="38"/>
        <v>31726.774114076601</v>
      </c>
      <c r="AJ227" s="61">
        <f>(Valores!$C$36*$D$222)+0.04</f>
        <v>432.12</v>
      </c>
      <c r="AK227" s="79">
        <f>Valores!$C$11*D227</f>
        <v>299.90546284999999</v>
      </c>
      <c r="AL227" s="89">
        <v>226.04927450000002</v>
      </c>
      <c r="AM227" s="79">
        <f>IF($G$4="SI",SUM(AK227+AL227),AK227)*Valores!$C$54</f>
        <v>0</v>
      </c>
      <c r="AN227" s="12">
        <f t="shared" si="35"/>
        <v>958.07473734999996</v>
      </c>
      <c r="AO227" s="13">
        <f>AI227*-Valores!$C$56</f>
        <v>-4124.480634829958</v>
      </c>
      <c r="AP227" s="13">
        <f>AI227*-Valores!$C$57</f>
        <v>-158.63387057038301</v>
      </c>
      <c r="AQ227" s="78">
        <f>AI227*-Valores!$C$58</f>
        <v>-1427.704835133447</v>
      </c>
      <c r="AR227" s="78">
        <f>AI227*-Valores!$C$59</f>
        <v>-856.62290108006835</v>
      </c>
      <c r="AS227" s="78">
        <f>AI227*-Valores!$C$60</f>
        <v>-95.1803223422298</v>
      </c>
      <c r="AT227" s="15">
        <f t="shared" si="36"/>
        <v>26974.029510892815</v>
      </c>
      <c r="AU227" s="15">
        <f t="shared" si="37"/>
        <v>27449.931122603968</v>
      </c>
      <c r="AV227" s="78">
        <f>AI227*Valores!$C$61</f>
        <v>5076.2838582522563</v>
      </c>
      <c r="AW227" s="78">
        <f>AI227*Valores!$C$62</f>
        <v>1427.704835133447</v>
      </c>
      <c r="AX227" s="78">
        <f>AI227*Valores!$C$64</f>
        <v>317.26774114076602</v>
      </c>
      <c r="AY227" s="78">
        <f>AI227*Valores!$C$65</f>
        <v>1110.4370939926812</v>
      </c>
      <c r="AZ227" s="78">
        <f>AI227*Valores!$C$66</f>
        <v>190.3606446844596</v>
      </c>
      <c r="BA227" s="78">
        <f t="shared" si="39"/>
        <v>1713.2458021601365</v>
      </c>
      <c r="BB227" s="20"/>
      <c r="BC227" s="20">
        <f t="shared" si="43"/>
        <v>140</v>
      </c>
      <c r="BD227" s="9" t="s">
        <v>466</v>
      </c>
    </row>
    <row r="228" spans="1:56" s="9" customFormat="1" ht="11.25" customHeight="1" x14ac:dyDescent="0.15">
      <c r="A228" s="20">
        <v>227</v>
      </c>
      <c r="B228" s="20"/>
      <c r="C228" s="9" t="s">
        <v>354</v>
      </c>
      <c r="D228" s="9">
        <v>36</v>
      </c>
      <c r="E228" s="10" t="str">
        <f t="shared" si="31"/>
        <v>Hora Cátedra Enseñanza Superior 36 hs</v>
      </c>
      <c r="F228" s="123">
        <f t="shared" si="32"/>
        <v>3564</v>
      </c>
      <c r="G228" s="7">
        <f>INT((F228*Valores!$C$2*100*1.006901)+0.5)/100</f>
        <v>18756.87</v>
      </c>
      <c r="H228" s="132">
        <v>0</v>
      </c>
      <c r="I228" s="77">
        <f>INT((H228*Valores!$C$2*100*1.006901)+0.5)/100</f>
        <v>0</v>
      </c>
      <c r="J228" s="145">
        <v>0</v>
      </c>
      <c r="K228" s="77">
        <f>INT((J228*Valores!$C$2*100*1.006901)+0.5)/100</f>
        <v>0</v>
      </c>
      <c r="L228" s="120">
        <v>0</v>
      </c>
      <c r="M228" s="77">
        <f>INT((L228*Valores!$C$2*100*1.006901)+0.5)/100</f>
        <v>0</v>
      </c>
      <c r="N228" s="77">
        <f t="shared" si="40"/>
        <v>3238.0155772559997</v>
      </c>
      <c r="O228" s="77">
        <f t="shared" si="41"/>
        <v>0</v>
      </c>
      <c r="P228" s="61">
        <f>Valores!$C$14*D228</f>
        <v>4343.28760152</v>
      </c>
      <c r="Q228" s="61">
        <f>IF(D228&lt;15,(Valores!$E$4*D228),Valores!$D$4)</f>
        <v>2354.08</v>
      </c>
      <c r="R228" s="77">
        <v>0</v>
      </c>
      <c r="S228" s="79">
        <f>Valores!$C$45*D228</f>
        <v>1146.9005150400001</v>
      </c>
      <c r="T228" s="61">
        <f>Valores!$C$22*D228</f>
        <v>1683</v>
      </c>
      <c r="U228" s="77">
        <f t="shared" si="30"/>
        <v>1683</v>
      </c>
      <c r="V228" s="77">
        <v>0</v>
      </c>
      <c r="W228" s="77">
        <v>0</v>
      </c>
      <c r="X228" s="37">
        <v>0</v>
      </c>
      <c r="Y228" s="77">
        <f>X228*Valores!$C$2*1.006901</f>
        <v>0</v>
      </c>
      <c r="Z228" s="77">
        <v>0</v>
      </c>
      <c r="AA228" s="89">
        <f>(Valores!$C$32)*D228</f>
        <v>190.08</v>
      </c>
      <c r="AB228" s="77">
        <f t="shared" si="34"/>
        <v>0</v>
      </c>
      <c r="AC228" s="77">
        <v>131.68</v>
      </c>
      <c r="AD228" s="116">
        <v>0</v>
      </c>
      <c r="AE228" s="77">
        <f>AD228*Valores!$C$2*1.006901</f>
        <v>0</v>
      </c>
      <c r="AF228" s="77">
        <f t="shared" si="42"/>
        <v>543.15979745514778</v>
      </c>
      <c r="AG228" s="77">
        <f t="shared" si="42"/>
        <v>155.2001004114571</v>
      </c>
      <c r="AH228" s="77">
        <f>SUM(G228,I228,K228,M228,N228,O228,P228,Q228,R228,S228,U228,V228,W228,Y228,Z228,AA228,AB228,AC228,AE228,AF228,AG228)*Valores!$C$54</f>
        <v>0</v>
      </c>
      <c r="AI228" s="139">
        <f t="shared" si="38"/>
        <v>32542.27359168261</v>
      </c>
      <c r="AJ228" s="61">
        <f>(Valores!$C$36*$D$222)+0.04</f>
        <v>432.12</v>
      </c>
      <c r="AK228" s="79">
        <f>(Valores!$C$11*D228)-0.22</f>
        <v>308.25419036</v>
      </c>
      <c r="AL228" s="89">
        <v>226.04927450000002</v>
      </c>
      <c r="AM228" s="79">
        <f>IF($G$4="SI",SUM(AK228+AL228),AK228)*Valores!$C$54</f>
        <v>0</v>
      </c>
      <c r="AN228" s="12">
        <f t="shared" si="35"/>
        <v>966.42346486000008</v>
      </c>
      <c r="AO228" s="13">
        <f>AI228*-Valores!$C$56</f>
        <v>-4230.4955669187393</v>
      </c>
      <c r="AP228" s="13">
        <f>AI228*-Valores!$C$57</f>
        <v>-162.71136795841306</v>
      </c>
      <c r="AQ228" s="78">
        <f>AI228*-Valores!$C$58</f>
        <v>-1464.4023116257174</v>
      </c>
      <c r="AR228" s="78">
        <f>AI228*-Valores!$C$59</f>
        <v>-878.64138697543058</v>
      </c>
      <c r="AS228" s="78">
        <f>AI228*-Valores!$C$60</f>
        <v>-97.626820775047833</v>
      </c>
      <c r="AT228" s="15">
        <f t="shared" si="36"/>
        <v>27651.087810039739</v>
      </c>
      <c r="AU228" s="15">
        <f t="shared" si="37"/>
        <v>28139.221913914975</v>
      </c>
      <c r="AV228" s="78">
        <f>AI228*Valores!$C$61</f>
        <v>5206.763774669218</v>
      </c>
      <c r="AW228" s="78">
        <f>AI228*Valores!$C$62</f>
        <v>1464.4023116257174</v>
      </c>
      <c r="AX228" s="78">
        <f>AI228*Valores!$C$64</f>
        <v>325.42273591682613</v>
      </c>
      <c r="AY228" s="78">
        <f>AI228*Valores!$C$65</f>
        <v>1138.9795757088914</v>
      </c>
      <c r="AZ228" s="78">
        <f>AI228*Valores!$C$66</f>
        <v>195.25364155009567</v>
      </c>
      <c r="BA228" s="78">
        <f t="shared" si="39"/>
        <v>1757.2827739508609</v>
      </c>
      <c r="BB228" s="20"/>
      <c r="BC228" s="20">
        <f t="shared" si="43"/>
        <v>144</v>
      </c>
      <c r="BD228" s="9" t="s">
        <v>466</v>
      </c>
    </row>
    <row r="229" spans="1:56" s="9" customFormat="1" ht="11.25" customHeight="1" x14ac:dyDescent="0.15">
      <c r="A229" s="20">
        <v>228</v>
      </c>
      <c r="B229" s="20"/>
      <c r="C229" s="9" t="s">
        <v>355</v>
      </c>
      <c r="D229" s="9">
        <v>1</v>
      </c>
      <c r="E229" s="10" t="str">
        <f>CONCATENATE("Hora Cátedra Enseñanza Media ",D229," hs")</f>
        <v>Hora Cátedra Enseñanza Media 1 hs</v>
      </c>
      <c r="F229" s="123">
        <f t="shared" ref="F229:F260" si="44">79*D229</f>
        <v>79</v>
      </c>
      <c r="G229" s="7">
        <f>INT((F229*Valores!$C$2*100*1.006901)+0.5)/100</f>
        <v>415.77</v>
      </c>
      <c r="H229" s="132">
        <v>0</v>
      </c>
      <c r="I229" s="77">
        <f>INT((H229*Valores!$C$2*100*1.006901)+0.5)/100</f>
        <v>0</v>
      </c>
      <c r="J229" s="145">
        <v>0</v>
      </c>
      <c r="K229" s="77">
        <f>INT((J229*Valores!$C$2*100*1.006901)+0.5)/100</f>
        <v>0</v>
      </c>
      <c r="L229" s="120">
        <v>0</v>
      </c>
      <c r="M229" s="77">
        <f>INT((L229*Valores!$C$2*100*1.006901)+0.5)/100</f>
        <v>0</v>
      </c>
      <c r="N229" s="77">
        <f t="shared" si="40"/>
        <v>74.156752145999988</v>
      </c>
      <c r="O229" s="77">
        <f t="shared" si="41"/>
        <v>0</v>
      </c>
      <c r="P229" s="61">
        <f>Valores!$C$14*D229</f>
        <v>120.64687782</v>
      </c>
      <c r="Q229" s="61">
        <f>IF(D229&lt;15,(Valores!$E$4*D229),Valores!$D$4)</f>
        <v>156.94</v>
      </c>
      <c r="R229" s="77">
        <v>0</v>
      </c>
      <c r="S229" s="79">
        <f>Valores!$C$45*D229</f>
        <v>31.858347640000002</v>
      </c>
      <c r="T229" s="61">
        <f>Valores!$C$22*D229</f>
        <v>46.75</v>
      </c>
      <c r="U229" s="77">
        <f t="shared" si="30"/>
        <v>46.75</v>
      </c>
      <c r="V229" s="77">
        <v>0</v>
      </c>
      <c r="W229" s="77">
        <v>0</v>
      </c>
      <c r="X229" s="37">
        <v>0</v>
      </c>
      <c r="Y229" s="77">
        <f>X229*Valores!$C$2*1.006901</f>
        <v>0</v>
      </c>
      <c r="Z229" s="77">
        <v>0</v>
      </c>
      <c r="AA229" s="89">
        <f>(Valores!$C$32)*D229</f>
        <v>5.28</v>
      </c>
      <c r="AB229" s="77">
        <f t="shared" si="34"/>
        <v>0</v>
      </c>
      <c r="AC229" s="77">
        <f>Valores!$C$33*D229</f>
        <v>4.42</v>
      </c>
      <c r="AD229" s="116">
        <v>0</v>
      </c>
      <c r="AE229" s="77">
        <f>AD229*Valores!$C$2*1.006901</f>
        <v>0</v>
      </c>
      <c r="AF229" s="77">
        <f>Valores!$D$51*D229</f>
        <v>18.105326581838259</v>
      </c>
      <c r="AG229" s="77">
        <f>Valores!$D$52*D229</f>
        <v>5.1733366803819036</v>
      </c>
      <c r="AH229" s="77">
        <f>SUM(G229,I229,K229,M229,N229,O229,P229,Q229,R229,S229,U229,V229,W229,Y229,Z229,AA229,AB229,AC229,AE229,AF229,AG229)*Valores!$C$54</f>
        <v>0</v>
      </c>
      <c r="AI229" s="139">
        <f t="shared" si="38"/>
        <v>879.10064086822024</v>
      </c>
      <c r="AJ229" s="61">
        <f>Valores!$C$36*D229</f>
        <v>14.402666666666667</v>
      </c>
      <c r="AK229" s="79">
        <f>Valores!$C$11*D229</f>
        <v>8.5687275100000004</v>
      </c>
      <c r="AL229" s="89">
        <v>7.5316194800000007</v>
      </c>
      <c r="AM229" s="79">
        <f>IF($G$4="SI",SUM(AK229+AL229),AK229)*Valores!$C$54</f>
        <v>0</v>
      </c>
      <c r="AN229" s="12">
        <f t="shared" si="35"/>
        <v>30.503013656666667</v>
      </c>
      <c r="AO229" s="13">
        <f>AI229*-Valores!$C$56</f>
        <v>-114.28308331286864</v>
      </c>
      <c r="AP229" s="13">
        <f>AI229*-Valores!$C$57</f>
        <v>-4.3955032043411011</v>
      </c>
      <c r="AQ229" s="78">
        <f>AI229*-Valores!$C$58</f>
        <v>-39.559528839069912</v>
      </c>
      <c r="AR229" s="78">
        <f>AI229*-Valores!$C$59</f>
        <v>-23.735717303441948</v>
      </c>
      <c r="AS229" s="78">
        <f>AI229*-Valores!$C$60</f>
        <v>-2.6373019226046606</v>
      </c>
      <c r="AT229" s="15">
        <f t="shared" si="36"/>
        <v>751.36553916860726</v>
      </c>
      <c r="AU229" s="15">
        <f t="shared" si="37"/>
        <v>764.55204878163056</v>
      </c>
      <c r="AV229" s="78">
        <f>AI229*Valores!$C$61</f>
        <v>140.65610253891523</v>
      </c>
      <c r="AW229" s="78">
        <f>AI229*Valores!$C$62</f>
        <v>39.559528839069912</v>
      </c>
      <c r="AX229" s="78">
        <f>AI229*Valores!$C$64</f>
        <v>8.7910064086822022</v>
      </c>
      <c r="AY229" s="78">
        <f>AI229*Valores!$C$65</f>
        <v>30.768522430387712</v>
      </c>
      <c r="AZ229" s="78">
        <f>AI229*Valores!$C$66</f>
        <v>5.2746038452093211</v>
      </c>
      <c r="BA229" s="78">
        <f t="shared" si="39"/>
        <v>47.471434606883896</v>
      </c>
      <c r="BB229" s="20"/>
      <c r="BC229" s="55">
        <f t="shared" si="43"/>
        <v>4</v>
      </c>
      <c r="BD229" s="9" t="s">
        <v>467</v>
      </c>
    </row>
    <row r="230" spans="1:56" s="9" customFormat="1" ht="11.25" customHeight="1" x14ac:dyDescent="0.15">
      <c r="A230" s="20">
        <v>229</v>
      </c>
      <c r="B230" s="20"/>
      <c r="C230" s="9" t="s">
        <v>355</v>
      </c>
      <c r="D230" s="9">
        <v>1</v>
      </c>
      <c r="E230" s="10" t="str">
        <f>CONCATENATE("Hora Cátedra Enseñanza Media ",D230," hs Esc Esp")</f>
        <v>Hora Cátedra Enseñanza Media 1 hs Esc Esp</v>
      </c>
      <c r="F230" s="123">
        <f t="shared" si="44"/>
        <v>79</v>
      </c>
      <c r="G230" s="7">
        <f>INT((F230*Valores!$C$2*100*1.006901)+0.5)/100</f>
        <v>415.77</v>
      </c>
      <c r="H230" s="132">
        <v>0</v>
      </c>
      <c r="I230" s="77">
        <f>INT((H230*Valores!$C$2*100*1.006901)+0.5)/100</f>
        <v>0</v>
      </c>
      <c r="J230" s="145">
        <v>0</v>
      </c>
      <c r="K230" s="77">
        <f>INT((J230*Valores!$C$2*100*1.006901)+0.5)/100</f>
        <v>0</v>
      </c>
      <c r="L230" s="120">
        <v>0</v>
      </c>
      <c r="M230" s="77">
        <f>INT((L230*Valores!$C$2*100*1.006901)+0.5)/100</f>
        <v>0</v>
      </c>
      <c r="N230" s="77">
        <f t="shared" si="40"/>
        <v>74.156752145999988</v>
      </c>
      <c r="O230" s="77">
        <f t="shared" si="41"/>
        <v>0</v>
      </c>
      <c r="P230" s="61">
        <f>Valores!$C$14*D230</f>
        <v>120.64687782</v>
      </c>
      <c r="Q230" s="61">
        <f>IF(D230&lt;15,(Valores!$E$4*D230),Valores!$D$4)</f>
        <v>156.94</v>
      </c>
      <c r="R230" s="77">
        <v>0</v>
      </c>
      <c r="S230" s="79">
        <f>Valores!$C$45*D230</f>
        <v>31.858347640000002</v>
      </c>
      <c r="T230" s="61">
        <f>Valores!$C$22*D230</f>
        <v>46.75</v>
      </c>
      <c r="U230" s="77">
        <f t="shared" si="30"/>
        <v>46.75</v>
      </c>
      <c r="V230" s="77">
        <v>0</v>
      </c>
      <c r="W230" s="77">
        <v>0</v>
      </c>
      <c r="X230" s="37">
        <v>0</v>
      </c>
      <c r="Y230" s="77">
        <f>X230*Valores!$C$2*1.006901</f>
        <v>0</v>
      </c>
      <c r="Z230" s="77">
        <v>0</v>
      </c>
      <c r="AA230" s="89">
        <f>(Valores!$C$32)*D230</f>
        <v>5.28</v>
      </c>
      <c r="AB230" s="77">
        <f t="shared" si="34"/>
        <v>0</v>
      </c>
      <c r="AC230" s="77">
        <f>Valores!$C$33*D230</f>
        <v>4.42</v>
      </c>
      <c r="AD230" s="116">
        <v>94</v>
      </c>
      <c r="AE230" s="77">
        <f>AD230*Valores!$C$2*1.006901</f>
        <v>494.70979379919999</v>
      </c>
      <c r="AF230" s="77">
        <f>Valores!$D$51*D230</f>
        <v>18.105326581838259</v>
      </c>
      <c r="AG230" s="77">
        <f>Valores!$D$52*D230</f>
        <v>5.1733366803819036</v>
      </c>
      <c r="AH230" s="77">
        <f>SUM(G230,I230,K230,M230,N230,O230,P230,Q230,R230,S230,U230,V230,W230,Y230,Z230,AA230,AB230,AC230,AE230,AF230,AG230)*Valores!$C$54</f>
        <v>0</v>
      </c>
      <c r="AI230" s="139">
        <f t="shared" si="38"/>
        <v>1373.8104346674199</v>
      </c>
      <c r="AJ230" s="61">
        <f>Valores!$C$36*D230</f>
        <v>14.402666666666667</v>
      </c>
      <c r="AK230" s="79">
        <f>Valores!$C$11*D230</f>
        <v>8.5687275100000004</v>
      </c>
      <c r="AL230" s="89">
        <v>7.5316194800000007</v>
      </c>
      <c r="AM230" s="79">
        <f>IF($G$4="SI",SUM(AK230+AL230),AK230)*Valores!$C$54</f>
        <v>0</v>
      </c>
      <c r="AN230" s="12">
        <f t="shared" si="35"/>
        <v>30.503013656666667</v>
      </c>
      <c r="AO230" s="13">
        <f>AI230*-Valores!$C$56</f>
        <v>-178.5953565067646</v>
      </c>
      <c r="AP230" s="13">
        <f>AI230*-Valores!$C$57</f>
        <v>-6.8690521733371002</v>
      </c>
      <c r="AQ230" s="78">
        <f>AI230*-Valores!$C$58</f>
        <v>-61.821469560033897</v>
      </c>
      <c r="AR230" s="78">
        <f>AI230*-Valores!$C$59</f>
        <v>-37.092881736020345</v>
      </c>
      <c r="AS230" s="78">
        <f>AI230*-Valores!$C$60</f>
        <v>-4.1214313040022601</v>
      </c>
      <c r="AT230" s="15">
        <f t="shared" si="36"/>
        <v>1157.0275700839509</v>
      </c>
      <c r="AU230" s="15">
        <f t="shared" si="37"/>
        <v>1177.634726603962</v>
      </c>
      <c r="AV230" s="78">
        <f>AI230*Valores!$C$61</f>
        <v>219.80966954678721</v>
      </c>
      <c r="AW230" s="78">
        <f>AI230*Valores!$C$62</f>
        <v>61.821469560033897</v>
      </c>
      <c r="AX230" s="78">
        <f>AI230*Valores!$C$64</f>
        <v>13.7381043466742</v>
      </c>
      <c r="AY230" s="78">
        <f>AI230*Valores!$C$65</f>
        <v>48.083365213359706</v>
      </c>
      <c r="AZ230" s="78">
        <f>AI230*Valores!$C$66</f>
        <v>8.2428626080045202</v>
      </c>
      <c r="BA230" s="78">
        <f t="shared" si="39"/>
        <v>74.185763472040676</v>
      </c>
      <c r="BB230" s="20"/>
      <c r="BC230" s="20">
        <f t="shared" si="43"/>
        <v>4</v>
      </c>
      <c r="BD230" s="9" t="s">
        <v>467</v>
      </c>
    </row>
    <row r="231" spans="1:56" s="9" customFormat="1" ht="11.25" customHeight="1" x14ac:dyDescent="0.15">
      <c r="A231" s="55">
        <v>230</v>
      </c>
      <c r="B231" s="55" t="s">
        <v>462</v>
      </c>
      <c r="C231" s="52" t="s">
        <v>355</v>
      </c>
      <c r="D231" s="52">
        <v>2</v>
      </c>
      <c r="E231" s="53" t="str">
        <f>CONCATENATE("Hora Cátedra Enseñanza Media ",D231," hs")</f>
        <v>Hora Cátedra Enseñanza Media 2 hs</v>
      </c>
      <c r="F231" s="124">
        <f t="shared" si="44"/>
        <v>158</v>
      </c>
      <c r="G231" s="7">
        <f>INT((F231*Valores!$C$2*100*1.006901)+0.5)/100</f>
        <v>831.53</v>
      </c>
      <c r="H231" s="131">
        <v>0</v>
      </c>
      <c r="I231" s="77">
        <f>INT((H231*Valores!$C$2*100*1.006901)+0.5)/100</f>
        <v>0</v>
      </c>
      <c r="J231" s="146">
        <v>0</v>
      </c>
      <c r="K231" s="77">
        <f>INT((J231*Valores!$C$2*100*1.006901)+0.5)/100</f>
        <v>0</v>
      </c>
      <c r="L231" s="121">
        <v>0</v>
      </c>
      <c r="M231" s="77">
        <f>INT((L231*Valores!$C$2*100*1.006901)+0.5)/100</f>
        <v>0</v>
      </c>
      <c r="N231" s="80">
        <f t="shared" si="40"/>
        <v>148.31200429199998</v>
      </c>
      <c r="O231" s="80">
        <f t="shared" si="41"/>
        <v>0</v>
      </c>
      <c r="P231" s="85">
        <f>Valores!$C$14*D231</f>
        <v>241.29375564</v>
      </c>
      <c r="Q231" s="85">
        <f>IF(D231&lt;15,(Valores!$E$4*D231),Valores!$D$4)</f>
        <v>313.88</v>
      </c>
      <c r="R231" s="80">
        <v>0</v>
      </c>
      <c r="S231" s="82">
        <f>Valores!$C$45*D231</f>
        <v>63.716695280000003</v>
      </c>
      <c r="T231" s="85">
        <f>Valores!$C$22*D231</f>
        <v>93.5</v>
      </c>
      <c r="U231" s="80">
        <f t="shared" si="30"/>
        <v>93.5</v>
      </c>
      <c r="V231" s="80">
        <v>0</v>
      </c>
      <c r="W231" s="80">
        <v>0</v>
      </c>
      <c r="X231" s="60">
        <v>0</v>
      </c>
      <c r="Y231" s="77">
        <f>X231*Valores!$C$2*1.006901</f>
        <v>0</v>
      </c>
      <c r="Z231" s="80">
        <v>0</v>
      </c>
      <c r="AA231" s="90">
        <f>(Valores!$C$32)*D231</f>
        <v>10.56</v>
      </c>
      <c r="AB231" s="80">
        <f t="shared" si="34"/>
        <v>0</v>
      </c>
      <c r="AC231" s="80">
        <f>Valores!$C$33*D231</f>
        <v>8.84</v>
      </c>
      <c r="AD231" s="115">
        <v>0</v>
      </c>
      <c r="AE231" s="77">
        <f>AD231*Valores!$C$2*1.006901</f>
        <v>0</v>
      </c>
      <c r="AF231" s="80">
        <f>Valores!$D$51*D231</f>
        <v>36.210653163676518</v>
      </c>
      <c r="AG231" s="80">
        <f>Valores!$D$52*D231</f>
        <v>10.346673360763807</v>
      </c>
      <c r="AH231" s="80">
        <f>SUM(G231,I231,K231,M231,N231,O231,P231,Q231,R231,S231,U231,V231,W231,Y231,Z231,AA231,AB231,AC231,AE231,AF231,AG231)*Valores!$C$54</f>
        <v>0</v>
      </c>
      <c r="AI231" s="140">
        <f t="shared" si="38"/>
        <v>1758.1897817364404</v>
      </c>
      <c r="AJ231" s="85">
        <f>Valores!$C$36*D231</f>
        <v>28.805333333333333</v>
      </c>
      <c r="AK231" s="82">
        <f>Valores!$C$11*D231</f>
        <v>17.137455020000001</v>
      </c>
      <c r="AL231" s="90">
        <v>15.072301069</v>
      </c>
      <c r="AM231" s="82">
        <f>IF($G$4="SI",SUM(AK231+AL231),AK231)*Valores!$C$54</f>
        <v>0</v>
      </c>
      <c r="AN231" s="184">
        <f t="shared" si="35"/>
        <v>61.015089422333332</v>
      </c>
      <c r="AO231" s="153">
        <f>AI231*-Valores!$C$56</f>
        <v>-228.56467162573725</v>
      </c>
      <c r="AP231" s="153">
        <f>AI231*-Valores!$C$57</f>
        <v>-8.7909489086822017</v>
      </c>
      <c r="AQ231" s="81">
        <f>AI231*-Valores!$C$58</f>
        <v>-79.11854017813981</v>
      </c>
      <c r="AR231" s="81">
        <f>AI231*-Valores!$C$59</f>
        <v>-47.471124106883899</v>
      </c>
      <c r="AS231" s="81">
        <f>AI231*-Valores!$C$60</f>
        <v>-5.2745693452093212</v>
      </c>
      <c r="AT231" s="54">
        <f t="shared" si="36"/>
        <v>1502.7307104462147</v>
      </c>
      <c r="AU231" s="54">
        <f t="shared" si="37"/>
        <v>1529.1035571722612</v>
      </c>
      <c r="AV231" s="81">
        <f>AI231*Valores!$C$61</f>
        <v>281.31036507783045</v>
      </c>
      <c r="AW231" s="81">
        <f>AI231*Valores!$C$62</f>
        <v>79.11854017813981</v>
      </c>
      <c r="AX231" s="81">
        <f>AI231*Valores!$C$64</f>
        <v>17.581897817364403</v>
      </c>
      <c r="AY231" s="81">
        <f>AI231*Valores!$C$65</f>
        <v>61.536642360775417</v>
      </c>
      <c r="AZ231" s="81">
        <f>AI231*Valores!$C$66</f>
        <v>10.549138690418642</v>
      </c>
      <c r="BA231" s="81">
        <f t="shared" si="39"/>
        <v>94.942248213767783</v>
      </c>
      <c r="BB231" s="55"/>
      <c r="BC231" s="55">
        <f t="shared" si="43"/>
        <v>8</v>
      </c>
      <c r="BD231" s="52" t="s">
        <v>467</v>
      </c>
    </row>
    <row r="232" spans="1:56" s="9" customFormat="1" ht="11.25" customHeight="1" x14ac:dyDescent="0.15">
      <c r="A232" s="20">
        <v>231</v>
      </c>
      <c r="B232" s="20"/>
      <c r="C232" s="9" t="s">
        <v>355</v>
      </c>
      <c r="D232" s="9">
        <v>2</v>
      </c>
      <c r="E232" s="10" t="str">
        <f>CONCATENATE("Hora Cátedra Enseñanza Media ",D232," hs Esc Esp")</f>
        <v>Hora Cátedra Enseñanza Media 2 hs Esc Esp</v>
      </c>
      <c r="F232" s="123">
        <f t="shared" si="44"/>
        <v>158</v>
      </c>
      <c r="G232" s="7">
        <f>INT((F232*Valores!$C$2*100*1.006901)+0.5)/100</f>
        <v>831.53</v>
      </c>
      <c r="H232" s="132">
        <v>0</v>
      </c>
      <c r="I232" s="77">
        <f>INT((H232*Valores!$C$2*100*1.006901)+0.5)/100</f>
        <v>0</v>
      </c>
      <c r="J232" s="145">
        <v>0</v>
      </c>
      <c r="K232" s="77">
        <f>INT((J232*Valores!$C$2*100*1.006901)+0.5)/100</f>
        <v>0</v>
      </c>
      <c r="L232" s="120">
        <v>0</v>
      </c>
      <c r="M232" s="77">
        <f>INT((L232*Valores!$C$2*100*1.006901)+0.5)/100</f>
        <v>0</v>
      </c>
      <c r="N232" s="77">
        <f t="shared" si="40"/>
        <v>148.31200429199998</v>
      </c>
      <c r="O232" s="77">
        <f t="shared" si="41"/>
        <v>0</v>
      </c>
      <c r="P232" s="61">
        <f>Valores!$C$14*D232</f>
        <v>241.29375564</v>
      </c>
      <c r="Q232" s="61">
        <f>IF(D232&lt;15,(Valores!$E$4*D232),Valores!$D$4)</f>
        <v>313.88</v>
      </c>
      <c r="R232" s="77">
        <v>0</v>
      </c>
      <c r="S232" s="79">
        <f>Valores!$C$45*D232</f>
        <v>63.716695280000003</v>
      </c>
      <c r="T232" s="61">
        <f>Valores!$C$22*D232</f>
        <v>93.5</v>
      </c>
      <c r="U232" s="77">
        <f t="shared" si="30"/>
        <v>93.5</v>
      </c>
      <c r="V232" s="77">
        <v>0</v>
      </c>
      <c r="W232" s="77">
        <v>0</v>
      </c>
      <c r="X232" s="37">
        <v>0</v>
      </c>
      <c r="Y232" s="77">
        <f>X232*Valores!$C$2*1.006901</f>
        <v>0</v>
      </c>
      <c r="Z232" s="77">
        <v>0</v>
      </c>
      <c r="AA232" s="89">
        <f>(Valores!$C$32)*D232</f>
        <v>10.56</v>
      </c>
      <c r="AB232" s="77">
        <f t="shared" si="34"/>
        <v>0</v>
      </c>
      <c r="AC232" s="77">
        <f>Valores!$C$33*D232</f>
        <v>8.84</v>
      </c>
      <c r="AD232" s="116">
        <v>94</v>
      </c>
      <c r="AE232" s="77">
        <f>AD232*Valores!$C$2*1.006901</f>
        <v>494.70979379919999</v>
      </c>
      <c r="AF232" s="77">
        <f>Valores!$D$51*D232</f>
        <v>36.210653163676518</v>
      </c>
      <c r="AG232" s="77">
        <f>Valores!$D$52*D232</f>
        <v>10.346673360763807</v>
      </c>
      <c r="AH232" s="77">
        <f>SUM(G232,I232,K232,M232,N232,O232,P232,Q232,R232,S232,U232,V232,W232,Y232,Z232,AA232,AB232,AC232,AE232,AF232,AG232)*Valores!$C$54</f>
        <v>0</v>
      </c>
      <c r="AI232" s="139">
        <f t="shared" si="38"/>
        <v>2252.89957553564</v>
      </c>
      <c r="AJ232" s="61">
        <f>Valores!$C$36*D232</f>
        <v>28.805333333333333</v>
      </c>
      <c r="AK232" s="79">
        <f>Valores!$C$11*D232</f>
        <v>17.137455020000001</v>
      </c>
      <c r="AL232" s="89">
        <v>15.072301069</v>
      </c>
      <c r="AM232" s="79">
        <f>IF($G$4="SI",SUM(AK232+AL232),AK232)*Valores!$C$54</f>
        <v>0</v>
      </c>
      <c r="AN232" s="12">
        <f t="shared" si="35"/>
        <v>61.015089422333332</v>
      </c>
      <c r="AO232" s="13">
        <f>AI232*-Valores!$C$56</f>
        <v>-292.8769448196332</v>
      </c>
      <c r="AP232" s="13">
        <f>AI232*-Valores!$C$57</f>
        <v>-11.264497877678201</v>
      </c>
      <c r="AQ232" s="78">
        <f>AI232*-Valores!$C$58</f>
        <v>-101.3804808991038</v>
      </c>
      <c r="AR232" s="78">
        <f>AI232*-Valores!$C$59</f>
        <v>-60.828288539462285</v>
      </c>
      <c r="AS232" s="78">
        <f>AI232*-Valores!$C$60</f>
        <v>-6.7586987266069203</v>
      </c>
      <c r="AT232" s="15">
        <f t="shared" si="36"/>
        <v>1908.3927413615579</v>
      </c>
      <c r="AU232" s="15">
        <f t="shared" si="37"/>
        <v>1942.1862349945925</v>
      </c>
      <c r="AV232" s="78">
        <f>AI232*Valores!$C$61</f>
        <v>360.46393208570242</v>
      </c>
      <c r="AW232" s="78">
        <f>AI232*Valores!$C$62</f>
        <v>101.3804808991038</v>
      </c>
      <c r="AX232" s="78">
        <f>AI232*Valores!$C$64</f>
        <v>22.528995755356402</v>
      </c>
      <c r="AY232" s="78">
        <f>AI232*Valores!$C$65</f>
        <v>78.851485143747411</v>
      </c>
      <c r="AZ232" s="78">
        <f>AI232*Valores!$C$66</f>
        <v>13.517397453213841</v>
      </c>
      <c r="BA232" s="78">
        <f t="shared" si="39"/>
        <v>121.65657707892457</v>
      </c>
      <c r="BB232" s="20"/>
      <c r="BC232" s="20">
        <f t="shared" si="43"/>
        <v>8</v>
      </c>
      <c r="BD232" s="9" t="s">
        <v>467</v>
      </c>
    </row>
    <row r="233" spans="1:56" s="9" customFormat="1" ht="11.25" customHeight="1" x14ac:dyDescent="0.15">
      <c r="A233" s="20">
        <v>232</v>
      </c>
      <c r="B233" s="20"/>
      <c r="C233" s="9" t="s">
        <v>355</v>
      </c>
      <c r="D233" s="9">
        <v>3</v>
      </c>
      <c r="E233" s="10" t="str">
        <f>CONCATENATE("Hora Cátedra Enseñanza Media ",D233," hs")</f>
        <v>Hora Cátedra Enseñanza Media 3 hs</v>
      </c>
      <c r="F233" s="123">
        <f t="shared" si="44"/>
        <v>237</v>
      </c>
      <c r="G233" s="7">
        <f>INT((F233*Valores!$C$2*100*1.006901)+0.5)/100</f>
        <v>1247.3</v>
      </c>
      <c r="H233" s="132">
        <v>0</v>
      </c>
      <c r="I233" s="77">
        <f>INT((H233*Valores!$C$2*100*1.006901)+0.5)/100</f>
        <v>0</v>
      </c>
      <c r="J233" s="145">
        <v>0</v>
      </c>
      <c r="K233" s="77">
        <f>INT((J233*Valores!$C$2*100*1.006901)+0.5)/100</f>
        <v>0</v>
      </c>
      <c r="L233" s="120">
        <v>0</v>
      </c>
      <c r="M233" s="77">
        <f>INT((L233*Valores!$C$2*100*1.006901)+0.5)/100</f>
        <v>0</v>
      </c>
      <c r="N233" s="77">
        <f t="shared" si="40"/>
        <v>222.46875643799999</v>
      </c>
      <c r="O233" s="77">
        <f t="shared" si="41"/>
        <v>0</v>
      </c>
      <c r="P233" s="61">
        <f>Valores!$C$14*D233</f>
        <v>361.94063346000002</v>
      </c>
      <c r="Q233" s="61">
        <f>IF(D233&lt;15,(Valores!$E$4*D233),Valores!$D$4)</f>
        <v>470.82</v>
      </c>
      <c r="R233" s="77">
        <v>0</v>
      </c>
      <c r="S233" s="79">
        <f>Valores!$C$45*D233</f>
        <v>95.575042920000001</v>
      </c>
      <c r="T233" s="61">
        <f>Valores!$C$22*D233</f>
        <v>140.25</v>
      </c>
      <c r="U233" s="77">
        <f t="shared" si="30"/>
        <v>140.25</v>
      </c>
      <c r="V233" s="77">
        <v>0</v>
      </c>
      <c r="W233" s="77">
        <v>0</v>
      </c>
      <c r="X233" s="37">
        <v>0</v>
      </c>
      <c r="Y233" s="77">
        <f>X233*Valores!$C$2*1.006901</f>
        <v>0</v>
      </c>
      <c r="Z233" s="77">
        <v>0</v>
      </c>
      <c r="AA233" s="89">
        <f>(Valores!$C$32)*D233</f>
        <v>15.84</v>
      </c>
      <c r="AB233" s="77">
        <f t="shared" si="34"/>
        <v>0</v>
      </c>
      <c r="AC233" s="77">
        <f>Valores!$C$33*D233</f>
        <v>13.26</v>
      </c>
      <c r="AD233" s="116">
        <v>0</v>
      </c>
      <c r="AE233" s="77">
        <f>AD233*Valores!$C$2*1.006901</f>
        <v>0</v>
      </c>
      <c r="AF233" s="77">
        <f>Valores!$D$51*D233</f>
        <v>54.315979745514781</v>
      </c>
      <c r="AG233" s="77">
        <f>Valores!$D$52*D233</f>
        <v>15.52001004114571</v>
      </c>
      <c r="AH233" s="77">
        <f>SUM(G233,I233,K233,M233,N233,O233,P233,Q233,R233,S233,U233,V233,W233,Y233,Z233,AA233,AB233,AC233,AE233,AF233,AG233)*Valores!$C$54</f>
        <v>0</v>
      </c>
      <c r="AI233" s="139">
        <f t="shared" si="38"/>
        <v>2637.2904226046608</v>
      </c>
      <c r="AJ233" s="61">
        <f>Valores!$C$36*D233</f>
        <v>43.207999999999998</v>
      </c>
      <c r="AK233" s="79">
        <f>Valores!$C$11*D233</f>
        <v>25.70618253</v>
      </c>
      <c r="AL233" s="89">
        <v>22.608451603500001</v>
      </c>
      <c r="AM233" s="79">
        <f>IF($G$4="SI",SUM(AK233+AL233),AK233)*Valores!$C$54</f>
        <v>0</v>
      </c>
      <c r="AN233" s="12">
        <f t="shared" si="35"/>
        <v>91.522634133500006</v>
      </c>
      <c r="AO233" s="13">
        <f>AI233*-Valores!$C$56</f>
        <v>-342.84775493860593</v>
      </c>
      <c r="AP233" s="13">
        <f>AI233*-Valores!$C$57</f>
        <v>-13.186452113023304</v>
      </c>
      <c r="AQ233" s="78">
        <f>AI233*-Valores!$C$58</f>
        <v>-118.67806901720974</v>
      </c>
      <c r="AR233" s="78">
        <f>AI233*-Valores!$C$59</f>
        <v>-71.20684141032585</v>
      </c>
      <c r="AS233" s="78">
        <f>AI233*-Valores!$C$60</f>
        <v>-7.9118712678139822</v>
      </c>
      <c r="AT233" s="15">
        <f t="shared" si="36"/>
        <v>2254.1007806693215</v>
      </c>
      <c r="AU233" s="15">
        <f t="shared" si="37"/>
        <v>2293.6601370083913</v>
      </c>
      <c r="AV233" s="78">
        <f>AI233*Valores!$C$61</f>
        <v>421.96646761674572</v>
      </c>
      <c r="AW233" s="78">
        <f>AI233*Valores!$C$62</f>
        <v>118.67806901720974</v>
      </c>
      <c r="AX233" s="78">
        <f>AI233*Valores!$C$64</f>
        <v>26.372904226046607</v>
      </c>
      <c r="AY233" s="78">
        <f>AI233*Valores!$C$65</f>
        <v>92.305164791163136</v>
      </c>
      <c r="AZ233" s="78">
        <f>AI233*Valores!$C$66</f>
        <v>15.823742535627964</v>
      </c>
      <c r="BA233" s="78">
        <f t="shared" si="39"/>
        <v>142.41368282065167</v>
      </c>
      <c r="BB233" s="20"/>
      <c r="BC233" s="20">
        <f t="shared" si="43"/>
        <v>12</v>
      </c>
      <c r="BD233" s="9" t="s">
        <v>467</v>
      </c>
    </row>
    <row r="234" spans="1:56" s="9" customFormat="1" ht="11.25" customHeight="1" x14ac:dyDescent="0.15">
      <c r="A234" s="20">
        <v>233</v>
      </c>
      <c r="B234" s="20"/>
      <c r="C234" s="9" t="s">
        <v>355</v>
      </c>
      <c r="D234" s="9">
        <v>3</v>
      </c>
      <c r="E234" s="10" t="str">
        <f>CONCATENATE("Hora Cátedra Enseñanza Media ",D234," hs Esc Esp")</f>
        <v>Hora Cátedra Enseñanza Media 3 hs Esc Esp</v>
      </c>
      <c r="F234" s="123">
        <f t="shared" si="44"/>
        <v>237</v>
      </c>
      <c r="G234" s="7">
        <f>INT((F234*Valores!$C$2*100*1.006901)+0.5)/100</f>
        <v>1247.3</v>
      </c>
      <c r="H234" s="132">
        <v>0</v>
      </c>
      <c r="I234" s="77">
        <f>INT((H234*Valores!$C$2*100*1.006901)+0.5)/100</f>
        <v>0</v>
      </c>
      <c r="J234" s="145">
        <v>0</v>
      </c>
      <c r="K234" s="77">
        <f>INT((J234*Valores!$C$2*100*1.006901)+0.5)/100</f>
        <v>0</v>
      </c>
      <c r="L234" s="120">
        <v>0</v>
      </c>
      <c r="M234" s="77">
        <f>INT((L234*Valores!$C$2*100*1.006901)+0.5)/100</f>
        <v>0</v>
      </c>
      <c r="N234" s="77">
        <f t="shared" si="40"/>
        <v>222.46875643799999</v>
      </c>
      <c r="O234" s="77">
        <f t="shared" si="41"/>
        <v>0</v>
      </c>
      <c r="P234" s="61">
        <f>Valores!$C$14*D234</f>
        <v>361.94063346000002</v>
      </c>
      <c r="Q234" s="61">
        <f>IF(D234&lt;15,(Valores!$E$4*D234),Valores!$D$4)</f>
        <v>470.82</v>
      </c>
      <c r="R234" s="77">
        <v>0</v>
      </c>
      <c r="S234" s="79">
        <f>Valores!$C$45*D234</f>
        <v>95.575042920000001</v>
      </c>
      <c r="T234" s="61">
        <f>Valores!$C$22*D234</f>
        <v>140.25</v>
      </c>
      <c r="U234" s="77">
        <f t="shared" si="30"/>
        <v>140.25</v>
      </c>
      <c r="V234" s="77">
        <v>0</v>
      </c>
      <c r="W234" s="77">
        <v>0</v>
      </c>
      <c r="X234" s="37">
        <v>0</v>
      </c>
      <c r="Y234" s="77">
        <f>X234*Valores!$C$2*1.006901</f>
        <v>0</v>
      </c>
      <c r="Z234" s="77">
        <v>0</v>
      </c>
      <c r="AA234" s="89">
        <f>(Valores!$C$32)*D234</f>
        <v>15.84</v>
      </c>
      <c r="AB234" s="77">
        <f t="shared" si="34"/>
        <v>0</v>
      </c>
      <c r="AC234" s="77">
        <f>Valores!$C$33*D234</f>
        <v>13.26</v>
      </c>
      <c r="AD234" s="116">
        <v>94</v>
      </c>
      <c r="AE234" s="77">
        <f>AD234*Valores!$C$2*1.006901</f>
        <v>494.70979379919999</v>
      </c>
      <c r="AF234" s="77">
        <f>Valores!$D$51*D234</f>
        <v>54.315979745514781</v>
      </c>
      <c r="AG234" s="77">
        <f>Valores!$D$52*D234</f>
        <v>15.52001004114571</v>
      </c>
      <c r="AH234" s="77">
        <f>SUM(G234,I234,K234,M234,N234,O234,P234,Q234,R234,S234,U234,V234,W234,Y234,Z234,AA234,AB234,AC234,AE234,AF234,AG234)*Valores!$C$54</f>
        <v>0</v>
      </c>
      <c r="AI234" s="139">
        <f t="shared" si="38"/>
        <v>3132.0002164038606</v>
      </c>
      <c r="AJ234" s="61">
        <f>Valores!$C$36*D234</f>
        <v>43.207999999999998</v>
      </c>
      <c r="AK234" s="79">
        <f>Valores!$C$11*D234</f>
        <v>25.70618253</v>
      </c>
      <c r="AL234" s="89">
        <v>22.608451603500001</v>
      </c>
      <c r="AM234" s="79">
        <f>IF($G$4="SI",SUM(AK234+AL234),AK234)*Valores!$C$54</f>
        <v>0</v>
      </c>
      <c r="AN234" s="12">
        <f t="shared" si="35"/>
        <v>91.522634133500006</v>
      </c>
      <c r="AO234" s="13">
        <f>AI234*-Valores!$C$56</f>
        <v>-407.16002813250191</v>
      </c>
      <c r="AP234" s="13">
        <f>AI234*-Valores!$C$57</f>
        <v>-15.660001082019303</v>
      </c>
      <c r="AQ234" s="78">
        <f>AI234*-Valores!$C$58</f>
        <v>-140.94000973817373</v>
      </c>
      <c r="AR234" s="78">
        <f>AI234*-Valores!$C$59</f>
        <v>-84.564005842904251</v>
      </c>
      <c r="AS234" s="78">
        <f>AI234*-Valores!$C$60</f>
        <v>-9.3960006492115813</v>
      </c>
      <c r="AT234" s="15">
        <f t="shared" si="36"/>
        <v>2659.762811584666</v>
      </c>
      <c r="AU234" s="15">
        <f t="shared" si="37"/>
        <v>2706.7428148307235</v>
      </c>
      <c r="AV234" s="78">
        <f>AI234*Valores!$C$61</f>
        <v>501.12003462461769</v>
      </c>
      <c r="AW234" s="78">
        <f>AI234*Valores!$C$62</f>
        <v>140.94000973817373</v>
      </c>
      <c r="AX234" s="78">
        <f>AI234*Valores!$C$64</f>
        <v>31.320002164038605</v>
      </c>
      <c r="AY234" s="78">
        <f>AI234*Valores!$C$65</f>
        <v>109.62000757413513</v>
      </c>
      <c r="AZ234" s="78">
        <f>AI234*Valores!$C$66</f>
        <v>18.792001298423163</v>
      </c>
      <c r="BA234" s="78">
        <f t="shared" si="39"/>
        <v>169.12801168580847</v>
      </c>
      <c r="BB234" s="20"/>
      <c r="BC234" s="55">
        <f t="shared" si="43"/>
        <v>12</v>
      </c>
      <c r="BD234" s="9" t="s">
        <v>467</v>
      </c>
    </row>
    <row r="235" spans="1:56" s="9" customFormat="1" ht="11.25" customHeight="1" x14ac:dyDescent="0.15">
      <c r="A235" s="20">
        <v>234</v>
      </c>
      <c r="B235" s="20"/>
      <c r="C235" s="9" t="s">
        <v>355</v>
      </c>
      <c r="D235" s="9">
        <v>4</v>
      </c>
      <c r="E235" s="10" t="str">
        <f>CONCATENATE("Hora Cátedra Enseñanza Media ",D235," hs")</f>
        <v>Hora Cátedra Enseñanza Media 4 hs</v>
      </c>
      <c r="F235" s="123">
        <f t="shared" si="44"/>
        <v>316</v>
      </c>
      <c r="G235" s="7">
        <f>INT((F235*Valores!$C$2*100*1.006901)+0.5)/100</f>
        <v>1663.07</v>
      </c>
      <c r="H235" s="132">
        <v>0</v>
      </c>
      <c r="I235" s="77">
        <f>INT((H235*Valores!$C$2*100*1.006901)+0.5)/100</f>
        <v>0</v>
      </c>
      <c r="J235" s="145">
        <v>0</v>
      </c>
      <c r="K235" s="77">
        <f>INT((J235*Valores!$C$2*100*1.006901)+0.5)/100</f>
        <v>0</v>
      </c>
      <c r="L235" s="120">
        <v>0</v>
      </c>
      <c r="M235" s="77">
        <f>INT((L235*Valores!$C$2*100*1.006901)+0.5)/100</f>
        <v>0</v>
      </c>
      <c r="N235" s="77">
        <f t="shared" si="40"/>
        <v>296.62550858399999</v>
      </c>
      <c r="O235" s="77">
        <f t="shared" si="41"/>
        <v>0</v>
      </c>
      <c r="P235" s="61">
        <f>Valores!$C$14*D235</f>
        <v>482.58751128</v>
      </c>
      <c r="Q235" s="61">
        <f>IF(D235&lt;15,(Valores!$E$4*D235),Valores!$D$4)</f>
        <v>627.76</v>
      </c>
      <c r="R235" s="77">
        <v>0</v>
      </c>
      <c r="S235" s="79">
        <f>Valores!$C$45*D235</f>
        <v>127.43339056000001</v>
      </c>
      <c r="T235" s="61">
        <f>Valores!$C$22*D235</f>
        <v>187</v>
      </c>
      <c r="U235" s="77">
        <f t="shared" si="30"/>
        <v>187</v>
      </c>
      <c r="V235" s="77">
        <v>0</v>
      </c>
      <c r="W235" s="77">
        <v>0</v>
      </c>
      <c r="X235" s="37">
        <v>0</v>
      </c>
      <c r="Y235" s="77">
        <f>X235*Valores!$C$2*1.006901</f>
        <v>0</v>
      </c>
      <c r="Z235" s="77">
        <v>0</v>
      </c>
      <c r="AA235" s="89">
        <f>(Valores!$C$32)*D235</f>
        <v>21.12</v>
      </c>
      <c r="AB235" s="77">
        <f t="shared" si="34"/>
        <v>0</v>
      </c>
      <c r="AC235" s="77">
        <f>Valores!$C$33*D235</f>
        <v>17.68</v>
      </c>
      <c r="AD235" s="116">
        <v>0</v>
      </c>
      <c r="AE235" s="77">
        <f>AD235*Valores!$C$2*1.006901</f>
        <v>0</v>
      </c>
      <c r="AF235" s="77">
        <f>Valores!$D$51*D235</f>
        <v>72.421306327353037</v>
      </c>
      <c r="AG235" s="77">
        <f>Valores!$D$52*D235</f>
        <v>20.693346721527615</v>
      </c>
      <c r="AH235" s="77">
        <f>SUM(G235,I235,K235,M235,N235,O235,P235,Q235,R235,S235,U235,V235,W235,Y235,Z235,AA235,AB235,AC235,AE235,AF235,AG235)*Valores!$C$54</f>
        <v>0</v>
      </c>
      <c r="AI235" s="139">
        <f t="shared" si="38"/>
        <v>3516.3910634728804</v>
      </c>
      <c r="AJ235" s="61">
        <f>Valores!$C$36*D235</f>
        <v>57.610666666666667</v>
      </c>
      <c r="AK235" s="79">
        <f>Valores!$C$11*D235</f>
        <v>34.274910040000002</v>
      </c>
      <c r="AL235" s="89">
        <v>30.138560731999998</v>
      </c>
      <c r="AM235" s="79">
        <f>IF($G$4="SI",SUM(AK235+AL235),AK235)*Valores!$C$54</f>
        <v>0</v>
      </c>
      <c r="AN235" s="12">
        <f t="shared" si="35"/>
        <v>122.02413743866667</v>
      </c>
      <c r="AO235" s="13">
        <f>AI235*-Valores!$C$56</f>
        <v>-457.13083825147447</v>
      </c>
      <c r="AP235" s="13">
        <f>AI235*-Valores!$C$57</f>
        <v>-17.581955317364404</v>
      </c>
      <c r="AQ235" s="78">
        <f>AI235*-Valores!$C$58</f>
        <v>-158.23759785627962</v>
      </c>
      <c r="AR235" s="78">
        <f>AI235*-Valores!$C$59</f>
        <v>-94.942558713767781</v>
      </c>
      <c r="AS235" s="78">
        <f>AI235*-Valores!$C$60</f>
        <v>-10.549173190418642</v>
      </c>
      <c r="AT235" s="15">
        <f t="shared" si="36"/>
        <v>3005.4648094864287</v>
      </c>
      <c r="AU235" s="15">
        <f t="shared" si="37"/>
        <v>3058.2106754385218</v>
      </c>
      <c r="AV235" s="78">
        <f>AI235*Valores!$C$61</f>
        <v>562.62257015566092</v>
      </c>
      <c r="AW235" s="78">
        <f>AI235*Valores!$C$62</f>
        <v>158.23759785627962</v>
      </c>
      <c r="AX235" s="78">
        <f>AI235*Valores!$C$64</f>
        <v>35.163910634728808</v>
      </c>
      <c r="AY235" s="78">
        <f>AI235*Valores!$C$65</f>
        <v>123.07368722155083</v>
      </c>
      <c r="AZ235" s="78">
        <f>AI235*Valores!$C$66</f>
        <v>21.098346380837285</v>
      </c>
      <c r="BA235" s="78">
        <f t="shared" si="39"/>
        <v>189.88511742753556</v>
      </c>
      <c r="BB235" s="20"/>
      <c r="BC235" s="20">
        <f t="shared" si="43"/>
        <v>16</v>
      </c>
      <c r="BD235" s="9" t="s">
        <v>467</v>
      </c>
    </row>
    <row r="236" spans="1:56" s="9" customFormat="1" ht="11.25" customHeight="1" x14ac:dyDescent="0.15">
      <c r="A236" s="55">
        <v>235</v>
      </c>
      <c r="B236" s="55" t="s">
        <v>462</v>
      </c>
      <c r="C236" s="52" t="s">
        <v>355</v>
      </c>
      <c r="D236" s="52">
        <v>4</v>
      </c>
      <c r="E236" s="53" t="str">
        <f>CONCATENATE("Hora Cátedra Enseñanza Media ",D236," hs Esc Esp")</f>
        <v>Hora Cátedra Enseñanza Media 4 hs Esc Esp</v>
      </c>
      <c r="F236" s="124">
        <f t="shared" si="44"/>
        <v>316</v>
      </c>
      <c r="G236" s="7">
        <f>INT((F236*Valores!$C$2*100*1.006901)+0.5)/100</f>
        <v>1663.07</v>
      </c>
      <c r="H236" s="131">
        <v>0</v>
      </c>
      <c r="I236" s="77">
        <f>INT((H236*Valores!$C$2*100*1.006901)+0.5)/100</f>
        <v>0</v>
      </c>
      <c r="J236" s="146">
        <v>0</v>
      </c>
      <c r="K236" s="77">
        <f>INT((J236*Valores!$C$2*100*1.006901)+0.5)/100</f>
        <v>0</v>
      </c>
      <c r="L236" s="121">
        <v>0</v>
      </c>
      <c r="M236" s="77">
        <f>INT((L236*Valores!$C$2*100*1.006901)+0.5)/100</f>
        <v>0</v>
      </c>
      <c r="N236" s="80">
        <f t="shared" si="40"/>
        <v>296.62550858399999</v>
      </c>
      <c r="O236" s="80">
        <f t="shared" si="41"/>
        <v>0</v>
      </c>
      <c r="P236" s="85">
        <f>Valores!$C$14*D236</f>
        <v>482.58751128</v>
      </c>
      <c r="Q236" s="85">
        <f>IF(D236&lt;15,(Valores!$E$4*D236),Valores!$D$4)</f>
        <v>627.76</v>
      </c>
      <c r="R236" s="80">
        <v>0</v>
      </c>
      <c r="S236" s="82">
        <f>Valores!$C$45*D236</f>
        <v>127.43339056000001</v>
      </c>
      <c r="T236" s="85">
        <f>Valores!$C$22*D236</f>
        <v>187</v>
      </c>
      <c r="U236" s="80">
        <f t="shared" si="30"/>
        <v>187</v>
      </c>
      <c r="V236" s="80">
        <v>0</v>
      </c>
      <c r="W236" s="80">
        <v>0</v>
      </c>
      <c r="X236" s="60">
        <v>0</v>
      </c>
      <c r="Y236" s="77">
        <f>X236*Valores!$C$2*1.006901</f>
        <v>0</v>
      </c>
      <c r="Z236" s="80">
        <v>0</v>
      </c>
      <c r="AA236" s="90">
        <f>(Valores!$C$32)*D236</f>
        <v>21.12</v>
      </c>
      <c r="AB236" s="80">
        <f t="shared" si="34"/>
        <v>0</v>
      </c>
      <c r="AC236" s="80">
        <f>Valores!$C$33*D236</f>
        <v>17.68</v>
      </c>
      <c r="AD236" s="115">
        <v>94</v>
      </c>
      <c r="AE236" s="77">
        <f>AD236*Valores!$C$2*1.006901</f>
        <v>494.70979379919999</v>
      </c>
      <c r="AF236" s="80">
        <f>Valores!$D$51*D236</f>
        <v>72.421306327353037</v>
      </c>
      <c r="AG236" s="80">
        <f>Valores!$D$52*D236</f>
        <v>20.693346721527615</v>
      </c>
      <c r="AH236" s="80">
        <f>SUM(G236,I236,K236,M236,N236,O236,P236,Q236,R236,S236,U236,V236,W236,Y236,Z236,AA236,AB236,AC236,AE236,AF236,AG236)*Valores!$C$54</f>
        <v>0</v>
      </c>
      <c r="AI236" s="140">
        <f t="shared" si="38"/>
        <v>4011.1008572720802</v>
      </c>
      <c r="AJ236" s="85">
        <f>Valores!$C$36*D236</f>
        <v>57.610666666666667</v>
      </c>
      <c r="AK236" s="82">
        <f>Valores!$C$11*D236</f>
        <v>34.274910040000002</v>
      </c>
      <c r="AL236" s="90">
        <v>30.138560731999998</v>
      </c>
      <c r="AM236" s="82">
        <f>IF($G$4="SI",SUM(AK236+AL236),AK236)*Valores!$C$54</f>
        <v>0</v>
      </c>
      <c r="AN236" s="184">
        <f t="shared" si="35"/>
        <v>122.02413743866667</v>
      </c>
      <c r="AO236" s="153">
        <f>AI236*-Valores!$C$56</f>
        <v>-521.4431114453705</v>
      </c>
      <c r="AP236" s="153">
        <f>AI236*-Valores!$C$57</f>
        <v>-20.055504286360403</v>
      </c>
      <c r="AQ236" s="81">
        <f>AI236*-Valores!$C$58</f>
        <v>-180.49953857724361</v>
      </c>
      <c r="AR236" s="81">
        <f>AI236*-Valores!$C$59</f>
        <v>-108.29972314634618</v>
      </c>
      <c r="AS236" s="81">
        <f>AI236*-Valores!$C$60</f>
        <v>-12.033302571816241</v>
      </c>
      <c r="AT236" s="54">
        <f t="shared" si="36"/>
        <v>3411.1268404017724</v>
      </c>
      <c r="AU236" s="54">
        <f t="shared" si="37"/>
        <v>3471.2933532608536</v>
      </c>
      <c r="AV236" s="81">
        <f>AI236*Valores!$C$61</f>
        <v>641.77613716353289</v>
      </c>
      <c r="AW236" s="81">
        <f>AI236*Valores!$C$62</f>
        <v>180.49953857724361</v>
      </c>
      <c r="AX236" s="81">
        <f>AI236*Valores!$C$64</f>
        <v>40.111008572720806</v>
      </c>
      <c r="AY236" s="81">
        <f>AI236*Valores!$C$65</f>
        <v>140.38853000452283</v>
      </c>
      <c r="AZ236" s="81">
        <f>AI236*Valores!$C$66</f>
        <v>24.066605143632483</v>
      </c>
      <c r="BA236" s="81">
        <f t="shared" si="39"/>
        <v>216.59944629269233</v>
      </c>
      <c r="BB236" s="55"/>
      <c r="BC236" s="55">
        <f t="shared" si="43"/>
        <v>16</v>
      </c>
      <c r="BD236" s="52" t="s">
        <v>467</v>
      </c>
    </row>
    <row r="237" spans="1:56" s="9" customFormat="1" ht="11.25" customHeight="1" x14ac:dyDescent="0.15">
      <c r="A237" s="20">
        <v>236</v>
      </c>
      <c r="B237" s="20"/>
      <c r="C237" s="9" t="s">
        <v>355</v>
      </c>
      <c r="D237" s="9">
        <v>5</v>
      </c>
      <c r="E237" s="10" t="str">
        <f>CONCATENATE("Hora Cátedra Enseñanza Media ",D237," hs")</f>
        <v>Hora Cátedra Enseñanza Media 5 hs</v>
      </c>
      <c r="F237" s="123">
        <f t="shared" si="44"/>
        <v>395</v>
      </c>
      <c r="G237" s="7">
        <f>INT((F237*Valores!$C$2*100*1.006901)+0.5)/100</f>
        <v>2078.83</v>
      </c>
      <c r="H237" s="132">
        <v>0</v>
      </c>
      <c r="I237" s="77">
        <f>INT((H237*Valores!$C$2*100*1.006901)+0.5)/100</f>
        <v>0</v>
      </c>
      <c r="J237" s="145">
        <v>0</v>
      </c>
      <c r="K237" s="77">
        <f>INT((J237*Valores!$C$2*100*1.006901)+0.5)/100</f>
        <v>0</v>
      </c>
      <c r="L237" s="120">
        <v>0</v>
      </c>
      <c r="M237" s="77">
        <f>INT((L237*Valores!$C$2*100*1.006901)+0.5)/100</f>
        <v>0</v>
      </c>
      <c r="N237" s="77">
        <f t="shared" si="40"/>
        <v>370.78076073</v>
      </c>
      <c r="O237" s="77">
        <f t="shared" si="41"/>
        <v>0</v>
      </c>
      <c r="P237" s="61">
        <f>Valores!$C$14*D237</f>
        <v>603.23438910000004</v>
      </c>
      <c r="Q237" s="61">
        <f>IF(D237&lt;15,(Valores!$E$4*D237),Valores!$D$4)</f>
        <v>784.7</v>
      </c>
      <c r="R237" s="77">
        <v>0</v>
      </c>
      <c r="S237" s="79">
        <f>Valores!$C$45*D237</f>
        <v>159.2917382</v>
      </c>
      <c r="T237" s="61">
        <f>Valores!$C$22*D237</f>
        <v>233.75</v>
      </c>
      <c r="U237" s="77">
        <f t="shared" si="30"/>
        <v>233.75</v>
      </c>
      <c r="V237" s="77">
        <v>0</v>
      </c>
      <c r="W237" s="77">
        <v>0</v>
      </c>
      <c r="X237" s="37">
        <v>0</v>
      </c>
      <c r="Y237" s="77">
        <f>X237*Valores!$C$2*1.006901</f>
        <v>0</v>
      </c>
      <c r="Z237" s="77">
        <v>0</v>
      </c>
      <c r="AA237" s="89">
        <f>(Valores!$C$32)*D237</f>
        <v>26.400000000000002</v>
      </c>
      <c r="AB237" s="77">
        <f t="shared" si="34"/>
        <v>0</v>
      </c>
      <c r="AC237" s="77">
        <f>Valores!$C$33*D237</f>
        <v>22.1</v>
      </c>
      <c r="AD237" s="116">
        <v>0</v>
      </c>
      <c r="AE237" s="77">
        <f>AD237*Valores!$C$2*1.006901</f>
        <v>0</v>
      </c>
      <c r="AF237" s="77">
        <f>Valores!$D$51*D237</f>
        <v>90.526632909191292</v>
      </c>
      <c r="AG237" s="77">
        <f>Valores!$D$52*D237</f>
        <v>25.866683401909519</v>
      </c>
      <c r="AH237" s="77">
        <f>SUM(G237,I237,K237,M237,N237,O237,P237,Q237,R237,S237,U237,V237,W237,Y237,Z237,AA237,AB237,AC237,AE237,AF237,AG237)*Valores!$C$54</f>
        <v>0</v>
      </c>
      <c r="AI237" s="139">
        <f t="shared" si="38"/>
        <v>4395.4802043411</v>
      </c>
      <c r="AJ237" s="61">
        <f>Valores!$C$36*D237</f>
        <v>72.013333333333335</v>
      </c>
      <c r="AK237" s="79">
        <f>Valores!$C$11*D237</f>
        <v>42.843637550000004</v>
      </c>
      <c r="AL237" s="89">
        <v>37.680752672499999</v>
      </c>
      <c r="AM237" s="79">
        <f>IF($G$4="SI",SUM(AK237+AL237),AK237)*Valores!$C$54</f>
        <v>0</v>
      </c>
      <c r="AN237" s="12">
        <f t="shared" si="35"/>
        <v>152.53772355583334</v>
      </c>
      <c r="AO237" s="13">
        <f>AI237*-Valores!$C$56</f>
        <v>-571.41242656434304</v>
      </c>
      <c r="AP237" s="13">
        <f>AI237*-Valores!$C$57</f>
        <v>-21.9774010217055</v>
      </c>
      <c r="AQ237" s="78">
        <f>AI237*-Valores!$C$58</f>
        <v>-197.7966091953495</v>
      </c>
      <c r="AR237" s="78">
        <f>AI237*-Valores!$C$59</f>
        <v>-118.67796551720971</v>
      </c>
      <c r="AS237" s="78">
        <f>AI237*-Valores!$C$60</f>
        <v>-13.186440613023301</v>
      </c>
      <c r="AT237" s="15">
        <f t="shared" si="36"/>
        <v>3756.8314911155358</v>
      </c>
      <c r="AU237" s="15">
        <f t="shared" si="37"/>
        <v>3822.7636941806522</v>
      </c>
      <c r="AV237" s="78">
        <f>AI237*Valores!$C$61</f>
        <v>703.276832694576</v>
      </c>
      <c r="AW237" s="78">
        <f>AI237*Valores!$C$62</f>
        <v>197.7966091953495</v>
      </c>
      <c r="AX237" s="78">
        <f>AI237*Valores!$C$64</f>
        <v>43.954802043411</v>
      </c>
      <c r="AY237" s="78">
        <f>AI237*Valores!$C$65</f>
        <v>153.84180715193853</v>
      </c>
      <c r="AZ237" s="78">
        <f>AI237*Valores!$C$66</f>
        <v>26.372881226046601</v>
      </c>
      <c r="BA237" s="78">
        <f t="shared" si="39"/>
        <v>237.3559310344194</v>
      </c>
      <c r="BB237" s="20"/>
      <c r="BC237" s="20">
        <f t="shared" si="43"/>
        <v>20</v>
      </c>
      <c r="BD237" s="9" t="s">
        <v>467</v>
      </c>
    </row>
    <row r="238" spans="1:56" s="9" customFormat="1" ht="11.25" customHeight="1" x14ac:dyDescent="0.15">
      <c r="A238" s="20">
        <v>237</v>
      </c>
      <c r="B238" s="20"/>
      <c r="C238" s="9" t="s">
        <v>355</v>
      </c>
      <c r="D238" s="9">
        <v>5</v>
      </c>
      <c r="E238" s="10" t="str">
        <f>CONCATENATE("Hora Cátedra Enseñanza Media ",D238," hs Esc Esp")</f>
        <v>Hora Cátedra Enseñanza Media 5 hs Esc Esp</v>
      </c>
      <c r="F238" s="123">
        <f t="shared" si="44"/>
        <v>395</v>
      </c>
      <c r="G238" s="7">
        <f>INT((F238*Valores!$C$2*100*1.006901)+0.5)/100</f>
        <v>2078.83</v>
      </c>
      <c r="H238" s="132">
        <v>0</v>
      </c>
      <c r="I238" s="77">
        <f>INT((H238*Valores!$C$2*100*1.006901)+0.5)/100</f>
        <v>0</v>
      </c>
      <c r="J238" s="145">
        <v>0</v>
      </c>
      <c r="K238" s="77">
        <f>INT((J238*Valores!$C$2*100*1.006901)+0.5)/100</f>
        <v>0</v>
      </c>
      <c r="L238" s="120">
        <v>0</v>
      </c>
      <c r="M238" s="77">
        <f>INT((L238*Valores!$C$2*100*1.006901)+0.5)/100</f>
        <v>0</v>
      </c>
      <c r="N238" s="77">
        <f t="shared" si="40"/>
        <v>370.78076073</v>
      </c>
      <c r="O238" s="77">
        <f t="shared" si="41"/>
        <v>0</v>
      </c>
      <c r="P238" s="61">
        <f>Valores!$C$14*D238</f>
        <v>603.23438910000004</v>
      </c>
      <c r="Q238" s="61">
        <f>IF(D238&lt;15,(Valores!$E$4*D238),Valores!$D$4)</f>
        <v>784.7</v>
      </c>
      <c r="R238" s="77">
        <v>0</v>
      </c>
      <c r="S238" s="79">
        <f>Valores!$C$45*D238</f>
        <v>159.2917382</v>
      </c>
      <c r="T238" s="61">
        <f>Valores!$C$22*D238</f>
        <v>233.75</v>
      </c>
      <c r="U238" s="77">
        <f t="shared" si="30"/>
        <v>233.75</v>
      </c>
      <c r="V238" s="77">
        <v>0</v>
      </c>
      <c r="W238" s="77">
        <v>0</v>
      </c>
      <c r="X238" s="37">
        <v>0</v>
      </c>
      <c r="Y238" s="77">
        <f>X238*Valores!$C$2*1.006901</f>
        <v>0</v>
      </c>
      <c r="Z238" s="77">
        <v>0</v>
      </c>
      <c r="AA238" s="89">
        <f>(Valores!$C$32)*D238</f>
        <v>26.400000000000002</v>
      </c>
      <c r="AB238" s="77">
        <f t="shared" si="34"/>
        <v>0</v>
      </c>
      <c r="AC238" s="77">
        <f>Valores!$C$33*D238</f>
        <v>22.1</v>
      </c>
      <c r="AD238" s="116">
        <v>94</v>
      </c>
      <c r="AE238" s="77">
        <f>AD238*Valores!$C$2*1.006901</f>
        <v>494.70979379919999</v>
      </c>
      <c r="AF238" s="77">
        <f>Valores!$D$51*D238</f>
        <v>90.526632909191292</v>
      </c>
      <c r="AG238" s="77">
        <f>Valores!$D$52*D238</f>
        <v>25.866683401909519</v>
      </c>
      <c r="AH238" s="77">
        <f>SUM(G238,I238,K238,M238,N238,O238,P238,Q238,R238,S238,U238,V238,W238,Y238,Z238,AA238,AB238,AC238,AE238,AF238,AG238)*Valores!$C$54</f>
        <v>0</v>
      </c>
      <c r="AI238" s="139">
        <f t="shared" si="38"/>
        <v>4890.1899981403003</v>
      </c>
      <c r="AJ238" s="61">
        <f>Valores!$C$36*D238</f>
        <v>72.013333333333335</v>
      </c>
      <c r="AK238" s="79">
        <f>Valores!$C$11*D238</f>
        <v>42.843637550000004</v>
      </c>
      <c r="AL238" s="89">
        <v>37.680752672499999</v>
      </c>
      <c r="AM238" s="79">
        <f>IF($G$4="SI",SUM(AK238+AL238),AK238)*Valores!$C$54</f>
        <v>0</v>
      </c>
      <c r="AN238" s="12">
        <f t="shared" si="35"/>
        <v>152.53772355583334</v>
      </c>
      <c r="AO238" s="13">
        <f>AI238*-Valores!$C$56</f>
        <v>-635.72469975823901</v>
      </c>
      <c r="AP238" s="13">
        <f>AI238*-Valores!$C$57</f>
        <v>-24.450949990701503</v>
      </c>
      <c r="AQ238" s="78">
        <f>AI238*-Valores!$C$58</f>
        <v>-220.0585499163135</v>
      </c>
      <c r="AR238" s="78">
        <f>AI238*-Valores!$C$59</f>
        <v>-132.03512994978811</v>
      </c>
      <c r="AS238" s="78">
        <f>AI238*-Valores!$C$60</f>
        <v>-14.670569994420902</v>
      </c>
      <c r="AT238" s="15">
        <f t="shared" si="36"/>
        <v>4162.4935220308798</v>
      </c>
      <c r="AU238" s="15">
        <f t="shared" si="37"/>
        <v>4235.8463720029849</v>
      </c>
      <c r="AV238" s="78">
        <f>AI238*Valores!$C$61</f>
        <v>782.43039970244809</v>
      </c>
      <c r="AW238" s="78">
        <f>AI238*Valores!$C$62</f>
        <v>220.0585499163135</v>
      </c>
      <c r="AX238" s="78">
        <f>AI238*Valores!$C$64</f>
        <v>48.901899981403005</v>
      </c>
      <c r="AY238" s="78">
        <f>AI238*Valores!$C$65</f>
        <v>171.15664993491052</v>
      </c>
      <c r="AZ238" s="78">
        <f>AI238*Valores!$C$66</f>
        <v>29.341139988841803</v>
      </c>
      <c r="BA238" s="78">
        <f t="shared" si="39"/>
        <v>264.07025989957623</v>
      </c>
      <c r="BB238" s="20"/>
      <c r="BC238" s="20">
        <f t="shared" si="43"/>
        <v>20</v>
      </c>
      <c r="BD238" s="9" t="s">
        <v>467</v>
      </c>
    </row>
    <row r="239" spans="1:56" s="9" customFormat="1" ht="11.25" customHeight="1" x14ac:dyDescent="0.15">
      <c r="A239" s="20">
        <v>238</v>
      </c>
      <c r="B239" s="20"/>
      <c r="C239" s="9" t="s">
        <v>355</v>
      </c>
      <c r="D239" s="9">
        <v>6</v>
      </c>
      <c r="E239" s="10" t="str">
        <f>CONCATENATE("Hora Cátedra Enseñanza Media ",D239," hs")</f>
        <v>Hora Cátedra Enseñanza Media 6 hs</v>
      </c>
      <c r="F239" s="123">
        <f t="shared" si="44"/>
        <v>474</v>
      </c>
      <c r="G239" s="7">
        <f>INT((F239*Valores!$C$2*100*1.006901)+0.5)/100</f>
        <v>2494.6</v>
      </c>
      <c r="H239" s="132">
        <v>0</v>
      </c>
      <c r="I239" s="77">
        <f>INT((H239*Valores!$C$2*100*1.006901)+0.5)/100</f>
        <v>0</v>
      </c>
      <c r="J239" s="145">
        <v>0</v>
      </c>
      <c r="K239" s="77">
        <f>INT((J239*Valores!$C$2*100*1.006901)+0.5)/100</f>
        <v>0</v>
      </c>
      <c r="L239" s="120">
        <v>0</v>
      </c>
      <c r="M239" s="77">
        <f>INT((L239*Valores!$C$2*100*1.006901)+0.5)/100</f>
        <v>0</v>
      </c>
      <c r="N239" s="77">
        <f t="shared" si="40"/>
        <v>444.93751287599997</v>
      </c>
      <c r="O239" s="77">
        <f t="shared" si="41"/>
        <v>0</v>
      </c>
      <c r="P239" s="61">
        <f>Valores!$C$14*D239</f>
        <v>723.88126692000003</v>
      </c>
      <c r="Q239" s="61">
        <f>IF(D239&lt;15,(Valores!$E$4*D239),Valores!$D$4)</f>
        <v>941.64</v>
      </c>
      <c r="R239" s="77">
        <v>0</v>
      </c>
      <c r="S239" s="79">
        <f>Valores!$C$45*D239</f>
        <v>191.15008584</v>
      </c>
      <c r="T239" s="61">
        <f>Valores!$C$22*D239</f>
        <v>280.5</v>
      </c>
      <c r="U239" s="77">
        <f t="shared" si="30"/>
        <v>280.5</v>
      </c>
      <c r="V239" s="77">
        <v>0</v>
      </c>
      <c r="W239" s="77">
        <v>0</v>
      </c>
      <c r="X239" s="37">
        <v>0</v>
      </c>
      <c r="Y239" s="77">
        <f>X239*Valores!$C$2*1.006901</f>
        <v>0</v>
      </c>
      <c r="Z239" s="77">
        <v>0</v>
      </c>
      <c r="AA239" s="89">
        <f>(Valores!$C$32)*D239</f>
        <v>31.68</v>
      </c>
      <c r="AB239" s="77">
        <f t="shared" si="34"/>
        <v>0</v>
      </c>
      <c r="AC239" s="77">
        <f>Valores!$C$33*D239</f>
        <v>26.52</v>
      </c>
      <c r="AD239" s="116">
        <v>0</v>
      </c>
      <c r="AE239" s="77">
        <f>AD239*Valores!$C$2*1.006901</f>
        <v>0</v>
      </c>
      <c r="AF239" s="77">
        <f>Valores!$D$51*D239</f>
        <v>108.63195949102956</v>
      </c>
      <c r="AG239" s="77">
        <f>Valores!$D$52*D239</f>
        <v>31.04002008229142</v>
      </c>
      <c r="AH239" s="77">
        <f>SUM(G239,I239,K239,M239,N239,O239,P239,Q239,R239,S239,U239,V239,W239,Y239,Z239,AA239,AB239,AC239,AE239,AF239,AG239)*Valores!$C$54</f>
        <v>0</v>
      </c>
      <c r="AI239" s="139">
        <f t="shared" si="38"/>
        <v>5274.5808452093215</v>
      </c>
      <c r="AJ239" s="61">
        <f>Valores!$C$36*D239</f>
        <v>86.415999999999997</v>
      </c>
      <c r="AK239" s="79">
        <f>Valores!$C$11*D239</f>
        <v>51.412365059999999</v>
      </c>
      <c r="AL239" s="89">
        <v>45.213882503999997</v>
      </c>
      <c r="AM239" s="79">
        <f>IF($G$4="SI",SUM(AK239+AL239),AK239)*Valores!$C$54</f>
        <v>0</v>
      </c>
      <c r="AN239" s="12">
        <f t="shared" si="35"/>
        <v>183.04224756400001</v>
      </c>
      <c r="AO239" s="13">
        <f>AI239*-Valores!$C$56</f>
        <v>-685.69550987721186</v>
      </c>
      <c r="AP239" s="13">
        <f>AI239*-Valores!$C$57</f>
        <v>-26.372904226046607</v>
      </c>
      <c r="AQ239" s="78">
        <f>AI239*-Valores!$C$58</f>
        <v>-237.35613803441947</v>
      </c>
      <c r="AR239" s="78">
        <f>AI239*-Valores!$C$59</f>
        <v>-142.4136828206517</v>
      </c>
      <c r="AS239" s="78">
        <f>AI239*-Valores!$C$60</f>
        <v>-15.823742535627964</v>
      </c>
      <c r="AT239" s="15">
        <f t="shared" si="36"/>
        <v>4508.1985406356434</v>
      </c>
      <c r="AU239" s="15">
        <f t="shared" si="37"/>
        <v>4587.3172533137831</v>
      </c>
      <c r="AV239" s="78">
        <f>AI239*Valores!$C$61</f>
        <v>843.93293523349143</v>
      </c>
      <c r="AW239" s="78">
        <f>AI239*Valores!$C$62</f>
        <v>237.35613803441947</v>
      </c>
      <c r="AX239" s="78">
        <f>AI239*Valores!$C$64</f>
        <v>52.745808452093215</v>
      </c>
      <c r="AY239" s="78">
        <f>AI239*Valores!$C$65</f>
        <v>184.61032958232627</v>
      </c>
      <c r="AZ239" s="78">
        <f>AI239*Valores!$C$66</f>
        <v>31.647485071255929</v>
      </c>
      <c r="BA239" s="78">
        <f t="shared" si="39"/>
        <v>284.82736564130335</v>
      </c>
      <c r="BB239" s="20"/>
      <c r="BC239" s="55">
        <f t="shared" si="43"/>
        <v>24</v>
      </c>
      <c r="BD239" s="9" t="s">
        <v>467</v>
      </c>
    </row>
    <row r="240" spans="1:56" s="9" customFormat="1" ht="11.25" customHeight="1" x14ac:dyDescent="0.15">
      <c r="A240" s="20">
        <v>239</v>
      </c>
      <c r="B240" s="20"/>
      <c r="C240" s="9" t="s">
        <v>355</v>
      </c>
      <c r="D240" s="9">
        <v>6</v>
      </c>
      <c r="E240" s="10" t="str">
        <f>CONCATENATE("Hora Cátedra Enseñanza Media ",D240," hs Esc Esp")</f>
        <v>Hora Cátedra Enseñanza Media 6 hs Esc Esp</v>
      </c>
      <c r="F240" s="123">
        <f t="shared" si="44"/>
        <v>474</v>
      </c>
      <c r="G240" s="7">
        <f>INT((F240*Valores!$C$2*100*1.006901)+0.5)/100</f>
        <v>2494.6</v>
      </c>
      <c r="H240" s="132">
        <v>0</v>
      </c>
      <c r="I240" s="77">
        <f>INT((H240*Valores!$C$2*100*1.006901)+0.5)/100</f>
        <v>0</v>
      </c>
      <c r="J240" s="145">
        <v>0</v>
      </c>
      <c r="K240" s="77">
        <f>INT((J240*Valores!$C$2*100*1.006901)+0.5)/100</f>
        <v>0</v>
      </c>
      <c r="L240" s="120">
        <v>0</v>
      </c>
      <c r="M240" s="77">
        <f>INT((L240*Valores!$C$2*100*1.006901)+0.5)/100</f>
        <v>0</v>
      </c>
      <c r="N240" s="77">
        <f t="shared" si="40"/>
        <v>444.93751287599997</v>
      </c>
      <c r="O240" s="77">
        <f t="shared" si="41"/>
        <v>0</v>
      </c>
      <c r="P240" s="61">
        <f>Valores!$C$14*D240</f>
        <v>723.88126692000003</v>
      </c>
      <c r="Q240" s="61">
        <f>IF(D240&lt;15,(Valores!$E$4*D240),Valores!$D$4)</f>
        <v>941.64</v>
      </c>
      <c r="R240" s="77">
        <v>0</v>
      </c>
      <c r="S240" s="79">
        <f>Valores!$C$45*D240</f>
        <v>191.15008584</v>
      </c>
      <c r="T240" s="61">
        <f>Valores!$C$22*D240</f>
        <v>280.5</v>
      </c>
      <c r="U240" s="77">
        <f t="shared" si="30"/>
        <v>280.5</v>
      </c>
      <c r="V240" s="77">
        <v>0</v>
      </c>
      <c r="W240" s="77">
        <v>0</v>
      </c>
      <c r="X240" s="37">
        <v>0</v>
      </c>
      <c r="Y240" s="77">
        <f>X240*Valores!$C$2*1.006901</f>
        <v>0</v>
      </c>
      <c r="Z240" s="77">
        <v>0</v>
      </c>
      <c r="AA240" s="89">
        <f>(Valores!$C$32)*D240</f>
        <v>31.68</v>
      </c>
      <c r="AB240" s="77">
        <f t="shared" si="34"/>
        <v>0</v>
      </c>
      <c r="AC240" s="77">
        <f>Valores!$C$33*D240</f>
        <v>26.52</v>
      </c>
      <c r="AD240" s="116">
        <v>94</v>
      </c>
      <c r="AE240" s="77">
        <f>AD240*Valores!$C$2*1.006901</f>
        <v>494.70979379919999</v>
      </c>
      <c r="AF240" s="77">
        <f>Valores!$D$51*D240</f>
        <v>108.63195949102956</v>
      </c>
      <c r="AG240" s="77">
        <f>Valores!$D$52*D240</f>
        <v>31.04002008229142</v>
      </c>
      <c r="AH240" s="77">
        <f>SUM(G240,I240,K240,M240,N240,O240,P240,Q240,R240,S240,U240,V240,W240,Y240,Z240,AA240,AB240,AC240,AE240,AF240,AG240)*Valores!$C$54</f>
        <v>0</v>
      </c>
      <c r="AI240" s="139">
        <f t="shared" si="38"/>
        <v>5769.2906390085218</v>
      </c>
      <c r="AJ240" s="61">
        <f>Valores!$C$36*D240</f>
        <v>86.415999999999997</v>
      </c>
      <c r="AK240" s="79">
        <f>Valores!$C$11*D240</f>
        <v>51.412365059999999</v>
      </c>
      <c r="AL240" s="89">
        <v>45.213882503999997</v>
      </c>
      <c r="AM240" s="79">
        <f>IF($G$4="SI",SUM(AK240+AL240),AK240)*Valores!$C$54</f>
        <v>0</v>
      </c>
      <c r="AN240" s="12">
        <f t="shared" si="35"/>
        <v>183.04224756400001</v>
      </c>
      <c r="AO240" s="13">
        <f>AI240*-Valores!$C$56</f>
        <v>-750.00778307110784</v>
      </c>
      <c r="AP240" s="13">
        <f>AI240*-Valores!$C$57</f>
        <v>-28.84645319504261</v>
      </c>
      <c r="AQ240" s="78">
        <f>AI240*-Valores!$C$58</f>
        <v>-259.61807875538346</v>
      </c>
      <c r="AR240" s="78">
        <f>AI240*-Valores!$C$59</f>
        <v>-155.7708472532301</v>
      </c>
      <c r="AS240" s="78">
        <f>AI240*-Valores!$C$60</f>
        <v>-17.307871917025565</v>
      </c>
      <c r="AT240" s="15">
        <f t="shared" si="36"/>
        <v>4913.8605715509884</v>
      </c>
      <c r="AU240" s="15">
        <f t="shared" si="37"/>
        <v>5000.3999311361158</v>
      </c>
      <c r="AV240" s="78">
        <f>AI240*Valores!$C$61</f>
        <v>923.08650224136352</v>
      </c>
      <c r="AW240" s="78">
        <f>AI240*Valores!$C$62</f>
        <v>259.61807875538346</v>
      </c>
      <c r="AX240" s="78">
        <f>AI240*Valores!$C$64</f>
        <v>57.69290639008522</v>
      </c>
      <c r="AY240" s="78">
        <f>AI240*Valores!$C$65</f>
        <v>201.92517236529829</v>
      </c>
      <c r="AZ240" s="78">
        <f>AI240*Valores!$C$66</f>
        <v>34.615743834051131</v>
      </c>
      <c r="BA240" s="78">
        <f t="shared" si="39"/>
        <v>311.5416945064602</v>
      </c>
      <c r="BB240" s="20"/>
      <c r="BC240" s="20">
        <f t="shared" si="43"/>
        <v>24</v>
      </c>
      <c r="BD240" s="9" t="s">
        <v>467</v>
      </c>
    </row>
    <row r="241" spans="1:56" s="9" customFormat="1" ht="11.25" customHeight="1" x14ac:dyDescent="0.15">
      <c r="A241" s="55">
        <v>240</v>
      </c>
      <c r="B241" s="55" t="s">
        <v>462</v>
      </c>
      <c r="C241" s="52" t="s">
        <v>355</v>
      </c>
      <c r="D241" s="52">
        <v>7</v>
      </c>
      <c r="E241" s="53" t="str">
        <f>CONCATENATE("Hora Cátedra Enseñanza Media ",D241," hs")</f>
        <v>Hora Cátedra Enseñanza Media 7 hs</v>
      </c>
      <c r="F241" s="124">
        <f t="shared" si="44"/>
        <v>553</v>
      </c>
      <c r="G241" s="7">
        <f>INT((F241*Valores!$C$2*100*1.006901)+0.5)/100</f>
        <v>2910.37</v>
      </c>
      <c r="H241" s="131">
        <v>0</v>
      </c>
      <c r="I241" s="77">
        <f>INT((H241*Valores!$C$2*100*1.006901)+0.5)/100</f>
        <v>0</v>
      </c>
      <c r="J241" s="146">
        <v>0</v>
      </c>
      <c r="K241" s="77">
        <f>INT((J241*Valores!$C$2*100*1.006901)+0.5)/100</f>
        <v>0</v>
      </c>
      <c r="L241" s="121">
        <v>0</v>
      </c>
      <c r="M241" s="77">
        <f>INT((L241*Valores!$C$2*100*1.006901)+0.5)/100</f>
        <v>0</v>
      </c>
      <c r="N241" s="80">
        <f t="shared" si="40"/>
        <v>519.09426502199995</v>
      </c>
      <c r="O241" s="80">
        <f t="shared" si="41"/>
        <v>0</v>
      </c>
      <c r="P241" s="85">
        <f>Valores!$C$14*D241</f>
        <v>844.52814474000002</v>
      </c>
      <c r="Q241" s="85">
        <f>IF(D241&lt;15,(Valores!$E$4*D241),Valores!$D$4)</f>
        <v>1098.58</v>
      </c>
      <c r="R241" s="80">
        <v>0</v>
      </c>
      <c r="S241" s="82">
        <f>Valores!$C$45*D241</f>
        <v>223.00843348000001</v>
      </c>
      <c r="T241" s="85">
        <f>Valores!$C$22*D241</f>
        <v>327.25</v>
      </c>
      <c r="U241" s="80">
        <f t="shared" ref="U241:U302" si="45">T241*(1+$I$2)</f>
        <v>327.25</v>
      </c>
      <c r="V241" s="80">
        <v>0</v>
      </c>
      <c r="W241" s="80">
        <v>0</v>
      </c>
      <c r="X241" s="60">
        <v>0</v>
      </c>
      <c r="Y241" s="77">
        <f>X241*Valores!$C$2*1.006901</f>
        <v>0</v>
      </c>
      <c r="Z241" s="80">
        <v>0</v>
      </c>
      <c r="AA241" s="90">
        <f>(Valores!$C$32)*D241</f>
        <v>36.96</v>
      </c>
      <c r="AB241" s="80">
        <f t="shared" si="34"/>
        <v>0</v>
      </c>
      <c r="AC241" s="80">
        <f>Valores!$C$33*D241</f>
        <v>30.939999999999998</v>
      </c>
      <c r="AD241" s="115">
        <v>0</v>
      </c>
      <c r="AE241" s="77">
        <f>AD241*Valores!$C$2*1.006901</f>
        <v>0</v>
      </c>
      <c r="AF241" s="80">
        <f>Valores!$D$51*D241</f>
        <v>126.73728607286782</v>
      </c>
      <c r="AG241" s="80">
        <f>Valores!$D$52*D241</f>
        <v>36.213356762673328</v>
      </c>
      <c r="AH241" s="80">
        <f>SUM(G241,I241,K241,M241,N241,O241,P241,Q241,R241,S241,U241,V241,W241,Y241,Z241,AA241,AB241,AC241,AE241,AF241,AG241)*Valores!$C$54</f>
        <v>0</v>
      </c>
      <c r="AI241" s="140">
        <f t="shared" si="38"/>
        <v>6153.6814860775403</v>
      </c>
      <c r="AJ241" s="85">
        <f>Valores!$C$36*D241</f>
        <v>100.81866666666667</v>
      </c>
      <c r="AK241" s="82">
        <f>Valores!$C$11*D241</f>
        <v>59.981092570000001</v>
      </c>
      <c r="AL241" s="90">
        <v>52.742481281000003</v>
      </c>
      <c r="AM241" s="82">
        <f>IF($G$4="SI",SUM(AK241+AL241),AK241)*Valores!$C$54</f>
        <v>0</v>
      </c>
      <c r="AN241" s="184">
        <f t="shared" si="35"/>
        <v>213.54224051766667</v>
      </c>
      <c r="AO241" s="153">
        <f>AI241*-Valores!$C$56</f>
        <v>-799.97859319008023</v>
      </c>
      <c r="AP241" s="153">
        <f>AI241*-Valores!$C$57</f>
        <v>-30.7684074303877</v>
      </c>
      <c r="AQ241" s="81">
        <f>AI241*-Valores!$C$58</f>
        <v>-276.91566687348933</v>
      </c>
      <c r="AR241" s="81">
        <f>AI241*-Valores!$C$59</f>
        <v>-166.1494001240936</v>
      </c>
      <c r="AS241" s="81">
        <f>AI241*-Valores!$C$60</f>
        <v>-18.461044458232621</v>
      </c>
      <c r="AT241" s="54">
        <f t="shared" si="36"/>
        <v>5259.5610591012492</v>
      </c>
      <c r="AU241" s="54">
        <f t="shared" si="37"/>
        <v>5351.8662813924129</v>
      </c>
      <c r="AV241" s="81">
        <f>AI241*Valores!$C$61</f>
        <v>984.58903777240641</v>
      </c>
      <c r="AW241" s="81">
        <f>AI241*Valores!$C$62</f>
        <v>276.91566687348933</v>
      </c>
      <c r="AX241" s="81">
        <f>AI241*Valores!$C$64</f>
        <v>61.536814860775401</v>
      </c>
      <c r="AY241" s="81">
        <f>AI241*Valores!$C$65</f>
        <v>215.37885201271393</v>
      </c>
      <c r="AZ241" s="81">
        <f>AI241*Valores!$C$66</f>
        <v>36.922088916465242</v>
      </c>
      <c r="BA241" s="81">
        <f t="shared" si="39"/>
        <v>332.29880024818721</v>
      </c>
      <c r="BB241" s="55"/>
      <c r="BC241" s="55">
        <f t="shared" si="43"/>
        <v>28</v>
      </c>
      <c r="BD241" s="52" t="s">
        <v>467</v>
      </c>
    </row>
    <row r="242" spans="1:56" s="9" customFormat="1" ht="11.25" customHeight="1" x14ac:dyDescent="0.15">
      <c r="A242" s="20">
        <v>241</v>
      </c>
      <c r="B242" s="20"/>
      <c r="C242" s="9" t="s">
        <v>355</v>
      </c>
      <c r="D242" s="9">
        <v>7</v>
      </c>
      <c r="E242" s="10" t="str">
        <f>CONCATENATE("Hora Cátedra Enseñanza Media ",D242," hs Esc Esp")</f>
        <v>Hora Cátedra Enseñanza Media 7 hs Esc Esp</v>
      </c>
      <c r="F242" s="123">
        <f t="shared" si="44"/>
        <v>553</v>
      </c>
      <c r="G242" s="7">
        <f>INT((F242*Valores!$C$2*100*1.006901)+0.5)/100</f>
        <v>2910.37</v>
      </c>
      <c r="H242" s="132">
        <v>0</v>
      </c>
      <c r="I242" s="77">
        <f>INT((H242*Valores!$C$2*100*1.006901)+0.5)/100</f>
        <v>0</v>
      </c>
      <c r="J242" s="145">
        <v>0</v>
      </c>
      <c r="K242" s="77">
        <f>INT((J242*Valores!$C$2*100*1.006901)+0.5)/100</f>
        <v>0</v>
      </c>
      <c r="L242" s="120">
        <v>0</v>
      </c>
      <c r="M242" s="77">
        <f>INT((L242*Valores!$C$2*100*1.006901)+0.5)/100</f>
        <v>0</v>
      </c>
      <c r="N242" s="77">
        <f t="shared" si="40"/>
        <v>519.09426502199995</v>
      </c>
      <c r="O242" s="77">
        <f t="shared" si="41"/>
        <v>0</v>
      </c>
      <c r="P242" s="61">
        <f>Valores!$C$14*D242</f>
        <v>844.52814474000002</v>
      </c>
      <c r="Q242" s="61">
        <f>IF(D242&lt;15,(Valores!$E$4*D242),Valores!$D$4)</f>
        <v>1098.58</v>
      </c>
      <c r="R242" s="77">
        <v>0</v>
      </c>
      <c r="S242" s="79">
        <f>Valores!$C$45*D242</f>
        <v>223.00843348000001</v>
      </c>
      <c r="T242" s="61">
        <f>Valores!$C$22*D242</f>
        <v>327.25</v>
      </c>
      <c r="U242" s="77">
        <f t="shared" si="45"/>
        <v>327.25</v>
      </c>
      <c r="V242" s="77">
        <v>0</v>
      </c>
      <c r="W242" s="77">
        <v>0</v>
      </c>
      <c r="X242" s="37">
        <v>0</v>
      </c>
      <c r="Y242" s="77">
        <f>X242*Valores!$C$2*1.006901</f>
        <v>0</v>
      </c>
      <c r="Z242" s="77">
        <v>0</v>
      </c>
      <c r="AA242" s="89">
        <f>(Valores!$C$32)*D242</f>
        <v>36.96</v>
      </c>
      <c r="AB242" s="77">
        <f t="shared" si="34"/>
        <v>0</v>
      </c>
      <c r="AC242" s="77">
        <f>Valores!$C$33*D242</f>
        <v>30.939999999999998</v>
      </c>
      <c r="AD242" s="116">
        <v>94</v>
      </c>
      <c r="AE242" s="77">
        <f>AD242*Valores!$C$2*1.006901</f>
        <v>494.70979379919999</v>
      </c>
      <c r="AF242" s="77">
        <f>Valores!$D$51*D242</f>
        <v>126.73728607286782</v>
      </c>
      <c r="AG242" s="77">
        <f>Valores!$D$52*D242</f>
        <v>36.213356762673328</v>
      </c>
      <c r="AH242" s="77">
        <f>SUM(G242,I242,K242,M242,N242,O242,P242,Q242,R242,S242,U242,V242,W242,Y242,Z242,AA242,AB242,AC242,AE242,AF242,AG242)*Valores!$C$54</f>
        <v>0</v>
      </c>
      <c r="AI242" s="139">
        <f t="shared" si="38"/>
        <v>6648.3912798767406</v>
      </c>
      <c r="AJ242" s="61">
        <f>Valores!$C$36*D242</f>
        <v>100.81866666666667</v>
      </c>
      <c r="AK242" s="79">
        <f>Valores!$C$11*D242</f>
        <v>59.981092570000001</v>
      </c>
      <c r="AL242" s="89">
        <v>52.742481281000003</v>
      </c>
      <c r="AM242" s="79">
        <f>IF($G$4="SI",SUM(AK242+AL242),AK242)*Valores!$C$54</f>
        <v>0</v>
      </c>
      <c r="AN242" s="12">
        <f t="shared" si="35"/>
        <v>213.54224051766667</v>
      </c>
      <c r="AO242" s="13">
        <f>AI242*-Valores!$C$56</f>
        <v>-864.29086638397632</v>
      </c>
      <c r="AP242" s="13">
        <f>AI242*-Valores!$C$57</f>
        <v>-33.241956399383703</v>
      </c>
      <c r="AQ242" s="78">
        <f>AI242*-Valores!$C$58</f>
        <v>-299.17760759445332</v>
      </c>
      <c r="AR242" s="78">
        <f>AI242*-Valores!$C$59</f>
        <v>-179.506564556672</v>
      </c>
      <c r="AS242" s="78">
        <f>AI242*-Valores!$C$60</f>
        <v>-19.945173839630222</v>
      </c>
      <c r="AT242" s="15">
        <f t="shared" si="36"/>
        <v>5665.2230900165941</v>
      </c>
      <c r="AU242" s="15">
        <f t="shared" si="37"/>
        <v>5764.9489592147456</v>
      </c>
      <c r="AV242" s="78">
        <f>AI242*Valores!$C$61</f>
        <v>1063.7426047802785</v>
      </c>
      <c r="AW242" s="78">
        <f>AI242*Valores!$C$62</f>
        <v>299.17760759445332</v>
      </c>
      <c r="AX242" s="78">
        <f>AI242*Valores!$C$64</f>
        <v>66.483912798767406</v>
      </c>
      <c r="AY242" s="78">
        <f>AI242*Valores!$C$65</f>
        <v>232.69369479568593</v>
      </c>
      <c r="AZ242" s="78">
        <f>AI242*Valores!$C$66</f>
        <v>39.890347679260444</v>
      </c>
      <c r="BA242" s="78">
        <f t="shared" si="39"/>
        <v>359.01312911334406</v>
      </c>
      <c r="BB242" s="20"/>
      <c r="BC242" s="20">
        <f t="shared" si="43"/>
        <v>28</v>
      </c>
      <c r="BD242" s="9" t="s">
        <v>467</v>
      </c>
    </row>
    <row r="243" spans="1:56" s="9" customFormat="1" ht="11.25" customHeight="1" x14ac:dyDescent="0.15">
      <c r="A243" s="20">
        <v>242</v>
      </c>
      <c r="B243" s="20"/>
      <c r="C243" s="9" t="s">
        <v>355</v>
      </c>
      <c r="D243" s="9">
        <v>8</v>
      </c>
      <c r="E243" s="10" t="str">
        <f>CONCATENATE("Hora Cátedra Enseñanza Media ",D243," hs")</f>
        <v>Hora Cátedra Enseñanza Media 8 hs</v>
      </c>
      <c r="F243" s="123">
        <f t="shared" si="44"/>
        <v>632</v>
      </c>
      <c r="G243" s="7">
        <f>INT((F243*Valores!$C$2*100*1.006901)+0.5)/100</f>
        <v>3326.13</v>
      </c>
      <c r="H243" s="132">
        <v>0</v>
      </c>
      <c r="I243" s="77">
        <f>INT((H243*Valores!$C$2*100*1.006901)+0.5)/100</f>
        <v>0</v>
      </c>
      <c r="J243" s="145">
        <v>0</v>
      </c>
      <c r="K243" s="77">
        <f>INT((J243*Valores!$C$2*100*1.006901)+0.5)/100</f>
        <v>0</v>
      </c>
      <c r="L243" s="120">
        <v>0</v>
      </c>
      <c r="M243" s="77">
        <f>INT((L243*Valores!$C$2*100*1.006901)+0.5)/100</f>
        <v>0</v>
      </c>
      <c r="N243" s="77">
        <f t="shared" si="40"/>
        <v>593.24951716800001</v>
      </c>
      <c r="O243" s="77">
        <f t="shared" si="41"/>
        <v>0</v>
      </c>
      <c r="P243" s="61">
        <f>Valores!$C$14*D243</f>
        <v>965.17502256</v>
      </c>
      <c r="Q243" s="61">
        <f>IF(D243&lt;15,(Valores!$E$4*D243),Valores!$D$4)</f>
        <v>1255.52</v>
      </c>
      <c r="R243" s="77">
        <v>0</v>
      </c>
      <c r="S243" s="79">
        <f>Valores!$C$45*D243</f>
        <v>254.86678112000001</v>
      </c>
      <c r="T243" s="61">
        <f>Valores!$C$22*D243</f>
        <v>374</v>
      </c>
      <c r="U243" s="77">
        <f t="shared" si="45"/>
        <v>374</v>
      </c>
      <c r="V243" s="77">
        <v>0</v>
      </c>
      <c r="W243" s="77">
        <v>0</v>
      </c>
      <c r="X243" s="37">
        <v>0</v>
      </c>
      <c r="Y243" s="77">
        <f>X243*Valores!$C$2*1.006901</f>
        <v>0</v>
      </c>
      <c r="Z243" s="77">
        <v>0</v>
      </c>
      <c r="AA243" s="89">
        <f>(Valores!$C$32)*D243</f>
        <v>42.24</v>
      </c>
      <c r="AB243" s="77">
        <f t="shared" si="34"/>
        <v>0</v>
      </c>
      <c r="AC243" s="77">
        <f>Valores!$C$33*D243</f>
        <v>35.36</v>
      </c>
      <c r="AD243" s="116">
        <v>0</v>
      </c>
      <c r="AE243" s="77">
        <f>AD243*Valores!$C$2*1.006901</f>
        <v>0</v>
      </c>
      <c r="AF243" s="77">
        <f>Valores!$D$51*D243</f>
        <v>144.84261265470607</v>
      </c>
      <c r="AG243" s="77">
        <f>Valores!$D$52*D243</f>
        <v>41.386693443055229</v>
      </c>
      <c r="AH243" s="77">
        <f>SUM(G243,I243,K243,M243,N243,O243,P243,Q243,R243,S243,U243,V243,W243,Y243,Z243,AA243,AB243,AC243,AE243,AF243,AG243)*Valores!$C$54</f>
        <v>0</v>
      </c>
      <c r="AI243" s="139">
        <f t="shared" si="38"/>
        <v>7032.7706269457622</v>
      </c>
      <c r="AJ243" s="61">
        <f>Valores!$C$36*D243</f>
        <v>115.22133333333333</v>
      </c>
      <c r="AK243" s="79">
        <f>Valores!$C$11*D243</f>
        <v>68.549820080000003</v>
      </c>
      <c r="AL243" s="89">
        <v>60.285176672000006</v>
      </c>
      <c r="AM243" s="79">
        <f>IF($G$4="SI",SUM(AK243+AL243),AK243)*Valores!$C$54</f>
        <v>0</v>
      </c>
      <c r="AN243" s="12">
        <f t="shared" si="35"/>
        <v>244.05633008533334</v>
      </c>
      <c r="AO243" s="13">
        <f>AI243*-Valores!$C$56</f>
        <v>-914.26018150294908</v>
      </c>
      <c r="AP243" s="13">
        <f>AI243*-Valores!$C$57</f>
        <v>-35.163853134728811</v>
      </c>
      <c r="AQ243" s="78">
        <f>AI243*-Valores!$C$58</f>
        <v>-316.4746782125593</v>
      </c>
      <c r="AR243" s="78">
        <f>AI243*-Valores!$C$59</f>
        <v>-189.88480692753561</v>
      </c>
      <c r="AS243" s="78">
        <f>AI243*-Valores!$C$60</f>
        <v>-21.098311880837286</v>
      </c>
      <c r="AT243" s="15">
        <f t="shared" si="36"/>
        <v>6010.9282441808582</v>
      </c>
      <c r="AU243" s="15">
        <f t="shared" si="37"/>
        <v>6116.419803585045</v>
      </c>
      <c r="AV243" s="78">
        <f>AI243*Valores!$C$61</f>
        <v>1125.2433003113219</v>
      </c>
      <c r="AW243" s="78">
        <f>AI243*Valores!$C$62</f>
        <v>316.4746782125593</v>
      </c>
      <c r="AX243" s="78">
        <f>AI243*Valores!$C$64</f>
        <v>70.327706269457622</v>
      </c>
      <c r="AY243" s="78">
        <f>AI243*Valores!$C$65</f>
        <v>246.1469719431017</v>
      </c>
      <c r="AZ243" s="78">
        <f>AI243*Valores!$C$66</f>
        <v>42.196623761674573</v>
      </c>
      <c r="BA243" s="78">
        <f t="shared" si="39"/>
        <v>379.76961385507116</v>
      </c>
      <c r="BB243" s="20"/>
      <c r="BC243" s="20">
        <f t="shared" si="43"/>
        <v>32</v>
      </c>
      <c r="BD243" s="9" t="s">
        <v>467</v>
      </c>
    </row>
    <row r="244" spans="1:56" s="9" customFormat="1" ht="11.25" customHeight="1" x14ac:dyDescent="0.15">
      <c r="A244" s="20">
        <v>243</v>
      </c>
      <c r="B244" s="20"/>
      <c r="C244" s="9" t="s">
        <v>355</v>
      </c>
      <c r="D244" s="9">
        <v>8</v>
      </c>
      <c r="E244" s="10" t="str">
        <f>CONCATENATE("Hora Cátedra Enseñanza Media ",D244," hs Esc Esp")</f>
        <v>Hora Cátedra Enseñanza Media 8 hs Esc Esp</v>
      </c>
      <c r="F244" s="123">
        <f t="shared" si="44"/>
        <v>632</v>
      </c>
      <c r="G244" s="7">
        <f>INT((F244*Valores!$C$2*100*1.006901)+0.5)/100</f>
        <v>3326.13</v>
      </c>
      <c r="H244" s="132">
        <v>0</v>
      </c>
      <c r="I244" s="77">
        <f>INT((H244*Valores!$C$2*100*1.006901)+0.5)/100</f>
        <v>0</v>
      </c>
      <c r="J244" s="145">
        <v>0</v>
      </c>
      <c r="K244" s="77">
        <f>INT((J244*Valores!$C$2*100*1.006901)+0.5)/100</f>
        <v>0</v>
      </c>
      <c r="L244" s="120">
        <v>0</v>
      </c>
      <c r="M244" s="77">
        <f>INT((L244*Valores!$C$2*100*1.006901)+0.5)/100</f>
        <v>0</v>
      </c>
      <c r="N244" s="77">
        <f t="shared" si="40"/>
        <v>593.24951716800001</v>
      </c>
      <c r="O244" s="77">
        <f t="shared" si="41"/>
        <v>0</v>
      </c>
      <c r="P244" s="61">
        <f>Valores!$C$14*D244</f>
        <v>965.17502256</v>
      </c>
      <c r="Q244" s="61">
        <f>IF(D244&lt;15,(Valores!$E$4*D244),Valores!$D$4)</f>
        <v>1255.52</v>
      </c>
      <c r="R244" s="77">
        <v>0</v>
      </c>
      <c r="S244" s="79">
        <f>Valores!$C$45*D244</f>
        <v>254.86678112000001</v>
      </c>
      <c r="T244" s="61">
        <f>Valores!$C$22*D244</f>
        <v>374</v>
      </c>
      <c r="U244" s="77">
        <f t="shared" si="45"/>
        <v>374</v>
      </c>
      <c r="V244" s="77">
        <v>0</v>
      </c>
      <c r="W244" s="77">
        <v>0</v>
      </c>
      <c r="X244" s="37">
        <v>0</v>
      </c>
      <c r="Y244" s="77">
        <f>X244*Valores!$C$2*1.006901</f>
        <v>0</v>
      </c>
      <c r="Z244" s="77">
        <v>0</v>
      </c>
      <c r="AA244" s="89">
        <f>(Valores!$C$32)*D244</f>
        <v>42.24</v>
      </c>
      <c r="AB244" s="77">
        <f t="shared" si="34"/>
        <v>0</v>
      </c>
      <c r="AC244" s="77">
        <f>Valores!$C$33*D244</f>
        <v>35.36</v>
      </c>
      <c r="AD244" s="116">
        <v>94</v>
      </c>
      <c r="AE244" s="77">
        <f>AD244*Valores!$C$2*1.006901</f>
        <v>494.70979379919999</v>
      </c>
      <c r="AF244" s="77">
        <f>Valores!$D$51*D244</f>
        <v>144.84261265470607</v>
      </c>
      <c r="AG244" s="77">
        <f>Valores!$D$52*D244</f>
        <v>41.386693443055229</v>
      </c>
      <c r="AH244" s="77">
        <f>SUM(G244,I244,K244,M244,N244,O244,P244,Q244,R244,S244,U244,V244,W244,Y244,Z244,AA244,AB244,AC244,AE244,AF244,AG244)*Valores!$C$54</f>
        <v>0</v>
      </c>
      <c r="AI244" s="139">
        <f t="shared" si="38"/>
        <v>7527.4804207449624</v>
      </c>
      <c r="AJ244" s="61">
        <f>Valores!$C$36*D244</f>
        <v>115.22133333333333</v>
      </c>
      <c r="AK244" s="79">
        <f>Valores!$C$11*D244</f>
        <v>68.549820080000003</v>
      </c>
      <c r="AL244" s="89">
        <v>60.285176672000006</v>
      </c>
      <c r="AM244" s="79">
        <f>IF($G$4="SI",SUM(AK244+AL244),AK244)*Valores!$C$54</f>
        <v>0</v>
      </c>
      <c r="AN244" s="12">
        <f t="shared" si="35"/>
        <v>244.05633008533334</v>
      </c>
      <c r="AO244" s="13">
        <f>AI244*-Valores!$C$56</f>
        <v>-978.57245469684517</v>
      </c>
      <c r="AP244" s="13">
        <f>AI244*-Valores!$C$57</f>
        <v>-37.63740210372481</v>
      </c>
      <c r="AQ244" s="78">
        <f>AI244*-Valores!$C$58</f>
        <v>-338.73661893352329</v>
      </c>
      <c r="AR244" s="78">
        <f>AI244*-Valores!$C$59</f>
        <v>-203.24197136011401</v>
      </c>
      <c r="AS244" s="78">
        <f>AI244*-Valores!$C$60</f>
        <v>-22.582441262234887</v>
      </c>
      <c r="AT244" s="15">
        <f t="shared" si="36"/>
        <v>6416.5902750962032</v>
      </c>
      <c r="AU244" s="15">
        <f t="shared" si="37"/>
        <v>6529.5024814073777</v>
      </c>
      <c r="AV244" s="78">
        <f>AI244*Valores!$C$61</f>
        <v>1204.3968673191939</v>
      </c>
      <c r="AW244" s="78">
        <f>AI244*Valores!$C$62</f>
        <v>338.73661893352329</v>
      </c>
      <c r="AX244" s="78">
        <f>AI244*Valores!$C$64</f>
        <v>75.27480420744962</v>
      </c>
      <c r="AY244" s="78">
        <f>AI244*Valores!$C$65</f>
        <v>263.46181472607373</v>
      </c>
      <c r="AZ244" s="78">
        <f>AI244*Valores!$C$66</f>
        <v>45.164882524469775</v>
      </c>
      <c r="BA244" s="78">
        <f t="shared" si="39"/>
        <v>406.48394272022801</v>
      </c>
      <c r="BB244" s="20"/>
      <c r="BC244" s="55">
        <f t="shared" si="43"/>
        <v>32</v>
      </c>
      <c r="BD244" s="9" t="s">
        <v>467</v>
      </c>
    </row>
    <row r="245" spans="1:56" s="9" customFormat="1" ht="11.25" customHeight="1" x14ac:dyDescent="0.15">
      <c r="A245" s="20">
        <v>244</v>
      </c>
      <c r="B245" s="20"/>
      <c r="C245" s="9" t="s">
        <v>355</v>
      </c>
      <c r="D245" s="9">
        <v>9</v>
      </c>
      <c r="E245" s="10" t="str">
        <f>CONCATENATE("Hora Cátedra Enseñanza Media ",D245," hs")</f>
        <v>Hora Cátedra Enseñanza Media 9 hs</v>
      </c>
      <c r="F245" s="123">
        <f t="shared" si="44"/>
        <v>711</v>
      </c>
      <c r="G245" s="7">
        <f>INT((F245*Valores!$C$2*100*1.006901)+0.5)/100</f>
        <v>3741.9</v>
      </c>
      <c r="H245" s="132">
        <v>0</v>
      </c>
      <c r="I245" s="77">
        <f>INT((H245*Valores!$C$2*100*1.006901)+0.5)/100</f>
        <v>0</v>
      </c>
      <c r="J245" s="145">
        <v>0</v>
      </c>
      <c r="K245" s="77">
        <f>INT((J245*Valores!$C$2*100*1.006901)+0.5)/100</f>
        <v>0</v>
      </c>
      <c r="L245" s="120">
        <v>0</v>
      </c>
      <c r="M245" s="77">
        <f>INT((L245*Valores!$C$2*100*1.006901)+0.5)/100</f>
        <v>0</v>
      </c>
      <c r="N245" s="77">
        <f t="shared" si="40"/>
        <v>667.40626931399993</v>
      </c>
      <c r="O245" s="77">
        <f t="shared" si="41"/>
        <v>0</v>
      </c>
      <c r="P245" s="61">
        <f>Valores!$C$14*D245</f>
        <v>1085.82190038</v>
      </c>
      <c r="Q245" s="61">
        <f>IF(D245&lt;15,(Valores!$E$4*D245),Valores!$D$4)</f>
        <v>1412.46</v>
      </c>
      <c r="R245" s="77">
        <v>0</v>
      </c>
      <c r="S245" s="79">
        <f>Valores!$C$45*D245</f>
        <v>286.72512876000002</v>
      </c>
      <c r="T245" s="61">
        <f>Valores!$C$22*D245</f>
        <v>420.75</v>
      </c>
      <c r="U245" s="77">
        <f t="shared" si="45"/>
        <v>420.75</v>
      </c>
      <c r="V245" s="77">
        <v>0</v>
      </c>
      <c r="W245" s="77">
        <v>0</v>
      </c>
      <c r="X245" s="37">
        <v>0</v>
      </c>
      <c r="Y245" s="77">
        <f>X245*Valores!$C$2*1.006901</f>
        <v>0</v>
      </c>
      <c r="Z245" s="77">
        <v>0</v>
      </c>
      <c r="AA245" s="89">
        <f>(Valores!$C$32)*D245</f>
        <v>47.52</v>
      </c>
      <c r="AB245" s="77">
        <f t="shared" si="34"/>
        <v>0</v>
      </c>
      <c r="AC245" s="77">
        <f>Valores!$C$33*D245</f>
        <v>39.78</v>
      </c>
      <c r="AD245" s="116">
        <v>0</v>
      </c>
      <c r="AE245" s="77">
        <f>AD245*Valores!$C$2*1.006901</f>
        <v>0</v>
      </c>
      <c r="AF245" s="77">
        <f>Valores!$D$51*D245</f>
        <v>162.94793923654433</v>
      </c>
      <c r="AG245" s="77">
        <f>Valores!$D$52*D245</f>
        <v>46.56003012343713</v>
      </c>
      <c r="AH245" s="77">
        <f>SUM(G245,I245,K245,M245,N245,O245,P245,Q245,R245,S245,U245,V245,W245,Y245,Z245,AA245,AB245,AC245,AE245,AF245,AG245)*Valores!$C$54</f>
        <v>0</v>
      </c>
      <c r="AI245" s="139">
        <f t="shared" si="38"/>
        <v>7911.8712678139827</v>
      </c>
      <c r="AJ245" s="61">
        <f>Valores!$C$36*D245</f>
        <v>129.624</v>
      </c>
      <c r="AK245" s="79">
        <f>Valores!$C$11*D245</f>
        <v>77.118547590000006</v>
      </c>
      <c r="AL245" s="89">
        <v>67.811761646999997</v>
      </c>
      <c r="AM245" s="79">
        <f>IF($G$4="SI",SUM(AK245+AL245),AK245)*Valores!$C$54</f>
        <v>0</v>
      </c>
      <c r="AN245" s="12">
        <f t="shared" si="35"/>
        <v>274.55430923699998</v>
      </c>
      <c r="AO245" s="13">
        <f>AI245*-Valores!$C$56</f>
        <v>-1028.5432648158178</v>
      </c>
      <c r="AP245" s="13">
        <f>AI245*-Valores!$C$57</f>
        <v>-39.559356339069915</v>
      </c>
      <c r="AQ245" s="78">
        <f>AI245*-Valores!$C$58</f>
        <v>-356.03420705162921</v>
      </c>
      <c r="AR245" s="78">
        <f>AI245*-Valores!$C$59</f>
        <v>-213.62052423097757</v>
      </c>
      <c r="AS245" s="78">
        <f>AI245*-Valores!$C$60</f>
        <v>-23.73561380344195</v>
      </c>
      <c r="AT245" s="15">
        <f t="shared" si="36"/>
        <v>6762.2887488444658</v>
      </c>
      <c r="AU245" s="15">
        <f t="shared" si="37"/>
        <v>6880.9668178616748</v>
      </c>
      <c r="AV245" s="78">
        <f>AI245*Valores!$C$61</f>
        <v>1265.8994028502373</v>
      </c>
      <c r="AW245" s="78">
        <f>AI245*Valores!$C$62</f>
        <v>356.03420705162921</v>
      </c>
      <c r="AX245" s="78">
        <f>AI245*Valores!$C$64</f>
        <v>79.118712678139829</v>
      </c>
      <c r="AY245" s="78">
        <f>AI245*Valores!$C$65</f>
        <v>276.91549437348942</v>
      </c>
      <c r="AZ245" s="78">
        <f>AI245*Valores!$C$66</f>
        <v>47.4712276068839</v>
      </c>
      <c r="BA245" s="78">
        <f t="shared" si="39"/>
        <v>427.24104846195507</v>
      </c>
      <c r="BB245" s="20"/>
      <c r="BC245" s="20">
        <f t="shared" si="43"/>
        <v>36</v>
      </c>
      <c r="BD245" s="9" t="s">
        <v>467</v>
      </c>
    </row>
    <row r="246" spans="1:56" s="9" customFormat="1" ht="11.25" customHeight="1" x14ac:dyDescent="0.15">
      <c r="A246" s="55">
        <v>245</v>
      </c>
      <c r="B246" s="55" t="s">
        <v>462</v>
      </c>
      <c r="C246" s="52" t="s">
        <v>355</v>
      </c>
      <c r="D246" s="52">
        <v>9</v>
      </c>
      <c r="E246" s="53" t="str">
        <f>CONCATENATE("Hora Cátedra Enseñanza Media ",D246," hs Esc Esp")</f>
        <v>Hora Cátedra Enseñanza Media 9 hs Esc Esp</v>
      </c>
      <c r="F246" s="124">
        <f t="shared" si="44"/>
        <v>711</v>
      </c>
      <c r="G246" s="7">
        <f>INT((F246*Valores!$C$2*100*1.006901)+0.5)/100</f>
        <v>3741.9</v>
      </c>
      <c r="H246" s="131">
        <v>0</v>
      </c>
      <c r="I246" s="77">
        <f>INT((H246*Valores!$C$2*100*1.006901)+0.5)/100</f>
        <v>0</v>
      </c>
      <c r="J246" s="146">
        <v>0</v>
      </c>
      <c r="K246" s="77">
        <f>INT((J246*Valores!$C$2*100*1.006901)+0.5)/100</f>
        <v>0</v>
      </c>
      <c r="L246" s="121">
        <v>0</v>
      </c>
      <c r="M246" s="77">
        <f>INT((L246*Valores!$C$2*100*1.006901)+0.5)/100</f>
        <v>0</v>
      </c>
      <c r="N246" s="80">
        <f t="shared" si="40"/>
        <v>667.40626931399993</v>
      </c>
      <c r="O246" s="80">
        <f t="shared" si="41"/>
        <v>0</v>
      </c>
      <c r="P246" s="85">
        <f>Valores!$C$14*D246</f>
        <v>1085.82190038</v>
      </c>
      <c r="Q246" s="85">
        <f>IF(D246&lt;15,(Valores!$E$4*D246),Valores!$D$4)</f>
        <v>1412.46</v>
      </c>
      <c r="R246" s="80">
        <v>0</v>
      </c>
      <c r="S246" s="82">
        <f>Valores!$C$45*D246</f>
        <v>286.72512876000002</v>
      </c>
      <c r="T246" s="85">
        <f>Valores!$C$22*D246</f>
        <v>420.75</v>
      </c>
      <c r="U246" s="80">
        <f t="shared" si="45"/>
        <v>420.75</v>
      </c>
      <c r="V246" s="80">
        <v>0</v>
      </c>
      <c r="W246" s="80">
        <v>0</v>
      </c>
      <c r="X246" s="60">
        <v>0</v>
      </c>
      <c r="Y246" s="77">
        <f>X246*Valores!$C$2*1.006901</f>
        <v>0</v>
      </c>
      <c r="Z246" s="80">
        <v>0</v>
      </c>
      <c r="AA246" s="90">
        <f>(Valores!$C$32)*D246</f>
        <v>47.52</v>
      </c>
      <c r="AB246" s="80">
        <f t="shared" si="34"/>
        <v>0</v>
      </c>
      <c r="AC246" s="80">
        <f>Valores!$C$33*D246</f>
        <v>39.78</v>
      </c>
      <c r="AD246" s="115">
        <v>94</v>
      </c>
      <c r="AE246" s="77">
        <f>AD246*Valores!$C$2*1.006901</f>
        <v>494.70979379919999</v>
      </c>
      <c r="AF246" s="80">
        <f>Valores!$D$51*D246</f>
        <v>162.94793923654433</v>
      </c>
      <c r="AG246" s="80">
        <f>Valores!$D$52*D246</f>
        <v>46.56003012343713</v>
      </c>
      <c r="AH246" s="80">
        <f>SUM(G246,I246,K246,M246,N246,O246,P246,Q246,R246,S246,U246,V246,W246,Y246,Z246,AA246,AB246,AC246,AE246,AF246,AG246)*Valores!$C$54</f>
        <v>0</v>
      </c>
      <c r="AI246" s="140">
        <f t="shared" si="38"/>
        <v>8406.5810616131821</v>
      </c>
      <c r="AJ246" s="85">
        <f>Valores!$C$36*D246</f>
        <v>129.624</v>
      </c>
      <c r="AK246" s="82">
        <f>Valores!$C$11*D246</f>
        <v>77.118547590000006</v>
      </c>
      <c r="AL246" s="90">
        <v>67.811761646999997</v>
      </c>
      <c r="AM246" s="82">
        <f>IF($G$4="SI",SUM(AK246+AL246),AK246)*Valores!$C$54</f>
        <v>0</v>
      </c>
      <c r="AN246" s="184">
        <f t="shared" si="35"/>
        <v>274.55430923699998</v>
      </c>
      <c r="AO246" s="153">
        <f>AI246*-Valores!$C$56</f>
        <v>-1092.8555380097137</v>
      </c>
      <c r="AP246" s="153">
        <f>AI246*-Valores!$C$57</f>
        <v>-42.032905308065914</v>
      </c>
      <c r="AQ246" s="81">
        <f>AI246*-Valores!$C$58</f>
        <v>-378.2961477725932</v>
      </c>
      <c r="AR246" s="81">
        <f>AI246*-Valores!$C$59</f>
        <v>-226.97768866355594</v>
      </c>
      <c r="AS246" s="81">
        <f>AI246*-Valores!$C$60</f>
        <v>-25.219743184839547</v>
      </c>
      <c r="AT246" s="54">
        <f t="shared" si="36"/>
        <v>7167.9507797598108</v>
      </c>
      <c r="AU246" s="54">
        <f t="shared" si="37"/>
        <v>7294.0494956840084</v>
      </c>
      <c r="AV246" s="81">
        <f>AI246*Valores!$C$61</f>
        <v>1345.0529698581092</v>
      </c>
      <c r="AW246" s="81">
        <f>AI246*Valores!$C$62</f>
        <v>378.2961477725932</v>
      </c>
      <c r="AX246" s="81">
        <f>AI246*Valores!$C$64</f>
        <v>84.065810616131827</v>
      </c>
      <c r="AY246" s="81">
        <f>AI246*Valores!$C$65</f>
        <v>294.23033715646142</v>
      </c>
      <c r="AZ246" s="81">
        <f>AI246*Valores!$C$66</f>
        <v>50.439486369679095</v>
      </c>
      <c r="BA246" s="81">
        <f t="shared" si="39"/>
        <v>453.95537732711188</v>
      </c>
      <c r="BB246" s="55"/>
      <c r="BC246" s="55">
        <f t="shared" si="43"/>
        <v>36</v>
      </c>
      <c r="BD246" s="52" t="s">
        <v>467</v>
      </c>
    </row>
    <row r="247" spans="1:56" s="9" customFormat="1" ht="11.25" customHeight="1" x14ac:dyDescent="0.15">
      <c r="A247" s="20">
        <v>246</v>
      </c>
      <c r="B247" s="20"/>
      <c r="C247" s="9" t="s">
        <v>355</v>
      </c>
      <c r="D247" s="9">
        <v>10</v>
      </c>
      <c r="E247" s="10" t="str">
        <f>CONCATENATE("Hora Cátedra Enseñanza Media ",D247," hs")</f>
        <v>Hora Cátedra Enseñanza Media 10 hs</v>
      </c>
      <c r="F247" s="123">
        <f t="shared" si="44"/>
        <v>790</v>
      </c>
      <c r="G247" s="7">
        <f>INT((F247*Valores!$C$2*100*1.006901)+0.5)/100</f>
        <v>4157.67</v>
      </c>
      <c r="H247" s="132">
        <v>0</v>
      </c>
      <c r="I247" s="77">
        <f>INT((H247*Valores!$C$2*100*1.006901)+0.5)/100</f>
        <v>0</v>
      </c>
      <c r="J247" s="145">
        <v>0</v>
      </c>
      <c r="K247" s="77">
        <f>INT((J247*Valores!$C$2*100*1.006901)+0.5)/100</f>
        <v>0</v>
      </c>
      <c r="L247" s="120">
        <v>0</v>
      </c>
      <c r="M247" s="77">
        <f>INT((L247*Valores!$C$2*100*1.006901)+0.5)/100</f>
        <v>0</v>
      </c>
      <c r="N247" s="77">
        <f t="shared" si="40"/>
        <v>741.56302145999996</v>
      </c>
      <c r="O247" s="77">
        <f t="shared" si="41"/>
        <v>0</v>
      </c>
      <c r="P247" s="61">
        <f>Valores!$C$14*D247</f>
        <v>1206.4687782000001</v>
      </c>
      <c r="Q247" s="61">
        <f>IF(D247&lt;15,(Valores!$E$4*D247),Valores!$D$4)</f>
        <v>1569.4</v>
      </c>
      <c r="R247" s="77">
        <v>0</v>
      </c>
      <c r="S247" s="79">
        <f>Valores!$C$45*D247</f>
        <v>318.5834764</v>
      </c>
      <c r="T247" s="61">
        <f>Valores!$C$22*D247</f>
        <v>467.5</v>
      </c>
      <c r="U247" s="77">
        <f t="shared" si="45"/>
        <v>467.5</v>
      </c>
      <c r="V247" s="77">
        <v>0</v>
      </c>
      <c r="W247" s="77">
        <v>0</v>
      </c>
      <c r="X247" s="37">
        <v>0</v>
      </c>
      <c r="Y247" s="77">
        <f>X247*Valores!$C$2*1.006901</f>
        <v>0</v>
      </c>
      <c r="Z247" s="77">
        <v>0</v>
      </c>
      <c r="AA247" s="89">
        <f>(Valores!$C$32)*D247</f>
        <v>52.800000000000004</v>
      </c>
      <c r="AB247" s="77">
        <f t="shared" si="34"/>
        <v>0</v>
      </c>
      <c r="AC247" s="77">
        <f>Valores!$C$33*D247</f>
        <v>44.2</v>
      </c>
      <c r="AD247" s="116">
        <v>0</v>
      </c>
      <c r="AE247" s="77">
        <f>AD247*Valores!$C$2*1.006901</f>
        <v>0</v>
      </c>
      <c r="AF247" s="77">
        <f>Valores!$D$51*D247</f>
        <v>181.05326581838258</v>
      </c>
      <c r="AG247" s="77">
        <f>Valores!$D$52*D247</f>
        <v>51.733366803819038</v>
      </c>
      <c r="AH247" s="77">
        <f>SUM(G247,I247,K247,M247,N247,O247,P247,Q247,R247,S247,U247,V247,W247,Y247,Z247,AA247,AB247,AC247,AE247,AF247,AG247)*Valores!$C$54</f>
        <v>0</v>
      </c>
      <c r="AI247" s="139">
        <f t="shared" si="38"/>
        <v>8790.9719086822006</v>
      </c>
      <c r="AJ247" s="61">
        <f>Valores!$C$36*D247</f>
        <v>144.02666666666667</v>
      </c>
      <c r="AK247" s="79">
        <f>Valores!$C$11*D247</f>
        <v>85.687275100000008</v>
      </c>
      <c r="AL247" s="89">
        <v>75.346401830000005</v>
      </c>
      <c r="AM247" s="79">
        <f>IF($G$4="SI",SUM(AK247+AL247),AK247)*Valores!$C$54</f>
        <v>0</v>
      </c>
      <c r="AN247" s="12">
        <f t="shared" si="35"/>
        <v>305.06034359666666</v>
      </c>
      <c r="AO247" s="13">
        <f>AI247*-Valores!$C$56</f>
        <v>-1142.826348128686</v>
      </c>
      <c r="AP247" s="13">
        <f>AI247*-Valores!$C$57</f>
        <v>-43.954859543411004</v>
      </c>
      <c r="AQ247" s="78">
        <f>AI247*-Valores!$C$58</f>
        <v>-395.59373589069901</v>
      </c>
      <c r="AR247" s="78">
        <f>AI247*-Valores!$C$59</f>
        <v>-237.35624153441944</v>
      </c>
      <c r="AS247" s="78">
        <f>AI247*-Valores!$C$60</f>
        <v>-26.372915726046603</v>
      </c>
      <c r="AT247" s="15">
        <f t="shared" si="36"/>
        <v>7513.6573087160696</v>
      </c>
      <c r="AU247" s="15">
        <f t="shared" si="37"/>
        <v>7645.5218873463036</v>
      </c>
      <c r="AV247" s="78">
        <f>AI247*Valores!$C$61</f>
        <v>1406.5555053891521</v>
      </c>
      <c r="AW247" s="78">
        <f>AI247*Valores!$C$62</f>
        <v>395.59373589069901</v>
      </c>
      <c r="AX247" s="78">
        <f>AI247*Valores!$C$64</f>
        <v>87.909719086822008</v>
      </c>
      <c r="AY247" s="78">
        <f>AI247*Valores!$C$65</f>
        <v>307.68401680387706</v>
      </c>
      <c r="AZ247" s="78">
        <f>AI247*Valores!$C$66</f>
        <v>52.745831452093206</v>
      </c>
      <c r="BA247" s="78">
        <f t="shared" si="39"/>
        <v>474.71248306883882</v>
      </c>
      <c r="BB247" s="20"/>
      <c r="BC247" s="20">
        <f t="shared" si="43"/>
        <v>40</v>
      </c>
      <c r="BD247" s="9" t="s">
        <v>467</v>
      </c>
    </row>
    <row r="248" spans="1:56" s="9" customFormat="1" ht="11.25" customHeight="1" x14ac:dyDescent="0.15">
      <c r="A248" s="20">
        <v>247</v>
      </c>
      <c r="B248" s="20"/>
      <c r="C248" s="9" t="s">
        <v>355</v>
      </c>
      <c r="D248" s="9">
        <v>10</v>
      </c>
      <c r="E248" s="10" t="str">
        <f>CONCATENATE("Hora Cátedra Enseñanza Media ",D248," hs Esc Esp")</f>
        <v>Hora Cátedra Enseñanza Media 10 hs Esc Esp</v>
      </c>
      <c r="F248" s="123">
        <f t="shared" si="44"/>
        <v>790</v>
      </c>
      <c r="G248" s="7">
        <f>INT((F248*Valores!$C$2*100*1.006901)+0.5)/100</f>
        <v>4157.67</v>
      </c>
      <c r="H248" s="132">
        <v>0</v>
      </c>
      <c r="I248" s="77">
        <f>INT((H248*Valores!$C$2*100*1.006901)+0.5)/100</f>
        <v>0</v>
      </c>
      <c r="J248" s="145">
        <v>0</v>
      </c>
      <c r="K248" s="77">
        <f>INT((J248*Valores!$C$2*100*1.006901)+0.5)/100</f>
        <v>0</v>
      </c>
      <c r="L248" s="120">
        <v>0</v>
      </c>
      <c r="M248" s="77">
        <f>INT((L248*Valores!$C$2*100*1.006901)+0.5)/100</f>
        <v>0</v>
      </c>
      <c r="N248" s="77">
        <f t="shared" si="40"/>
        <v>741.56302145999996</v>
      </c>
      <c r="O248" s="77">
        <f t="shared" si="41"/>
        <v>0</v>
      </c>
      <c r="P248" s="61">
        <f>Valores!$C$14*D248</f>
        <v>1206.4687782000001</v>
      </c>
      <c r="Q248" s="61">
        <f>IF(D248&lt;15,(Valores!$E$4*D248),Valores!$D$4)</f>
        <v>1569.4</v>
      </c>
      <c r="R248" s="77">
        <v>0</v>
      </c>
      <c r="S248" s="79">
        <f>Valores!$C$45*D248</f>
        <v>318.5834764</v>
      </c>
      <c r="T248" s="61">
        <f>Valores!$C$22*D248</f>
        <v>467.5</v>
      </c>
      <c r="U248" s="77">
        <f t="shared" si="45"/>
        <v>467.5</v>
      </c>
      <c r="V248" s="77">
        <v>0</v>
      </c>
      <c r="W248" s="77">
        <v>0</v>
      </c>
      <c r="X248" s="37">
        <v>0</v>
      </c>
      <c r="Y248" s="77">
        <f>X248*Valores!$C$2*1.006901</f>
        <v>0</v>
      </c>
      <c r="Z248" s="77">
        <v>0</v>
      </c>
      <c r="AA248" s="89">
        <f>(Valores!$C$32)*D248</f>
        <v>52.800000000000004</v>
      </c>
      <c r="AB248" s="77">
        <f t="shared" si="34"/>
        <v>0</v>
      </c>
      <c r="AC248" s="77">
        <f>Valores!$C$33*D248</f>
        <v>44.2</v>
      </c>
      <c r="AD248" s="116">
        <v>94</v>
      </c>
      <c r="AE248" s="77">
        <f>AD248*Valores!$C$2*1.006901</f>
        <v>494.70979379919999</v>
      </c>
      <c r="AF248" s="77">
        <f>Valores!$D$51*D248</f>
        <v>181.05326581838258</v>
      </c>
      <c r="AG248" s="77">
        <f>Valores!$D$52*D248</f>
        <v>51.733366803819038</v>
      </c>
      <c r="AH248" s="77">
        <f>SUM(G248,I248,K248,M248,N248,O248,P248,Q248,R248,S248,U248,V248,W248,Y248,Z248,AA248,AB248,AC248,AE248,AF248,AG248)*Valores!$C$54</f>
        <v>0</v>
      </c>
      <c r="AI248" s="139">
        <f t="shared" si="38"/>
        <v>9285.6817024814009</v>
      </c>
      <c r="AJ248" s="61">
        <f>Valores!$C$36*D248</f>
        <v>144.02666666666667</v>
      </c>
      <c r="AK248" s="79">
        <f>Valores!$C$11*D248</f>
        <v>85.687275100000008</v>
      </c>
      <c r="AL248" s="89">
        <v>75.346401830000005</v>
      </c>
      <c r="AM248" s="79">
        <f>IF($G$4="SI",SUM(AK248+AL248),AK248)*Valores!$C$54</f>
        <v>0</v>
      </c>
      <c r="AN248" s="12">
        <f t="shared" si="35"/>
        <v>305.06034359666666</v>
      </c>
      <c r="AO248" s="13">
        <f>AI248*-Valores!$C$56</f>
        <v>-1207.1386213225821</v>
      </c>
      <c r="AP248" s="13">
        <f>AI248*-Valores!$C$57</f>
        <v>-46.428408512407003</v>
      </c>
      <c r="AQ248" s="78">
        <f>AI248*-Valores!$C$58</f>
        <v>-417.855676611663</v>
      </c>
      <c r="AR248" s="78">
        <f>AI248*-Valores!$C$59</f>
        <v>-250.71340596699784</v>
      </c>
      <c r="AS248" s="78">
        <f>AI248*-Valores!$C$60</f>
        <v>-27.857045107444204</v>
      </c>
      <c r="AT248" s="15">
        <f t="shared" si="36"/>
        <v>7919.3193396314136</v>
      </c>
      <c r="AU248" s="15">
        <f t="shared" si="37"/>
        <v>8058.6045651686363</v>
      </c>
      <c r="AV248" s="78">
        <f>AI248*Valores!$C$61</f>
        <v>1485.7090723970241</v>
      </c>
      <c r="AW248" s="78">
        <f>AI248*Valores!$C$62</f>
        <v>417.855676611663</v>
      </c>
      <c r="AX248" s="78">
        <f>AI248*Valores!$C$64</f>
        <v>92.856817024814006</v>
      </c>
      <c r="AY248" s="78">
        <f>AI248*Valores!$C$65</f>
        <v>324.99885958684905</v>
      </c>
      <c r="AZ248" s="78">
        <f>AI248*Valores!$C$66</f>
        <v>55.714090214888408</v>
      </c>
      <c r="BA248" s="78">
        <f t="shared" si="39"/>
        <v>501.42681193399568</v>
      </c>
      <c r="BB248" s="20"/>
      <c r="BC248" s="20">
        <f t="shared" si="43"/>
        <v>40</v>
      </c>
      <c r="BD248" s="9" t="s">
        <v>467</v>
      </c>
    </row>
    <row r="249" spans="1:56" s="9" customFormat="1" ht="11.25" customHeight="1" x14ac:dyDescent="0.15">
      <c r="A249" s="20">
        <v>248</v>
      </c>
      <c r="B249" s="20"/>
      <c r="C249" s="9" t="s">
        <v>355</v>
      </c>
      <c r="D249" s="9">
        <v>11</v>
      </c>
      <c r="E249" s="10" t="str">
        <f>CONCATENATE("Hora Cátedra Enseñanza Media ",D249," hs")</f>
        <v>Hora Cátedra Enseñanza Media 11 hs</v>
      </c>
      <c r="F249" s="123">
        <f t="shared" si="44"/>
        <v>869</v>
      </c>
      <c r="G249" s="7">
        <f>INT((F249*Valores!$C$2*100*1.006901)+0.5)/100</f>
        <v>4573.43</v>
      </c>
      <c r="H249" s="132">
        <v>0</v>
      </c>
      <c r="I249" s="77">
        <f>INT((H249*Valores!$C$2*100*1.006901)+0.5)/100</f>
        <v>0</v>
      </c>
      <c r="J249" s="145">
        <v>0</v>
      </c>
      <c r="K249" s="77">
        <f>INT((J249*Valores!$C$2*100*1.006901)+0.5)/100</f>
        <v>0</v>
      </c>
      <c r="L249" s="120">
        <v>0</v>
      </c>
      <c r="M249" s="77">
        <f>INT((L249*Valores!$C$2*100*1.006901)+0.5)/100</f>
        <v>0</v>
      </c>
      <c r="N249" s="77">
        <f t="shared" si="40"/>
        <v>815.71827360600003</v>
      </c>
      <c r="O249" s="77">
        <f t="shared" si="41"/>
        <v>0</v>
      </c>
      <c r="P249" s="61">
        <f>Valores!$C$14*D249</f>
        <v>1327.11565602</v>
      </c>
      <c r="Q249" s="61">
        <f>IF(D249&lt;15,(Valores!$E$4*D249),Valores!$D$4)</f>
        <v>1726.34</v>
      </c>
      <c r="R249" s="77">
        <v>0</v>
      </c>
      <c r="S249" s="79">
        <f>Valores!$C$45*D249</f>
        <v>350.44182404000003</v>
      </c>
      <c r="T249" s="61">
        <f>Valores!$C$22*D249</f>
        <v>514.25</v>
      </c>
      <c r="U249" s="77">
        <f t="shared" si="45"/>
        <v>514.25</v>
      </c>
      <c r="V249" s="77">
        <v>0</v>
      </c>
      <c r="W249" s="77">
        <v>0</v>
      </c>
      <c r="X249" s="37">
        <v>0</v>
      </c>
      <c r="Y249" s="77">
        <f>X249*Valores!$C$2*1.006901</f>
        <v>0</v>
      </c>
      <c r="Z249" s="77">
        <v>0</v>
      </c>
      <c r="AA249" s="89">
        <f>(Valores!$C$32)*D249</f>
        <v>58.080000000000005</v>
      </c>
      <c r="AB249" s="77">
        <f t="shared" si="34"/>
        <v>0</v>
      </c>
      <c r="AC249" s="77">
        <f>Valores!$C$33*D249</f>
        <v>48.62</v>
      </c>
      <c r="AD249" s="116">
        <v>0</v>
      </c>
      <c r="AE249" s="77">
        <f>AD249*Valores!$C$2*1.006901</f>
        <v>0</v>
      </c>
      <c r="AF249" s="77">
        <f>Valores!$D$51*D249</f>
        <v>199.15859240022084</v>
      </c>
      <c r="AG249" s="77">
        <f>Valores!$D$52*D249</f>
        <v>56.906703484200939</v>
      </c>
      <c r="AH249" s="77">
        <f>SUM(G249,I249,K249,M249,N249,O249,P249,Q249,R249,S249,U249,V249,W249,Y249,Z249,AA249,AB249,AC249,AE249,AF249,AG249)*Valores!$C$54</f>
        <v>0</v>
      </c>
      <c r="AI249" s="139">
        <f t="shared" si="38"/>
        <v>9670.0610495504225</v>
      </c>
      <c r="AJ249" s="61">
        <f>Valores!$C$36*D249</f>
        <v>158.42933333333335</v>
      </c>
      <c r="AK249" s="79">
        <f>Valores!$C$11*D249</f>
        <v>94.25600261000001</v>
      </c>
      <c r="AL249" s="89">
        <v>82.892117924000004</v>
      </c>
      <c r="AM249" s="79">
        <f>IF($G$4="SI",SUM(AK249+AL249),AK249)*Valores!$C$54</f>
        <v>0</v>
      </c>
      <c r="AN249" s="12">
        <f t="shared" si="35"/>
        <v>335.57745386733336</v>
      </c>
      <c r="AO249" s="13">
        <f>AI249*-Valores!$C$56</f>
        <v>-1257.107936441555</v>
      </c>
      <c r="AP249" s="13">
        <f>AI249*-Valores!$C$57</f>
        <v>-48.350305247752111</v>
      </c>
      <c r="AQ249" s="78">
        <f>AI249*-Valores!$C$58</f>
        <v>-435.15274722976898</v>
      </c>
      <c r="AR249" s="78">
        <f>AI249*-Valores!$C$59</f>
        <v>-261.09164833786144</v>
      </c>
      <c r="AS249" s="78">
        <f>AI249*-Valores!$C$60</f>
        <v>-29.010183148651269</v>
      </c>
      <c r="AT249" s="15">
        <f t="shared" si="36"/>
        <v>8265.0275144986808</v>
      </c>
      <c r="AU249" s="15">
        <f t="shared" si="37"/>
        <v>8410.0784302419379</v>
      </c>
      <c r="AV249" s="78">
        <f>AI249*Valores!$C$61</f>
        <v>1547.2097679280675</v>
      </c>
      <c r="AW249" s="78">
        <f>AI249*Valores!$C$62</f>
        <v>435.15274722976898</v>
      </c>
      <c r="AX249" s="78">
        <f>AI249*Valores!$C$64</f>
        <v>96.700610495504222</v>
      </c>
      <c r="AY249" s="78">
        <f>AI249*Valores!$C$65</f>
        <v>338.4521367342648</v>
      </c>
      <c r="AZ249" s="78">
        <f>AI249*Valores!$C$66</f>
        <v>58.020366297302537</v>
      </c>
      <c r="BA249" s="78">
        <f t="shared" si="39"/>
        <v>522.18329667572277</v>
      </c>
      <c r="BB249" s="20"/>
      <c r="BC249" s="55">
        <f t="shared" si="43"/>
        <v>44</v>
      </c>
      <c r="BD249" s="9" t="s">
        <v>467</v>
      </c>
    </row>
    <row r="250" spans="1:56" s="9" customFormat="1" ht="11.25" customHeight="1" x14ac:dyDescent="0.15">
      <c r="A250" s="20">
        <v>249</v>
      </c>
      <c r="B250" s="20"/>
      <c r="C250" s="9" t="s">
        <v>355</v>
      </c>
      <c r="D250" s="9">
        <v>11</v>
      </c>
      <c r="E250" s="10" t="str">
        <f>CONCATENATE("Hora Cátedra Enseñanza Media ",D250," hs Esc Esp")</f>
        <v>Hora Cátedra Enseñanza Media 11 hs Esc Esp</v>
      </c>
      <c r="F250" s="123">
        <f t="shared" si="44"/>
        <v>869</v>
      </c>
      <c r="G250" s="7">
        <f>INT((F250*Valores!$C$2*100*1.006901)+0.5)/100</f>
        <v>4573.43</v>
      </c>
      <c r="H250" s="132">
        <v>0</v>
      </c>
      <c r="I250" s="77">
        <f>INT((H250*Valores!$C$2*100*1.006901)+0.5)/100</f>
        <v>0</v>
      </c>
      <c r="J250" s="145">
        <v>0</v>
      </c>
      <c r="K250" s="77">
        <f>INT((J250*Valores!$C$2*100*1.006901)+0.5)/100</f>
        <v>0</v>
      </c>
      <c r="L250" s="120">
        <v>0</v>
      </c>
      <c r="M250" s="77">
        <f>INT((L250*Valores!$C$2*100*1.006901)+0.5)/100</f>
        <v>0</v>
      </c>
      <c r="N250" s="77">
        <f t="shared" si="40"/>
        <v>815.71827360600003</v>
      </c>
      <c r="O250" s="77">
        <f t="shared" si="41"/>
        <v>0</v>
      </c>
      <c r="P250" s="61">
        <f>Valores!$C$14*D250</f>
        <v>1327.11565602</v>
      </c>
      <c r="Q250" s="61">
        <f>IF(D250&lt;15,(Valores!$E$4*D250),Valores!$D$4)</f>
        <v>1726.34</v>
      </c>
      <c r="R250" s="77">
        <v>0</v>
      </c>
      <c r="S250" s="79">
        <f>Valores!$C$45*D250</f>
        <v>350.44182404000003</v>
      </c>
      <c r="T250" s="61">
        <f>Valores!$C$22*D250</f>
        <v>514.25</v>
      </c>
      <c r="U250" s="77">
        <f t="shared" si="45"/>
        <v>514.25</v>
      </c>
      <c r="V250" s="77">
        <v>0</v>
      </c>
      <c r="W250" s="77">
        <v>0</v>
      </c>
      <c r="X250" s="37">
        <v>0</v>
      </c>
      <c r="Y250" s="77">
        <f>X250*Valores!$C$2*1.006901</f>
        <v>0</v>
      </c>
      <c r="Z250" s="77">
        <v>0</v>
      </c>
      <c r="AA250" s="89">
        <f>(Valores!$C$32)*D250</f>
        <v>58.080000000000005</v>
      </c>
      <c r="AB250" s="77">
        <f t="shared" si="34"/>
        <v>0</v>
      </c>
      <c r="AC250" s="77">
        <f>Valores!$C$33*D250</f>
        <v>48.62</v>
      </c>
      <c r="AD250" s="116">
        <v>94</v>
      </c>
      <c r="AE250" s="77">
        <f>AD250*Valores!$C$2*1.006901</f>
        <v>494.70979379919999</v>
      </c>
      <c r="AF250" s="77">
        <f>Valores!$D$51*D250</f>
        <v>199.15859240022084</v>
      </c>
      <c r="AG250" s="77">
        <f>Valores!$D$52*D250</f>
        <v>56.906703484200939</v>
      </c>
      <c r="AH250" s="77">
        <f>SUM(G250,I250,K250,M250,N250,O250,P250,Q250,R250,S250,U250,V250,W250,Y250,Z250,AA250,AB250,AC250,AE250,AF250,AG250)*Valores!$C$54</f>
        <v>0</v>
      </c>
      <c r="AI250" s="139">
        <f t="shared" si="38"/>
        <v>10164.770843349623</v>
      </c>
      <c r="AJ250" s="61">
        <f>Valores!$C$36*D250</f>
        <v>158.42933333333335</v>
      </c>
      <c r="AK250" s="79">
        <f>Valores!$C$11*D250</f>
        <v>94.25600261000001</v>
      </c>
      <c r="AL250" s="89">
        <v>82.892117924000004</v>
      </c>
      <c r="AM250" s="79">
        <f>IF($G$4="SI",SUM(AK250+AL250),AK250)*Valores!$C$54</f>
        <v>0</v>
      </c>
      <c r="AN250" s="12">
        <f t="shared" si="35"/>
        <v>335.57745386733336</v>
      </c>
      <c r="AO250" s="13">
        <f>AI250*-Valores!$C$56</f>
        <v>-1321.4202096354511</v>
      </c>
      <c r="AP250" s="13">
        <f>AI250*-Valores!$C$57</f>
        <v>-50.823854216748117</v>
      </c>
      <c r="AQ250" s="78">
        <f>AI250*-Valores!$C$58</f>
        <v>-457.41468795073303</v>
      </c>
      <c r="AR250" s="78">
        <f>AI250*-Valores!$C$59</f>
        <v>-274.44881277043987</v>
      </c>
      <c r="AS250" s="78">
        <f>AI250*-Valores!$C$60</f>
        <v>-30.49431253004887</v>
      </c>
      <c r="AT250" s="15">
        <f t="shared" si="36"/>
        <v>8670.6895454140249</v>
      </c>
      <c r="AU250" s="15">
        <f t="shared" si="37"/>
        <v>8823.1611080642706</v>
      </c>
      <c r="AV250" s="78">
        <f>AI250*Valores!$C$61</f>
        <v>1626.3633349359397</v>
      </c>
      <c r="AW250" s="78">
        <f>AI250*Valores!$C$62</f>
        <v>457.41468795073303</v>
      </c>
      <c r="AX250" s="78">
        <f>AI250*Valores!$C$64</f>
        <v>101.64770843349623</v>
      </c>
      <c r="AY250" s="78">
        <f>AI250*Valores!$C$65</f>
        <v>355.76697951723685</v>
      </c>
      <c r="AZ250" s="78">
        <f>AI250*Valores!$C$66</f>
        <v>60.988625060097739</v>
      </c>
      <c r="BA250" s="78">
        <f t="shared" si="39"/>
        <v>548.89762554087963</v>
      </c>
      <c r="BB250" s="20"/>
      <c r="BC250" s="20">
        <f t="shared" si="43"/>
        <v>44</v>
      </c>
      <c r="BD250" s="9" t="s">
        <v>467</v>
      </c>
    </row>
    <row r="251" spans="1:56" s="9" customFormat="1" ht="11.25" customHeight="1" x14ac:dyDescent="0.15">
      <c r="A251" s="55">
        <v>250</v>
      </c>
      <c r="B251" s="55" t="s">
        <v>462</v>
      </c>
      <c r="C251" s="52" t="s">
        <v>355</v>
      </c>
      <c r="D251" s="52">
        <v>12</v>
      </c>
      <c r="E251" s="53" t="str">
        <f>CONCATENATE("Hora Cátedra Enseñanza Media ",D251," hs")</f>
        <v>Hora Cátedra Enseñanza Media 12 hs</v>
      </c>
      <c r="F251" s="124">
        <f t="shared" si="44"/>
        <v>948</v>
      </c>
      <c r="G251" s="7">
        <f>INT((F251*Valores!$C$2*100*1.006901)+0.5)/100</f>
        <v>4989.2</v>
      </c>
      <c r="H251" s="131">
        <v>0</v>
      </c>
      <c r="I251" s="77">
        <f>INT((H251*Valores!$C$2*100*1.006901)+0.5)/100</f>
        <v>0</v>
      </c>
      <c r="J251" s="146">
        <v>0</v>
      </c>
      <c r="K251" s="77">
        <f>INT((J251*Valores!$C$2*100*1.006901)+0.5)/100</f>
        <v>0</v>
      </c>
      <c r="L251" s="121">
        <v>0</v>
      </c>
      <c r="M251" s="77">
        <f>INT((L251*Valores!$C$2*100*1.006901)+0.5)/100</f>
        <v>0</v>
      </c>
      <c r="N251" s="80">
        <f t="shared" si="40"/>
        <v>889.87502575199994</v>
      </c>
      <c r="O251" s="80">
        <f t="shared" si="41"/>
        <v>0</v>
      </c>
      <c r="P251" s="85">
        <f>Valores!$C$14*D251</f>
        <v>1447.7625338400001</v>
      </c>
      <c r="Q251" s="85">
        <f>IF(D251&lt;15,(Valores!$E$4*D251),Valores!$D$4)</f>
        <v>1883.28</v>
      </c>
      <c r="R251" s="80">
        <v>0</v>
      </c>
      <c r="S251" s="82">
        <f>Valores!$C$45*D251</f>
        <v>382.30017168000001</v>
      </c>
      <c r="T251" s="85">
        <f>Valores!$C$22*D251</f>
        <v>561</v>
      </c>
      <c r="U251" s="80">
        <f t="shared" si="45"/>
        <v>561</v>
      </c>
      <c r="V251" s="80">
        <v>0</v>
      </c>
      <c r="W251" s="80">
        <v>0</v>
      </c>
      <c r="X251" s="60">
        <v>0</v>
      </c>
      <c r="Y251" s="77">
        <f>X251*Valores!$C$2*1.006901</f>
        <v>0</v>
      </c>
      <c r="Z251" s="80">
        <v>0</v>
      </c>
      <c r="AA251" s="90">
        <f>(Valores!$C$32)*D251</f>
        <v>63.36</v>
      </c>
      <c r="AB251" s="80">
        <f t="shared" si="34"/>
        <v>0</v>
      </c>
      <c r="AC251" s="80">
        <f>Valores!$C$33*D251</f>
        <v>53.04</v>
      </c>
      <c r="AD251" s="115">
        <v>0</v>
      </c>
      <c r="AE251" s="77">
        <f>AD251*Valores!$C$2*1.006901</f>
        <v>0</v>
      </c>
      <c r="AF251" s="80">
        <f>Valores!$D$51*D251</f>
        <v>217.26391898205912</v>
      </c>
      <c r="AG251" s="80">
        <f>Valores!$D$52*D251</f>
        <v>62.08004016458284</v>
      </c>
      <c r="AH251" s="80">
        <f>SUM(G251,I251,K251,M251,N251,O251,P251,Q251,R251,S251,U251,V251,W251,Y251,Z251,AA251,AB251,AC251,AE251,AF251,AG251)*Valores!$C$54</f>
        <v>0</v>
      </c>
      <c r="AI251" s="140">
        <f t="shared" si="38"/>
        <v>10549.161690418643</v>
      </c>
      <c r="AJ251" s="85">
        <f>Valores!$C$36*D251</f>
        <v>172.83199999999999</v>
      </c>
      <c r="AK251" s="82">
        <f>Valores!$C$11*D251</f>
        <v>102.82473012</v>
      </c>
      <c r="AL251" s="90">
        <v>90.415682195999992</v>
      </c>
      <c r="AM251" s="82">
        <f>IF($G$4="SI",SUM(AK251+AL251),AK251)*Valores!$C$54</f>
        <v>0</v>
      </c>
      <c r="AN251" s="184">
        <f t="shared" si="35"/>
        <v>366.072412316</v>
      </c>
      <c r="AO251" s="153">
        <f>AI251*-Valores!$C$56</f>
        <v>-1371.3910197544237</v>
      </c>
      <c r="AP251" s="153">
        <f>AI251*-Valores!$C$57</f>
        <v>-52.745808452093215</v>
      </c>
      <c r="AQ251" s="81">
        <f>AI251*-Valores!$C$58</f>
        <v>-474.71227606883895</v>
      </c>
      <c r="AR251" s="81">
        <f>AI251*-Valores!$C$59</f>
        <v>-284.8273656413034</v>
      </c>
      <c r="AS251" s="81">
        <f>AI251*-Valores!$C$60</f>
        <v>-31.647485071255929</v>
      </c>
      <c r="AT251" s="54">
        <f t="shared" si="36"/>
        <v>9016.3849984592853</v>
      </c>
      <c r="AU251" s="54">
        <f t="shared" si="37"/>
        <v>9174.6224238155646</v>
      </c>
      <c r="AV251" s="81">
        <f>AI251*Valores!$C$61</f>
        <v>1687.8658704669829</v>
      </c>
      <c r="AW251" s="81">
        <f>AI251*Valores!$C$62</f>
        <v>474.71227606883895</v>
      </c>
      <c r="AX251" s="81">
        <f>AI251*Valores!$C$64</f>
        <v>105.49161690418643</v>
      </c>
      <c r="AY251" s="81">
        <f>AI251*Valores!$C$65</f>
        <v>369.22065916465255</v>
      </c>
      <c r="AZ251" s="81">
        <f>AI251*Valores!$C$66</f>
        <v>63.294970142511858</v>
      </c>
      <c r="BA251" s="81">
        <f t="shared" si="39"/>
        <v>569.65473128260669</v>
      </c>
      <c r="BB251" s="55"/>
      <c r="BC251" s="55">
        <f t="shared" si="43"/>
        <v>48</v>
      </c>
      <c r="BD251" s="52" t="s">
        <v>467</v>
      </c>
    </row>
    <row r="252" spans="1:56" s="9" customFormat="1" ht="11.25" customHeight="1" x14ac:dyDescent="0.15">
      <c r="A252" s="20">
        <v>251</v>
      </c>
      <c r="B252" s="20"/>
      <c r="C252" s="9" t="s">
        <v>355</v>
      </c>
      <c r="D252" s="9">
        <v>12</v>
      </c>
      <c r="E252" s="10" t="str">
        <f>CONCATENATE("Hora Cátedra Enseñanza Media ",D252," hs Esc Esp")</f>
        <v>Hora Cátedra Enseñanza Media 12 hs Esc Esp</v>
      </c>
      <c r="F252" s="123">
        <f t="shared" si="44"/>
        <v>948</v>
      </c>
      <c r="G252" s="7">
        <f>INT((F252*Valores!$C$2*100*1.006901)+0.5)/100</f>
        <v>4989.2</v>
      </c>
      <c r="H252" s="132">
        <v>0</v>
      </c>
      <c r="I252" s="77">
        <f>INT((H252*Valores!$C$2*100*1.006901)+0.5)/100</f>
        <v>0</v>
      </c>
      <c r="J252" s="145">
        <v>0</v>
      </c>
      <c r="K252" s="77">
        <f>INT((J252*Valores!$C$2*100*1.006901)+0.5)/100</f>
        <v>0</v>
      </c>
      <c r="L252" s="120">
        <v>0</v>
      </c>
      <c r="M252" s="77">
        <f>INT((L252*Valores!$C$2*100*1.006901)+0.5)/100</f>
        <v>0</v>
      </c>
      <c r="N252" s="77">
        <f t="shared" si="40"/>
        <v>889.87502575199994</v>
      </c>
      <c r="O252" s="77">
        <f t="shared" si="41"/>
        <v>0</v>
      </c>
      <c r="P252" s="61">
        <f>Valores!$C$14*D252</f>
        <v>1447.7625338400001</v>
      </c>
      <c r="Q252" s="61">
        <f>IF(D252&lt;15,(Valores!$E$4*D252),Valores!$D$4)</f>
        <v>1883.28</v>
      </c>
      <c r="R252" s="77">
        <v>0</v>
      </c>
      <c r="S252" s="79">
        <f>Valores!$C$45*D252</f>
        <v>382.30017168000001</v>
      </c>
      <c r="T252" s="61">
        <f>Valores!$C$22*D252</f>
        <v>561</v>
      </c>
      <c r="U252" s="77">
        <f t="shared" si="45"/>
        <v>561</v>
      </c>
      <c r="V252" s="77">
        <v>0</v>
      </c>
      <c r="W252" s="77">
        <v>0</v>
      </c>
      <c r="X252" s="37">
        <v>0</v>
      </c>
      <c r="Y252" s="77">
        <f>X252*Valores!$C$2*1.006901</f>
        <v>0</v>
      </c>
      <c r="Z252" s="77">
        <v>0</v>
      </c>
      <c r="AA252" s="89">
        <f>(Valores!$C$32)*D252</f>
        <v>63.36</v>
      </c>
      <c r="AB252" s="77">
        <f t="shared" si="34"/>
        <v>0</v>
      </c>
      <c r="AC252" s="77">
        <f>Valores!$C$33*D252</f>
        <v>53.04</v>
      </c>
      <c r="AD252" s="116">
        <v>94</v>
      </c>
      <c r="AE252" s="77">
        <f>AD252*Valores!$C$2*1.006901</f>
        <v>494.70979379919999</v>
      </c>
      <c r="AF252" s="77">
        <f>Valores!$D$51*D252</f>
        <v>217.26391898205912</v>
      </c>
      <c r="AG252" s="77">
        <f>Valores!$D$52*D252</f>
        <v>62.08004016458284</v>
      </c>
      <c r="AH252" s="77">
        <f>SUM(G252,I252,K252,M252,N252,O252,P252,Q252,R252,S252,U252,V252,W252,Y252,Z252,AA252,AB252,AC252,AE252,AF252,AG252)*Valores!$C$54</f>
        <v>0</v>
      </c>
      <c r="AI252" s="139">
        <f t="shared" si="38"/>
        <v>11043.871484217843</v>
      </c>
      <c r="AJ252" s="61">
        <f>Valores!$C$36*D252</f>
        <v>172.83199999999999</v>
      </c>
      <c r="AK252" s="79">
        <f>Valores!$C$11*D252</f>
        <v>102.82473012</v>
      </c>
      <c r="AL252" s="89">
        <v>90.415682195999992</v>
      </c>
      <c r="AM252" s="79">
        <f>IF($G$4="SI",SUM(AK252+AL252),AK252)*Valores!$C$54</f>
        <v>0</v>
      </c>
      <c r="AN252" s="12">
        <f t="shared" si="35"/>
        <v>366.072412316</v>
      </c>
      <c r="AO252" s="13">
        <f>AI252*-Valores!$C$56</f>
        <v>-1435.7032929483196</v>
      </c>
      <c r="AP252" s="13">
        <f>AI252*-Valores!$C$57</f>
        <v>-55.219357421089221</v>
      </c>
      <c r="AQ252" s="78">
        <f>AI252*-Valores!$C$58</f>
        <v>-496.97421678980294</v>
      </c>
      <c r="AR252" s="78">
        <f>AI252*-Valores!$C$59</f>
        <v>-298.18453007388183</v>
      </c>
      <c r="AS252" s="78">
        <f>AI252*-Valores!$C$60</f>
        <v>-33.13161445265353</v>
      </c>
      <c r="AT252" s="15">
        <f t="shared" si="36"/>
        <v>9422.047029374633</v>
      </c>
      <c r="AU252" s="15">
        <f t="shared" si="37"/>
        <v>9587.7051016378991</v>
      </c>
      <c r="AV252" s="78">
        <f>AI252*Valores!$C$61</f>
        <v>1767.0194374748551</v>
      </c>
      <c r="AW252" s="78">
        <f>AI252*Valores!$C$62</f>
        <v>496.97421678980294</v>
      </c>
      <c r="AX252" s="78">
        <f>AI252*Valores!$C$64</f>
        <v>110.43871484217844</v>
      </c>
      <c r="AY252" s="78">
        <f>AI252*Valores!$C$65</f>
        <v>386.53550194762454</v>
      </c>
      <c r="AZ252" s="78">
        <f>AI252*Valores!$C$66</f>
        <v>66.263228905307059</v>
      </c>
      <c r="BA252" s="78">
        <f t="shared" si="39"/>
        <v>596.36906014776355</v>
      </c>
      <c r="BB252" s="20"/>
      <c r="BC252" s="20">
        <f t="shared" si="43"/>
        <v>48</v>
      </c>
      <c r="BD252" s="9" t="s">
        <v>467</v>
      </c>
    </row>
    <row r="253" spans="1:56" s="9" customFormat="1" ht="11.25" customHeight="1" x14ac:dyDescent="0.15">
      <c r="A253" s="20">
        <v>252</v>
      </c>
      <c r="B253" s="20"/>
      <c r="C253" s="9" t="s">
        <v>355</v>
      </c>
      <c r="D253" s="9">
        <v>13</v>
      </c>
      <c r="E253" s="10" t="str">
        <f>CONCATENATE("Hora Cátedra Enseñanza Media ",D253," hs")</f>
        <v>Hora Cátedra Enseñanza Media 13 hs</v>
      </c>
      <c r="F253" s="123">
        <f t="shared" si="44"/>
        <v>1027</v>
      </c>
      <c r="G253" s="7">
        <f>INT((F253*Valores!$C$2*100*1.006901)+0.5)/100</f>
        <v>5404.97</v>
      </c>
      <c r="H253" s="132">
        <v>0</v>
      </c>
      <c r="I253" s="77">
        <f>INT((H253*Valores!$C$2*100*1.006901)+0.5)/100</f>
        <v>0</v>
      </c>
      <c r="J253" s="145">
        <v>0</v>
      </c>
      <c r="K253" s="77">
        <f>INT((J253*Valores!$C$2*100*1.006901)+0.5)/100</f>
        <v>0</v>
      </c>
      <c r="L253" s="120">
        <v>0</v>
      </c>
      <c r="M253" s="77">
        <f>INT((L253*Valores!$C$2*100*1.006901)+0.5)/100</f>
        <v>0</v>
      </c>
      <c r="N253" s="77">
        <f t="shared" si="40"/>
        <v>964.03177789799997</v>
      </c>
      <c r="O253" s="77">
        <f t="shared" si="41"/>
        <v>0</v>
      </c>
      <c r="P253" s="61">
        <f>Valores!$C$14*D253</f>
        <v>1568.4094116599999</v>
      </c>
      <c r="Q253" s="61">
        <f>IF(D253&lt;15,(Valores!$E$4*D253),Valores!$D$4)</f>
        <v>2040.22</v>
      </c>
      <c r="R253" s="77">
        <v>0</v>
      </c>
      <c r="S253" s="79">
        <f>Valores!$C$45*D253</f>
        <v>414.15851932000004</v>
      </c>
      <c r="T253" s="61">
        <f>Valores!$C$22*D253</f>
        <v>607.75</v>
      </c>
      <c r="U253" s="77">
        <f t="shared" si="45"/>
        <v>607.75</v>
      </c>
      <c r="V253" s="77">
        <v>0</v>
      </c>
      <c r="W253" s="77">
        <v>0</v>
      </c>
      <c r="X253" s="37">
        <v>0</v>
      </c>
      <c r="Y253" s="77">
        <f>X253*Valores!$C$2*1.006901</f>
        <v>0</v>
      </c>
      <c r="Z253" s="77">
        <v>0</v>
      </c>
      <c r="AA253" s="89">
        <f>(Valores!$C$32)*D253</f>
        <v>68.64</v>
      </c>
      <c r="AB253" s="77">
        <f t="shared" si="34"/>
        <v>0</v>
      </c>
      <c r="AC253" s="77">
        <f>Valores!$C$33*D253</f>
        <v>57.46</v>
      </c>
      <c r="AD253" s="116">
        <v>0</v>
      </c>
      <c r="AE253" s="77">
        <f>AD253*Valores!$C$2*1.006901</f>
        <v>0</v>
      </c>
      <c r="AF253" s="77">
        <f>Valores!$D$51*D253</f>
        <v>235.36924556389738</v>
      </c>
      <c r="AG253" s="77">
        <f>Valores!$D$52*D253</f>
        <v>67.253376844964748</v>
      </c>
      <c r="AH253" s="77">
        <f>SUM(G253,I253,K253,M253,N253,O253,P253,Q253,R253,S253,U253,V253,W253,Y253,Z253,AA253,AB253,AC253,AE253,AF253,AG253)*Valores!$C$54</f>
        <v>0</v>
      </c>
      <c r="AI253" s="139">
        <f t="shared" si="38"/>
        <v>11428.262331286862</v>
      </c>
      <c r="AJ253" s="61">
        <f>Valores!$C$36*D253</f>
        <v>187.23466666666667</v>
      </c>
      <c r="AK253" s="79">
        <f>Valores!$C$11*D253</f>
        <v>111.39345763</v>
      </c>
      <c r="AL253" s="89">
        <v>97.950322378999999</v>
      </c>
      <c r="AM253" s="79">
        <f>IF($G$4="SI",SUM(AK253+AL253),AK253)*Valores!$C$54</f>
        <v>0</v>
      </c>
      <c r="AN253" s="12">
        <f t="shared" si="35"/>
        <v>396.57844667566667</v>
      </c>
      <c r="AO253" s="13">
        <f>AI253*-Valores!$C$56</f>
        <v>-1485.674103067292</v>
      </c>
      <c r="AP253" s="13">
        <f>AI253*-Valores!$C$57</f>
        <v>-57.141311656434311</v>
      </c>
      <c r="AQ253" s="78">
        <f>AI253*-Valores!$C$58</f>
        <v>-514.27180490790875</v>
      </c>
      <c r="AR253" s="78">
        <f>AI253*-Valores!$C$59</f>
        <v>-308.5630829447453</v>
      </c>
      <c r="AS253" s="78">
        <f>AI253*-Valores!$C$60</f>
        <v>-34.284786993860585</v>
      </c>
      <c r="AT253" s="15">
        <f t="shared" si="36"/>
        <v>9767.7535583308927</v>
      </c>
      <c r="AU253" s="15">
        <f t="shared" si="37"/>
        <v>9939.1774933001961</v>
      </c>
      <c r="AV253" s="78">
        <f>AI253*Valores!$C$61</f>
        <v>1828.521973005898</v>
      </c>
      <c r="AW253" s="78">
        <f>AI253*Valores!$C$62</f>
        <v>514.27180490790875</v>
      </c>
      <c r="AX253" s="78">
        <f>AI253*Valores!$C$64</f>
        <v>114.28262331286862</v>
      </c>
      <c r="AY253" s="78">
        <f>AI253*Valores!$C$65</f>
        <v>399.98918159504018</v>
      </c>
      <c r="AZ253" s="78">
        <f>AI253*Valores!$C$66</f>
        <v>68.569573987721171</v>
      </c>
      <c r="BA253" s="78">
        <f t="shared" si="39"/>
        <v>617.12616588949061</v>
      </c>
      <c r="BB253" s="20"/>
      <c r="BC253" s="20">
        <f t="shared" si="43"/>
        <v>52</v>
      </c>
      <c r="BD253" s="9" t="s">
        <v>467</v>
      </c>
    </row>
    <row r="254" spans="1:56" s="9" customFormat="1" ht="11.25" customHeight="1" x14ac:dyDescent="0.15">
      <c r="A254" s="20">
        <v>253</v>
      </c>
      <c r="B254" s="20"/>
      <c r="C254" s="9" t="s">
        <v>355</v>
      </c>
      <c r="D254" s="9">
        <v>13</v>
      </c>
      <c r="E254" s="10" t="str">
        <f>CONCATENATE("Hora Cátedra Enseñanza Media ",D254," hs Esc Esp")</f>
        <v>Hora Cátedra Enseñanza Media 13 hs Esc Esp</v>
      </c>
      <c r="F254" s="123">
        <f t="shared" si="44"/>
        <v>1027</v>
      </c>
      <c r="G254" s="7">
        <f>INT((F254*Valores!$C$2*100*1.006901)+0.5)/100</f>
        <v>5404.97</v>
      </c>
      <c r="H254" s="132">
        <v>0</v>
      </c>
      <c r="I254" s="77">
        <f>INT((H254*Valores!$C$2*100*1.006901)+0.5)/100</f>
        <v>0</v>
      </c>
      <c r="J254" s="145">
        <v>0</v>
      </c>
      <c r="K254" s="77">
        <f>INT((J254*Valores!$C$2*100*1.006901)+0.5)/100</f>
        <v>0</v>
      </c>
      <c r="L254" s="120">
        <v>0</v>
      </c>
      <c r="M254" s="77">
        <f>INT((L254*Valores!$C$2*100*1.006901)+0.5)/100</f>
        <v>0</v>
      </c>
      <c r="N254" s="77">
        <f t="shared" si="40"/>
        <v>964.03177789799997</v>
      </c>
      <c r="O254" s="77">
        <f t="shared" si="41"/>
        <v>0</v>
      </c>
      <c r="P254" s="61">
        <f>Valores!$C$14*D254</f>
        <v>1568.4094116599999</v>
      </c>
      <c r="Q254" s="61">
        <f>IF(D254&lt;15,(Valores!$E$4*D254),Valores!$D$4)</f>
        <v>2040.22</v>
      </c>
      <c r="R254" s="77">
        <v>0</v>
      </c>
      <c r="S254" s="79">
        <f>Valores!$C$45*D254</f>
        <v>414.15851932000004</v>
      </c>
      <c r="T254" s="61">
        <f>Valores!$C$22*D254</f>
        <v>607.75</v>
      </c>
      <c r="U254" s="77">
        <f t="shared" si="45"/>
        <v>607.75</v>
      </c>
      <c r="V254" s="77">
        <v>0</v>
      </c>
      <c r="W254" s="77">
        <v>0</v>
      </c>
      <c r="X254" s="37">
        <v>0</v>
      </c>
      <c r="Y254" s="77">
        <f>X254*Valores!$C$2*1.006901</f>
        <v>0</v>
      </c>
      <c r="Z254" s="77">
        <v>0</v>
      </c>
      <c r="AA254" s="89">
        <f>(Valores!$C$32)*D254</f>
        <v>68.64</v>
      </c>
      <c r="AB254" s="77">
        <f t="shared" si="34"/>
        <v>0</v>
      </c>
      <c r="AC254" s="77">
        <f>Valores!$C$33*D254</f>
        <v>57.46</v>
      </c>
      <c r="AD254" s="116">
        <v>94</v>
      </c>
      <c r="AE254" s="77">
        <f>AD254*Valores!$C$2*1.006901</f>
        <v>494.70979379919999</v>
      </c>
      <c r="AF254" s="77">
        <f>Valores!$D$51*D254</f>
        <v>235.36924556389738</v>
      </c>
      <c r="AG254" s="77">
        <f>Valores!$D$52*D254</f>
        <v>67.253376844964748</v>
      </c>
      <c r="AH254" s="77">
        <f>SUM(G254,I254,K254,M254,N254,O254,P254,Q254,R254,S254,U254,V254,W254,Y254,Z254,AA254,AB254,AC254,AE254,AF254,AG254)*Valores!$C$54</f>
        <v>0</v>
      </c>
      <c r="AI254" s="139">
        <f t="shared" si="38"/>
        <v>11922.972125086062</v>
      </c>
      <c r="AJ254" s="61">
        <f>Valores!$C$36*D254</f>
        <v>187.23466666666667</v>
      </c>
      <c r="AK254" s="79">
        <f>Valores!$C$11*D254</f>
        <v>111.39345763</v>
      </c>
      <c r="AL254" s="89">
        <v>97.950322378999999</v>
      </c>
      <c r="AM254" s="79">
        <f>IF($G$4="SI",SUM(AK254+AL254),AK254)*Valores!$C$54</f>
        <v>0</v>
      </c>
      <c r="AN254" s="12">
        <f t="shared" si="35"/>
        <v>396.57844667566667</v>
      </c>
      <c r="AO254" s="13">
        <f>AI254*-Valores!$C$56</f>
        <v>-1549.9863762611881</v>
      </c>
      <c r="AP254" s="13">
        <f>AI254*-Valores!$C$57</f>
        <v>-59.61486062543031</v>
      </c>
      <c r="AQ254" s="78">
        <f>AI254*-Valores!$C$58</f>
        <v>-536.53374562887279</v>
      </c>
      <c r="AR254" s="78">
        <f>AI254*-Valores!$C$59</f>
        <v>-321.92024737732373</v>
      </c>
      <c r="AS254" s="78">
        <f>AI254*-Valores!$C$60</f>
        <v>-35.768916375258186</v>
      </c>
      <c r="AT254" s="15">
        <f t="shared" si="36"/>
        <v>10173.415589246239</v>
      </c>
      <c r="AU254" s="15">
        <f t="shared" si="37"/>
        <v>10352.260171122529</v>
      </c>
      <c r="AV254" s="78">
        <f>AI254*Valores!$C$61</f>
        <v>1907.6755400137699</v>
      </c>
      <c r="AW254" s="78">
        <f>AI254*Valores!$C$62</f>
        <v>536.53374562887279</v>
      </c>
      <c r="AX254" s="78">
        <f>AI254*Valores!$C$64</f>
        <v>119.22972125086062</v>
      </c>
      <c r="AY254" s="78">
        <f>AI254*Valores!$C$65</f>
        <v>417.30402437801223</v>
      </c>
      <c r="AZ254" s="78">
        <f>AI254*Valores!$C$66</f>
        <v>71.537832750516372</v>
      </c>
      <c r="BA254" s="78">
        <f t="shared" si="39"/>
        <v>643.84049475464735</v>
      </c>
      <c r="BB254" s="20"/>
      <c r="BC254" s="55">
        <f t="shared" si="43"/>
        <v>52</v>
      </c>
      <c r="BD254" s="9" t="s">
        <v>467</v>
      </c>
    </row>
    <row r="255" spans="1:56" s="9" customFormat="1" ht="11.25" customHeight="1" x14ac:dyDescent="0.15">
      <c r="A255" s="20">
        <v>254</v>
      </c>
      <c r="B255" s="20"/>
      <c r="C255" s="9" t="s">
        <v>355</v>
      </c>
      <c r="D255" s="9">
        <v>14</v>
      </c>
      <c r="E255" s="10" t="str">
        <f>CONCATENATE("Hora Cátedra Enseñanza Media ",D255," hs")</f>
        <v>Hora Cátedra Enseñanza Media 14 hs</v>
      </c>
      <c r="F255" s="123">
        <f t="shared" si="44"/>
        <v>1106</v>
      </c>
      <c r="G255" s="7">
        <f>INT((F255*Valores!$C$2*100*1.006901)+0.5)/100</f>
        <v>5820.73</v>
      </c>
      <c r="H255" s="132">
        <v>0</v>
      </c>
      <c r="I255" s="77">
        <f>INT((H255*Valores!$C$2*100*1.006901)+0.5)/100</f>
        <v>0</v>
      </c>
      <c r="J255" s="145">
        <v>0</v>
      </c>
      <c r="K255" s="77">
        <f>INT((J255*Valores!$C$2*100*1.006901)+0.5)/100</f>
        <v>0</v>
      </c>
      <c r="L255" s="120">
        <v>0</v>
      </c>
      <c r="M255" s="77">
        <f>INT((L255*Valores!$C$2*100*1.006901)+0.5)/100</f>
        <v>0</v>
      </c>
      <c r="N255" s="77">
        <f t="shared" si="40"/>
        <v>1038.1870300439998</v>
      </c>
      <c r="O255" s="77">
        <f t="shared" si="41"/>
        <v>0</v>
      </c>
      <c r="P255" s="61">
        <f>Valores!$C$14*D255</f>
        <v>1689.05628948</v>
      </c>
      <c r="Q255" s="61">
        <f>IF(D255&lt;15,(Valores!$E$4*D255),Valores!$D$4)</f>
        <v>2197.16</v>
      </c>
      <c r="R255" s="77">
        <v>0</v>
      </c>
      <c r="S255" s="79">
        <f>Valores!$C$45*D255</f>
        <v>446.01686696000002</v>
      </c>
      <c r="T255" s="61">
        <f>Valores!$C$22*D255</f>
        <v>654.5</v>
      </c>
      <c r="U255" s="77">
        <f t="shared" si="45"/>
        <v>654.5</v>
      </c>
      <c r="V255" s="77">
        <v>0</v>
      </c>
      <c r="W255" s="77">
        <v>0</v>
      </c>
      <c r="X255" s="37">
        <v>0</v>
      </c>
      <c r="Y255" s="77">
        <f>X255*Valores!$C$2*1.006901</f>
        <v>0</v>
      </c>
      <c r="Z255" s="77">
        <v>0</v>
      </c>
      <c r="AA255" s="89">
        <f>(Valores!$C$32)*D255</f>
        <v>73.92</v>
      </c>
      <c r="AB255" s="77">
        <f t="shared" si="34"/>
        <v>0</v>
      </c>
      <c r="AC255" s="77">
        <f>Valores!$C$33*D255</f>
        <v>61.879999999999995</v>
      </c>
      <c r="AD255" s="116">
        <v>0</v>
      </c>
      <c r="AE255" s="77">
        <f>AD255*Valores!$C$2*1.006901</f>
        <v>0</v>
      </c>
      <c r="AF255" s="77">
        <f>Valores!$D$51*D255</f>
        <v>253.47457214573564</v>
      </c>
      <c r="AG255" s="77">
        <f>Valores!$D$52*D255</f>
        <v>72.426713525346656</v>
      </c>
      <c r="AH255" s="77">
        <f>SUM(G255,I255,K255,M255,N255,O255,P255,Q255,R255,S255,U255,V255,W255,Y255,Z255,AA255,AB255,AC255,AE255,AF255,AG255)*Valores!$C$54</f>
        <v>0</v>
      </c>
      <c r="AI255" s="139">
        <f t="shared" si="38"/>
        <v>12307.35147215508</v>
      </c>
      <c r="AJ255" s="61">
        <f>Valores!$C$36*D255</f>
        <v>201.63733333333334</v>
      </c>
      <c r="AK255" s="79">
        <f>Valores!$C$11*D255</f>
        <v>119.96218514</v>
      </c>
      <c r="AL255" s="89">
        <v>105.49201086900001</v>
      </c>
      <c r="AM255" s="79">
        <f>IF($G$4="SI",SUM(AK255+AL255),AK255)*Valores!$C$54</f>
        <v>0</v>
      </c>
      <c r="AN255" s="12">
        <f t="shared" si="35"/>
        <v>427.09152934233333</v>
      </c>
      <c r="AO255" s="13">
        <f>AI255*-Valores!$C$56</f>
        <v>-1599.9556913801605</v>
      </c>
      <c r="AP255" s="13">
        <f>AI255*-Valores!$C$57</f>
        <v>-61.536757360775404</v>
      </c>
      <c r="AQ255" s="78">
        <f>AI255*-Valores!$C$58</f>
        <v>-553.83081624697854</v>
      </c>
      <c r="AR255" s="78">
        <f>AI255*-Valores!$C$59</f>
        <v>-332.29848974818719</v>
      </c>
      <c r="AS255" s="78">
        <f>AI255*-Valores!$C$60</f>
        <v>-36.922054416465244</v>
      </c>
      <c r="AT255" s="15">
        <f t="shared" si="36"/>
        <v>10519.119736509499</v>
      </c>
      <c r="AU255" s="15">
        <f t="shared" si="37"/>
        <v>10703.730008591825</v>
      </c>
      <c r="AV255" s="78">
        <f>AI255*Valores!$C$61</f>
        <v>1969.1762355448129</v>
      </c>
      <c r="AW255" s="78">
        <f>AI255*Valores!$C$62</f>
        <v>553.83081624697854</v>
      </c>
      <c r="AX255" s="78">
        <f>AI255*Valores!$C$64</f>
        <v>123.07351472155081</v>
      </c>
      <c r="AY255" s="78">
        <f>AI255*Valores!$C$65</f>
        <v>430.75730152542786</v>
      </c>
      <c r="AZ255" s="78">
        <f>AI255*Valores!$C$66</f>
        <v>73.844108832930488</v>
      </c>
      <c r="BA255" s="78">
        <f t="shared" si="39"/>
        <v>664.59697949637439</v>
      </c>
      <c r="BB255" s="20"/>
      <c r="BC255" s="20">
        <f t="shared" si="43"/>
        <v>56</v>
      </c>
      <c r="BD255" s="9" t="s">
        <v>467</v>
      </c>
    </row>
    <row r="256" spans="1:56" s="9" customFormat="1" ht="11.25" customHeight="1" x14ac:dyDescent="0.15">
      <c r="A256" s="55">
        <v>255</v>
      </c>
      <c r="B256" s="55" t="s">
        <v>462</v>
      </c>
      <c r="C256" s="52" t="s">
        <v>355</v>
      </c>
      <c r="D256" s="52">
        <v>14</v>
      </c>
      <c r="E256" s="53" t="str">
        <f>CONCATENATE("Hora Cátedra Enseñanza Media ",D256," hs Esc Esp")</f>
        <v>Hora Cátedra Enseñanza Media 14 hs Esc Esp</v>
      </c>
      <c r="F256" s="124">
        <f t="shared" si="44"/>
        <v>1106</v>
      </c>
      <c r="G256" s="7">
        <f>INT((F256*Valores!$C$2*100*1.006901)+0.5)/100</f>
        <v>5820.73</v>
      </c>
      <c r="H256" s="131">
        <v>0</v>
      </c>
      <c r="I256" s="77">
        <f>INT((H256*Valores!$C$2*100*1.006901)+0.5)/100</f>
        <v>0</v>
      </c>
      <c r="J256" s="146">
        <v>0</v>
      </c>
      <c r="K256" s="77">
        <f>INT((J256*Valores!$C$2*100*1.006901)+0.5)/100</f>
        <v>0</v>
      </c>
      <c r="L256" s="121">
        <v>0</v>
      </c>
      <c r="M256" s="77">
        <f>INT((L256*Valores!$C$2*100*1.006901)+0.5)/100</f>
        <v>0</v>
      </c>
      <c r="N256" s="80">
        <f t="shared" si="40"/>
        <v>1038.1870300439998</v>
      </c>
      <c r="O256" s="80">
        <f t="shared" si="41"/>
        <v>0</v>
      </c>
      <c r="P256" s="85">
        <f>Valores!$C$14*D256</f>
        <v>1689.05628948</v>
      </c>
      <c r="Q256" s="85">
        <f>IF(D256&lt;15,(Valores!$E$4*D256),Valores!$D$4)</f>
        <v>2197.16</v>
      </c>
      <c r="R256" s="80">
        <v>0</v>
      </c>
      <c r="S256" s="82">
        <f>Valores!$C$45*D256</f>
        <v>446.01686696000002</v>
      </c>
      <c r="T256" s="85">
        <f>Valores!$C$22*D256</f>
        <v>654.5</v>
      </c>
      <c r="U256" s="80">
        <f t="shared" si="45"/>
        <v>654.5</v>
      </c>
      <c r="V256" s="80">
        <v>0</v>
      </c>
      <c r="W256" s="80">
        <v>0</v>
      </c>
      <c r="X256" s="60">
        <v>0</v>
      </c>
      <c r="Y256" s="77">
        <f>X256*Valores!$C$2*1.006901</f>
        <v>0</v>
      </c>
      <c r="Z256" s="80">
        <v>0</v>
      </c>
      <c r="AA256" s="90">
        <f>(Valores!$C$32)*D256</f>
        <v>73.92</v>
      </c>
      <c r="AB256" s="80">
        <f t="shared" si="34"/>
        <v>0</v>
      </c>
      <c r="AC256" s="80">
        <f>Valores!$C$33*D256</f>
        <v>61.879999999999995</v>
      </c>
      <c r="AD256" s="115">
        <v>94</v>
      </c>
      <c r="AE256" s="77">
        <f>AD256*Valores!$C$2*1.006901</f>
        <v>494.70979379919999</v>
      </c>
      <c r="AF256" s="80">
        <f>Valores!$D$51*D256</f>
        <v>253.47457214573564</v>
      </c>
      <c r="AG256" s="80">
        <f>Valores!$D$52*D256</f>
        <v>72.426713525346656</v>
      </c>
      <c r="AH256" s="80">
        <f>SUM(G256,I256,K256,M256,N256,O256,P256,Q256,R256,S256,U256,V256,W256,Y256,Z256,AA256,AB256,AC256,AE256,AF256,AG256)*Valores!$C$54</f>
        <v>0</v>
      </c>
      <c r="AI256" s="140">
        <f t="shared" si="38"/>
        <v>12802.06126595428</v>
      </c>
      <c r="AJ256" s="85">
        <f>Valores!$C$36*D256</f>
        <v>201.63733333333334</v>
      </c>
      <c r="AK256" s="82">
        <f>Valores!$C$11*D256</f>
        <v>119.96218514</v>
      </c>
      <c r="AL256" s="90">
        <v>105.49201086900001</v>
      </c>
      <c r="AM256" s="82">
        <f>IF($G$4="SI",SUM(AK256+AL256),AK256)*Valores!$C$54</f>
        <v>0</v>
      </c>
      <c r="AN256" s="184">
        <f t="shared" si="35"/>
        <v>427.09152934233333</v>
      </c>
      <c r="AO256" s="153">
        <f>AI256*-Valores!$C$56</f>
        <v>-1664.2679645740566</v>
      </c>
      <c r="AP256" s="153">
        <f>AI256*-Valores!$C$57</f>
        <v>-64.010306329771396</v>
      </c>
      <c r="AQ256" s="81">
        <f>AI256*-Valores!$C$58</f>
        <v>-576.09275696794259</v>
      </c>
      <c r="AR256" s="81">
        <f>AI256*-Valores!$C$59</f>
        <v>-345.65565418076562</v>
      </c>
      <c r="AS256" s="81">
        <f>AI256*-Valores!$C$60</f>
        <v>-38.406183797862845</v>
      </c>
      <c r="AT256" s="54">
        <f t="shared" si="36"/>
        <v>10924.781767424842</v>
      </c>
      <c r="AU256" s="54">
        <f t="shared" si="37"/>
        <v>11116.812686414156</v>
      </c>
      <c r="AV256" s="81">
        <f>AI256*Valores!$C$61</f>
        <v>2048.3298025526847</v>
      </c>
      <c r="AW256" s="81">
        <f>AI256*Valores!$C$62</f>
        <v>576.09275696794259</v>
      </c>
      <c r="AX256" s="81">
        <f>AI256*Valores!$C$64</f>
        <v>128.02061265954279</v>
      </c>
      <c r="AY256" s="81">
        <f>AI256*Valores!$C$65</f>
        <v>448.07214430839986</v>
      </c>
      <c r="AZ256" s="81">
        <f>AI256*Valores!$C$66</f>
        <v>76.812367595725689</v>
      </c>
      <c r="BA256" s="81">
        <f t="shared" si="39"/>
        <v>691.31130836153113</v>
      </c>
      <c r="BB256" s="55"/>
      <c r="BC256" s="55">
        <f t="shared" si="43"/>
        <v>56</v>
      </c>
      <c r="BD256" s="52" t="s">
        <v>467</v>
      </c>
    </row>
    <row r="257" spans="1:56" s="9" customFormat="1" ht="11.25" customHeight="1" x14ac:dyDescent="0.15">
      <c r="A257" s="20">
        <v>256</v>
      </c>
      <c r="B257" s="20"/>
      <c r="C257" s="9" t="s">
        <v>355</v>
      </c>
      <c r="D257" s="9">
        <v>15</v>
      </c>
      <c r="E257" s="10" t="str">
        <f>CONCATENATE("Hora Cátedra Enseñanza Media ",D257," hs")</f>
        <v>Hora Cátedra Enseñanza Media 15 hs</v>
      </c>
      <c r="F257" s="123">
        <f t="shared" si="44"/>
        <v>1185</v>
      </c>
      <c r="G257" s="7">
        <f>INT((F257*Valores!$C$2*100*1.006901)+0.5)/100</f>
        <v>6236.5</v>
      </c>
      <c r="H257" s="132">
        <v>0</v>
      </c>
      <c r="I257" s="77">
        <f>INT((H257*Valores!$C$2*100*1.006901)+0.5)/100</f>
        <v>0</v>
      </c>
      <c r="J257" s="145">
        <v>0</v>
      </c>
      <c r="K257" s="77">
        <f>INT((J257*Valores!$C$2*100*1.006901)+0.5)/100</f>
        <v>0</v>
      </c>
      <c r="L257" s="120">
        <v>0</v>
      </c>
      <c r="M257" s="77">
        <f>INT((L257*Valores!$C$2*100*1.006901)+0.5)/100</f>
        <v>0</v>
      </c>
      <c r="N257" s="77">
        <f t="shared" si="40"/>
        <v>1112.34378219</v>
      </c>
      <c r="O257" s="77">
        <f t="shared" si="41"/>
        <v>0</v>
      </c>
      <c r="P257" s="61">
        <f>Valores!$C$14*D257</f>
        <v>1809.7031672999999</v>
      </c>
      <c r="Q257" s="61">
        <f>IF(D257&lt;15,(Valores!$E$4*D257),Valores!$D$4)</f>
        <v>2354.08</v>
      </c>
      <c r="R257" s="77">
        <v>0</v>
      </c>
      <c r="S257" s="79">
        <f>Valores!$C$45*D257</f>
        <v>477.87521460000005</v>
      </c>
      <c r="T257" s="61">
        <f>Valores!$C$22*D257</f>
        <v>701.25</v>
      </c>
      <c r="U257" s="77">
        <f t="shared" si="45"/>
        <v>701.25</v>
      </c>
      <c r="V257" s="77">
        <v>0</v>
      </c>
      <c r="W257" s="77">
        <v>0</v>
      </c>
      <c r="X257" s="37">
        <v>0</v>
      </c>
      <c r="Y257" s="77">
        <f>X257*Valores!$C$2*1.006901</f>
        <v>0</v>
      </c>
      <c r="Z257" s="77">
        <v>0</v>
      </c>
      <c r="AA257" s="89">
        <f>(Valores!$C$32)*D257</f>
        <v>79.2</v>
      </c>
      <c r="AB257" s="77">
        <f t="shared" si="34"/>
        <v>0</v>
      </c>
      <c r="AC257" s="77">
        <f>Valores!$C$33*D257</f>
        <v>66.3</v>
      </c>
      <c r="AD257" s="116">
        <v>0</v>
      </c>
      <c r="AE257" s="77">
        <f>AD257*Valores!$C$2*1.006901</f>
        <v>0</v>
      </c>
      <c r="AF257" s="77">
        <f>Valores!$D$51*D257</f>
        <v>271.57989872757389</v>
      </c>
      <c r="AG257" s="77">
        <f>Valores!$D$52*D257</f>
        <v>77.60005020572855</v>
      </c>
      <c r="AH257" s="77">
        <f>SUM(G257,I257,K257,M257,N257,O257,P257,Q257,R257,S257,U257,V257,W257,Y257,Z257,AA257,AB257,AC257,AE257,AF257,AG257)*Valores!$C$54</f>
        <v>0</v>
      </c>
      <c r="AI257" s="139">
        <f t="shared" si="38"/>
        <v>13186.432113023302</v>
      </c>
      <c r="AJ257" s="61">
        <f>Valores!$C$36*D257</f>
        <v>216.04</v>
      </c>
      <c r="AK257" s="79">
        <f>Valores!$C$11*D257</f>
        <v>128.53091265</v>
      </c>
      <c r="AL257" s="89">
        <v>113.019602745</v>
      </c>
      <c r="AM257" s="79">
        <f>IF($G$4="SI",SUM(AK257+AL257),AK257)*Valores!$C$54</f>
        <v>0</v>
      </c>
      <c r="AN257" s="12">
        <f t="shared" si="35"/>
        <v>457.59051539499995</v>
      </c>
      <c r="AO257" s="13">
        <f>AI257*-Valores!$C$56</f>
        <v>-1714.2361746930294</v>
      </c>
      <c r="AP257" s="13">
        <f>AI257*-Valores!$C$57</f>
        <v>-65.932160565116504</v>
      </c>
      <c r="AQ257" s="78">
        <f>AI257*-Valores!$C$58</f>
        <v>-593.38944508604857</v>
      </c>
      <c r="AR257" s="78">
        <f>AI257*-Valores!$C$59</f>
        <v>-356.03366705162921</v>
      </c>
      <c r="AS257" s="78">
        <f>AI257*-Valores!$C$60</f>
        <v>-39.55929633906991</v>
      </c>
      <c r="AT257" s="15">
        <f t="shared" si="36"/>
        <v>11270.464848074109</v>
      </c>
      <c r="AU257" s="15">
        <f t="shared" si="37"/>
        <v>11468.261329769457</v>
      </c>
      <c r="AV257" s="78">
        <f>AI257*Valores!$C$61</f>
        <v>2109.8291380837281</v>
      </c>
      <c r="AW257" s="78">
        <f>AI257*Valores!$C$62</f>
        <v>593.38944508604857</v>
      </c>
      <c r="AX257" s="78">
        <f>AI257*Valores!$C$64</f>
        <v>131.86432113023301</v>
      </c>
      <c r="AY257" s="78">
        <f>AI257*Valores!$C$65</f>
        <v>461.52512395581562</v>
      </c>
      <c r="AZ257" s="78">
        <f>AI257*Valores!$C$66</f>
        <v>79.118592678139819</v>
      </c>
      <c r="BA257" s="78">
        <f t="shared" si="39"/>
        <v>712.0673341032583</v>
      </c>
      <c r="BB257" s="20"/>
      <c r="BC257" s="20">
        <f t="shared" ref="BC257:BC288" si="46">4*D257</f>
        <v>60</v>
      </c>
      <c r="BD257" s="9" t="s">
        <v>467</v>
      </c>
    </row>
    <row r="258" spans="1:56" s="9" customFormat="1" ht="11.25" customHeight="1" x14ac:dyDescent="0.15">
      <c r="A258" s="20">
        <v>257</v>
      </c>
      <c r="B258" s="20"/>
      <c r="C258" s="9" t="s">
        <v>355</v>
      </c>
      <c r="D258" s="9">
        <v>15</v>
      </c>
      <c r="E258" s="10" t="str">
        <f>CONCATENATE("Hora Cátedra Enseñanza Media ",D258," hs Esc Esp")</f>
        <v>Hora Cátedra Enseñanza Media 15 hs Esc Esp</v>
      </c>
      <c r="F258" s="123">
        <f t="shared" si="44"/>
        <v>1185</v>
      </c>
      <c r="G258" s="7">
        <f>INT((F258*Valores!$C$2*100*1.006901)+0.5)/100</f>
        <v>6236.5</v>
      </c>
      <c r="H258" s="132">
        <v>0</v>
      </c>
      <c r="I258" s="77">
        <f>INT((H258*Valores!$C$2*100*1.006901)+0.5)/100</f>
        <v>0</v>
      </c>
      <c r="J258" s="145">
        <v>0</v>
      </c>
      <c r="K258" s="77">
        <f>INT((J258*Valores!$C$2*100*1.006901)+0.5)/100</f>
        <v>0</v>
      </c>
      <c r="L258" s="120">
        <v>0</v>
      </c>
      <c r="M258" s="77">
        <f>INT((L258*Valores!$C$2*100*1.006901)+0.5)/100</f>
        <v>0</v>
      </c>
      <c r="N258" s="77">
        <f t="shared" si="40"/>
        <v>1112.34378219</v>
      </c>
      <c r="O258" s="77">
        <f t="shared" si="41"/>
        <v>0</v>
      </c>
      <c r="P258" s="61">
        <f>Valores!$C$14*D258</f>
        <v>1809.7031672999999</v>
      </c>
      <c r="Q258" s="61">
        <f>IF(D258&lt;15,(Valores!$E$4*D258),Valores!$D$4)</f>
        <v>2354.08</v>
      </c>
      <c r="R258" s="77">
        <v>0</v>
      </c>
      <c r="S258" s="79">
        <f>Valores!$C$45*D258</f>
        <v>477.87521460000005</v>
      </c>
      <c r="T258" s="61">
        <f>Valores!$C$22*D258</f>
        <v>701.25</v>
      </c>
      <c r="U258" s="77">
        <f t="shared" si="45"/>
        <v>701.25</v>
      </c>
      <c r="V258" s="77">
        <v>0</v>
      </c>
      <c r="W258" s="77">
        <v>0</v>
      </c>
      <c r="X258" s="37">
        <v>0</v>
      </c>
      <c r="Y258" s="77">
        <f>X258*Valores!$C$2*1.006901</f>
        <v>0</v>
      </c>
      <c r="Z258" s="77">
        <v>0</v>
      </c>
      <c r="AA258" s="89">
        <f>(Valores!$C$32)*D258</f>
        <v>79.2</v>
      </c>
      <c r="AB258" s="77">
        <f t="shared" si="34"/>
        <v>0</v>
      </c>
      <c r="AC258" s="77">
        <f>Valores!$C$33*D258</f>
        <v>66.3</v>
      </c>
      <c r="AD258" s="116">
        <v>94</v>
      </c>
      <c r="AE258" s="77">
        <f>AD258*Valores!$C$2*1.006901</f>
        <v>494.70979379919999</v>
      </c>
      <c r="AF258" s="77">
        <f>Valores!$D$51*D258</f>
        <v>271.57989872757389</v>
      </c>
      <c r="AG258" s="77">
        <f>Valores!$D$52*D258</f>
        <v>77.60005020572855</v>
      </c>
      <c r="AH258" s="77">
        <f>SUM(G258,I258,K258,M258,N258,O258,P258,Q258,R258,S258,U258,V258,W258,Y258,Z258,AA258,AB258,AC258,AE258,AF258,AG258)*Valores!$C$54</f>
        <v>0</v>
      </c>
      <c r="AI258" s="139">
        <f t="shared" si="38"/>
        <v>13681.141906822502</v>
      </c>
      <c r="AJ258" s="61">
        <f>Valores!$C$36*D258</f>
        <v>216.04</v>
      </c>
      <c r="AK258" s="79">
        <f>Valores!$C$11*D258</f>
        <v>128.53091265</v>
      </c>
      <c r="AL258" s="89">
        <v>113.019602745</v>
      </c>
      <c r="AM258" s="79">
        <f>IF($G$4="SI",SUM(AK258+AL258),AK258)*Valores!$C$54</f>
        <v>0</v>
      </c>
      <c r="AN258" s="12">
        <f t="shared" si="35"/>
        <v>457.59051539499995</v>
      </c>
      <c r="AO258" s="13">
        <f>AI258*-Valores!$C$56</f>
        <v>-1778.5484478869253</v>
      </c>
      <c r="AP258" s="13">
        <f>AI258*-Valores!$C$57</f>
        <v>-68.405709534112518</v>
      </c>
      <c r="AQ258" s="78">
        <f>AI258*-Valores!$C$58</f>
        <v>-615.65138580701262</v>
      </c>
      <c r="AR258" s="78">
        <f>AI258*-Valores!$C$59</f>
        <v>-369.39083148420758</v>
      </c>
      <c r="AS258" s="78">
        <f>AI258*-Valores!$C$60</f>
        <v>-41.043425720467511</v>
      </c>
      <c r="AT258" s="15">
        <f t="shared" si="36"/>
        <v>11676.126878989453</v>
      </c>
      <c r="AU258" s="15">
        <f t="shared" si="37"/>
        <v>11881.34400759179</v>
      </c>
      <c r="AV258" s="78">
        <f>AI258*Valores!$C$61</f>
        <v>2188.9827050916006</v>
      </c>
      <c r="AW258" s="78">
        <f>AI258*Valores!$C$62</f>
        <v>615.65138580701262</v>
      </c>
      <c r="AX258" s="78">
        <f>AI258*Valores!$C$64</f>
        <v>136.81141906822504</v>
      </c>
      <c r="AY258" s="78">
        <f>AI258*Valores!$C$65</f>
        <v>478.83996673878761</v>
      </c>
      <c r="AZ258" s="78">
        <f>AI258*Valores!$C$66</f>
        <v>82.086851440935021</v>
      </c>
      <c r="BA258" s="78">
        <f t="shared" si="39"/>
        <v>738.78166296841516</v>
      </c>
      <c r="BB258" s="20"/>
      <c r="BC258" s="20">
        <f t="shared" si="46"/>
        <v>60</v>
      </c>
      <c r="BD258" s="9" t="s">
        <v>467</v>
      </c>
    </row>
    <row r="259" spans="1:56" s="9" customFormat="1" ht="11.25" customHeight="1" x14ac:dyDescent="0.15">
      <c r="A259" s="20">
        <v>258</v>
      </c>
      <c r="B259" s="20"/>
      <c r="C259" s="9" t="s">
        <v>355</v>
      </c>
      <c r="D259" s="9">
        <v>16</v>
      </c>
      <c r="E259" s="10" t="str">
        <f>CONCATENATE("Hora Cátedra Enseñanza Media ",D259," hs")</f>
        <v>Hora Cátedra Enseñanza Media 16 hs</v>
      </c>
      <c r="F259" s="123">
        <f t="shared" si="44"/>
        <v>1264</v>
      </c>
      <c r="G259" s="7">
        <f>INT((F259*Valores!$C$2*100*1.006901)+0.5)/100</f>
        <v>6652.27</v>
      </c>
      <c r="H259" s="132">
        <v>0</v>
      </c>
      <c r="I259" s="77">
        <f>INT((H259*Valores!$C$2*100*1.006901)+0.5)/100</f>
        <v>0</v>
      </c>
      <c r="J259" s="145">
        <v>0</v>
      </c>
      <c r="K259" s="77">
        <f>INT((J259*Valores!$C$2*100*1.006901)+0.5)/100</f>
        <v>0</v>
      </c>
      <c r="L259" s="120">
        <v>0</v>
      </c>
      <c r="M259" s="77">
        <f>INT((L259*Valores!$C$2*100*1.006901)+0.5)/100</f>
        <v>0</v>
      </c>
      <c r="N259" s="77">
        <f t="shared" si="40"/>
        <v>1186.5005343359999</v>
      </c>
      <c r="O259" s="77">
        <f t="shared" si="41"/>
        <v>0</v>
      </c>
      <c r="P259" s="61">
        <f>Valores!$C$14*D259</f>
        <v>1930.35004512</v>
      </c>
      <c r="Q259" s="61">
        <f>IF(D259&lt;15,(Valores!$E$4*D259),Valores!$D$4)</f>
        <v>2354.08</v>
      </c>
      <c r="R259" s="77">
        <v>0</v>
      </c>
      <c r="S259" s="79">
        <f>Valores!$C$45*D259</f>
        <v>509.73356224000003</v>
      </c>
      <c r="T259" s="61">
        <f>Valores!$C$22*D259</f>
        <v>748</v>
      </c>
      <c r="U259" s="77">
        <f t="shared" si="45"/>
        <v>748</v>
      </c>
      <c r="V259" s="77">
        <v>0</v>
      </c>
      <c r="W259" s="77">
        <v>0</v>
      </c>
      <c r="X259" s="37">
        <v>0</v>
      </c>
      <c r="Y259" s="77">
        <f>X259*Valores!$C$2*1.006901</f>
        <v>0</v>
      </c>
      <c r="Z259" s="77">
        <v>0</v>
      </c>
      <c r="AA259" s="89">
        <f>(Valores!$C$32)*D259</f>
        <v>84.48</v>
      </c>
      <c r="AB259" s="77">
        <f t="shared" si="34"/>
        <v>0</v>
      </c>
      <c r="AC259" s="77">
        <f>Valores!$C$33*D259</f>
        <v>70.72</v>
      </c>
      <c r="AD259" s="116">
        <v>0</v>
      </c>
      <c r="AE259" s="77">
        <f>AD259*Valores!$C$2*1.006901</f>
        <v>0</v>
      </c>
      <c r="AF259" s="77">
        <f>Valores!$D$51*D259</f>
        <v>289.68522530941215</v>
      </c>
      <c r="AG259" s="77">
        <f>Valores!$D$52*D259</f>
        <v>82.773386886110458</v>
      </c>
      <c r="AH259" s="77">
        <f>SUM(G259,I259,K259,M259,N259,O259,P259,Q259,R259,S259,U259,V259,W259,Y259,Z259,AA259,AB259,AC259,AE259,AF259,AG259)*Valores!$C$54</f>
        <v>0</v>
      </c>
      <c r="AI259" s="139">
        <f t="shared" si="38"/>
        <v>13908.592753891524</v>
      </c>
      <c r="AJ259" s="61">
        <f>Valores!$C$36*D259</f>
        <v>230.44266666666667</v>
      </c>
      <c r="AK259" s="79">
        <f>Valores!$C$11*D259</f>
        <v>137.09964016000001</v>
      </c>
      <c r="AL259" s="89">
        <v>120.55424292799999</v>
      </c>
      <c r="AM259" s="79">
        <f>IF($G$4="SI",SUM(AK259+AL259),AK259)*Valores!$C$54</f>
        <v>0</v>
      </c>
      <c r="AN259" s="12">
        <f t="shared" si="35"/>
        <v>488.09654975466668</v>
      </c>
      <c r="AO259" s="13">
        <f>AI259*-Valores!$C$56</f>
        <v>-1808.1170580058981</v>
      </c>
      <c r="AP259" s="13">
        <f>AI259*-Valores!$C$57</f>
        <v>-69.542963769457614</v>
      </c>
      <c r="AQ259" s="78">
        <f>AI259*-Valores!$C$58</f>
        <v>-625.88667392511854</v>
      </c>
      <c r="AR259" s="78">
        <f>AI259*-Valores!$C$59</f>
        <v>-375.53200435507119</v>
      </c>
      <c r="AS259" s="78">
        <f>AI259*-Valores!$C$60</f>
        <v>-41.72577826167457</v>
      </c>
      <c r="AT259" s="15">
        <f t="shared" si="36"/>
        <v>11893.142607945714</v>
      </c>
      <c r="AU259" s="15">
        <f t="shared" si="37"/>
        <v>12101.771499254088</v>
      </c>
      <c r="AV259" s="78">
        <f>AI259*Valores!$C$61</f>
        <v>2225.3748406226437</v>
      </c>
      <c r="AW259" s="78">
        <f>AI259*Valores!$C$62</f>
        <v>625.88667392511854</v>
      </c>
      <c r="AX259" s="78">
        <f>AI259*Valores!$C$64</f>
        <v>139.08592753891523</v>
      </c>
      <c r="AY259" s="78">
        <f>AI259*Valores!$C$65</f>
        <v>486.8007463862034</v>
      </c>
      <c r="AZ259" s="78">
        <f>AI259*Valores!$C$66</f>
        <v>83.45155652334914</v>
      </c>
      <c r="BA259" s="78">
        <f t="shared" si="39"/>
        <v>751.06400871014239</v>
      </c>
      <c r="BB259" s="20"/>
      <c r="BC259" s="55">
        <f t="shared" si="46"/>
        <v>64</v>
      </c>
      <c r="BD259" s="9" t="s">
        <v>467</v>
      </c>
    </row>
    <row r="260" spans="1:56" s="9" customFormat="1" ht="11.25" customHeight="1" x14ac:dyDescent="0.15">
      <c r="A260" s="20">
        <v>259</v>
      </c>
      <c r="B260" s="20"/>
      <c r="C260" s="9" t="s">
        <v>355</v>
      </c>
      <c r="D260" s="9">
        <v>16</v>
      </c>
      <c r="E260" s="10" t="str">
        <f>CONCATENATE("Hora Cátedra Enseñanza Media ",D260," hs Esc Esp")</f>
        <v>Hora Cátedra Enseñanza Media 16 hs Esc Esp</v>
      </c>
      <c r="F260" s="123">
        <f t="shared" si="44"/>
        <v>1264</v>
      </c>
      <c r="G260" s="7">
        <f>INT((F260*Valores!$C$2*100*1.006901)+0.5)/100</f>
        <v>6652.27</v>
      </c>
      <c r="H260" s="132">
        <v>0</v>
      </c>
      <c r="I260" s="77">
        <f>INT((H260*Valores!$C$2*100*1.006901)+0.5)/100</f>
        <v>0</v>
      </c>
      <c r="J260" s="145">
        <v>0</v>
      </c>
      <c r="K260" s="77">
        <f>INT((J260*Valores!$C$2*100*1.006901)+0.5)/100</f>
        <v>0</v>
      </c>
      <c r="L260" s="120">
        <v>0</v>
      </c>
      <c r="M260" s="77">
        <f>INT((L260*Valores!$C$2*100*1.006901)+0.5)/100</f>
        <v>0</v>
      </c>
      <c r="N260" s="77">
        <f t="shared" si="40"/>
        <v>1186.5005343359999</v>
      </c>
      <c r="O260" s="77">
        <f t="shared" si="41"/>
        <v>0</v>
      </c>
      <c r="P260" s="61">
        <f>Valores!$C$14*D260</f>
        <v>1930.35004512</v>
      </c>
      <c r="Q260" s="61">
        <f>IF(D260&lt;15,(Valores!$E$4*D260),Valores!$D$4)</f>
        <v>2354.08</v>
      </c>
      <c r="R260" s="77">
        <v>0</v>
      </c>
      <c r="S260" s="79">
        <f>Valores!$C$45*D260</f>
        <v>509.73356224000003</v>
      </c>
      <c r="T260" s="61">
        <f>Valores!$C$22*D260</f>
        <v>748</v>
      </c>
      <c r="U260" s="77">
        <f t="shared" si="45"/>
        <v>748</v>
      </c>
      <c r="V260" s="77">
        <v>0</v>
      </c>
      <c r="W260" s="77">
        <v>0</v>
      </c>
      <c r="X260" s="37">
        <v>0</v>
      </c>
      <c r="Y260" s="77">
        <f>X260*Valores!$C$2*1.006901</f>
        <v>0</v>
      </c>
      <c r="Z260" s="77">
        <v>0</v>
      </c>
      <c r="AA260" s="89">
        <f>(Valores!$C$32)*D260</f>
        <v>84.48</v>
      </c>
      <c r="AB260" s="77">
        <f t="shared" si="34"/>
        <v>0</v>
      </c>
      <c r="AC260" s="77">
        <f>Valores!$C$33*D260</f>
        <v>70.72</v>
      </c>
      <c r="AD260" s="116">
        <v>94</v>
      </c>
      <c r="AE260" s="77">
        <f>AD260*Valores!$C$2*1.006901</f>
        <v>494.70979379919999</v>
      </c>
      <c r="AF260" s="77">
        <f>Valores!$D$51*D260</f>
        <v>289.68522530941215</v>
      </c>
      <c r="AG260" s="77">
        <f>Valores!$D$52*D260</f>
        <v>82.773386886110458</v>
      </c>
      <c r="AH260" s="77">
        <f>SUM(G260,I260,K260,M260,N260,O260,P260,Q260,R260,S260,U260,V260,W260,Y260,Z260,AA260,AB260,AC260,AE260,AF260,AG260)*Valores!$C$54</f>
        <v>0</v>
      </c>
      <c r="AI260" s="139">
        <f t="shared" si="38"/>
        <v>14403.302547690724</v>
      </c>
      <c r="AJ260" s="61">
        <f>Valores!$C$36*D260</f>
        <v>230.44266666666667</v>
      </c>
      <c r="AK260" s="79">
        <f>Valores!$C$11*D260</f>
        <v>137.09964016000001</v>
      </c>
      <c r="AL260" s="89">
        <v>120.55424292799999</v>
      </c>
      <c r="AM260" s="79">
        <f>IF($G$4="SI",SUM(AK260+AL260),AK260)*Valores!$C$54</f>
        <v>0</v>
      </c>
      <c r="AN260" s="12">
        <f t="shared" si="35"/>
        <v>488.09654975466668</v>
      </c>
      <c r="AO260" s="13">
        <f>AI260*-Valores!$C$56</f>
        <v>-1872.4293311997942</v>
      </c>
      <c r="AP260" s="13">
        <f>AI260*-Valores!$C$57</f>
        <v>-72.016512738453628</v>
      </c>
      <c r="AQ260" s="78">
        <f>AI260*-Valores!$C$58</f>
        <v>-648.14861464608259</v>
      </c>
      <c r="AR260" s="78">
        <f>AI260*-Valores!$C$59</f>
        <v>-388.88916878764962</v>
      </c>
      <c r="AS260" s="78">
        <f>AI260*-Valores!$C$60</f>
        <v>-43.209907643072171</v>
      </c>
      <c r="AT260" s="15">
        <f t="shared" si="36"/>
        <v>12298.80463886106</v>
      </c>
      <c r="AU260" s="15">
        <f t="shared" si="37"/>
        <v>12514.854177076422</v>
      </c>
      <c r="AV260" s="78">
        <f>AI260*Valores!$C$61</f>
        <v>2304.5284076305161</v>
      </c>
      <c r="AW260" s="78">
        <f>AI260*Valores!$C$62</f>
        <v>648.14861464608259</v>
      </c>
      <c r="AX260" s="78">
        <f>AI260*Valores!$C$64</f>
        <v>144.03302547690726</v>
      </c>
      <c r="AY260" s="78">
        <f>AI260*Valores!$C$65</f>
        <v>504.11558916917539</v>
      </c>
      <c r="AZ260" s="78">
        <f>AI260*Valores!$C$66</f>
        <v>86.419815286144342</v>
      </c>
      <c r="BA260" s="78">
        <f t="shared" si="39"/>
        <v>777.77833757529925</v>
      </c>
      <c r="BB260" s="20"/>
      <c r="BC260" s="20">
        <f t="shared" si="46"/>
        <v>64</v>
      </c>
      <c r="BD260" s="9" t="s">
        <v>467</v>
      </c>
    </row>
    <row r="261" spans="1:56" s="9" customFormat="1" ht="11.25" customHeight="1" x14ac:dyDescent="0.15">
      <c r="A261" s="55">
        <v>260</v>
      </c>
      <c r="B261" s="55" t="s">
        <v>462</v>
      </c>
      <c r="C261" s="52" t="s">
        <v>355</v>
      </c>
      <c r="D261" s="52">
        <v>17</v>
      </c>
      <c r="E261" s="53" t="str">
        <f>CONCATENATE("Hora Cátedra Enseñanza Media ",D261," hs")</f>
        <v>Hora Cátedra Enseñanza Media 17 hs</v>
      </c>
      <c r="F261" s="124">
        <f t="shared" ref="F261:F292" si="47">79*D261</f>
        <v>1343</v>
      </c>
      <c r="G261" s="7">
        <f>INT((F261*Valores!$C$2*100*1.006901)+0.5)/100</f>
        <v>7068.03</v>
      </c>
      <c r="H261" s="131">
        <v>0</v>
      </c>
      <c r="I261" s="77">
        <f>INT((H261*Valores!$C$2*100*1.006901)+0.5)/100</f>
        <v>0</v>
      </c>
      <c r="J261" s="146">
        <v>0</v>
      </c>
      <c r="K261" s="77">
        <f>INT((J261*Valores!$C$2*100*1.006901)+0.5)/100</f>
        <v>0</v>
      </c>
      <c r="L261" s="121">
        <v>0</v>
      </c>
      <c r="M261" s="77">
        <f>INT((L261*Valores!$C$2*100*1.006901)+0.5)/100</f>
        <v>0</v>
      </c>
      <c r="N261" s="80">
        <f t="shared" si="40"/>
        <v>1260.6557864819999</v>
      </c>
      <c r="O261" s="80">
        <f t="shared" si="41"/>
        <v>0</v>
      </c>
      <c r="P261" s="85">
        <f>Valores!$C$14*D261</f>
        <v>2050.9969229399999</v>
      </c>
      <c r="Q261" s="85">
        <f>IF(D261&lt;15,(Valores!$E$4*D261),Valores!$D$4)</f>
        <v>2354.08</v>
      </c>
      <c r="R261" s="80">
        <v>0</v>
      </c>
      <c r="S261" s="82">
        <f>Valores!$C$45*D261</f>
        <v>541.59190988</v>
      </c>
      <c r="T261" s="85">
        <f>Valores!$C$22*D261</f>
        <v>794.75</v>
      </c>
      <c r="U261" s="80">
        <f t="shared" si="45"/>
        <v>794.75</v>
      </c>
      <c r="V261" s="80">
        <v>0</v>
      </c>
      <c r="W261" s="80">
        <v>0</v>
      </c>
      <c r="X261" s="60">
        <v>0</v>
      </c>
      <c r="Y261" s="77">
        <f>X261*Valores!$C$2*1.006901</f>
        <v>0</v>
      </c>
      <c r="Z261" s="80">
        <v>0</v>
      </c>
      <c r="AA261" s="90">
        <f>(Valores!$C$32)*D261</f>
        <v>89.76</v>
      </c>
      <c r="AB261" s="80">
        <f t="shared" si="34"/>
        <v>0</v>
      </c>
      <c r="AC261" s="80">
        <f>Valores!$C$33*D261</f>
        <v>75.14</v>
      </c>
      <c r="AD261" s="115">
        <v>0</v>
      </c>
      <c r="AE261" s="77">
        <f>AD261*Valores!$C$2*1.006901</f>
        <v>0</v>
      </c>
      <c r="AF261" s="80">
        <f>Valores!$D$51*D261</f>
        <v>307.7905518912504</v>
      </c>
      <c r="AG261" s="80">
        <f>Valores!$D$52*D261</f>
        <v>87.946723566492366</v>
      </c>
      <c r="AH261" s="80">
        <f>SUM(G261,I261,K261,M261,N261,O261,P261,Q261,R261,S261,U261,V261,W261,Y261,Z261,AA261,AB261,AC261,AE261,AF261,AG261)*Valores!$C$54</f>
        <v>0</v>
      </c>
      <c r="AI261" s="140">
        <f t="shared" si="38"/>
        <v>14630.741894759742</v>
      </c>
      <c r="AJ261" s="85">
        <f>Valores!$C$36*D261</f>
        <v>244.84533333333334</v>
      </c>
      <c r="AK261" s="82">
        <f>Valores!$C$11*D261</f>
        <v>145.66836767000001</v>
      </c>
      <c r="AL261" s="90">
        <v>128.088883111</v>
      </c>
      <c r="AM261" s="82">
        <f>IF($G$4="SI",SUM(AK261+AL261),AK261)*Valores!$C$54</f>
        <v>0</v>
      </c>
      <c r="AN261" s="184">
        <f t="shared" si="35"/>
        <v>518.60258411433335</v>
      </c>
      <c r="AO261" s="153">
        <f>AI261*-Valores!$C$56</f>
        <v>-1901.9964463187664</v>
      </c>
      <c r="AP261" s="153">
        <f>AI261*-Valores!$C$57</f>
        <v>-73.153709473798713</v>
      </c>
      <c r="AQ261" s="81">
        <f>AI261*-Valores!$C$58</f>
        <v>-658.38338526418841</v>
      </c>
      <c r="AR261" s="81">
        <f>AI261*-Valores!$C$59</f>
        <v>-395.03003115851305</v>
      </c>
      <c r="AS261" s="81">
        <f>AI261*-Valores!$C$60</f>
        <v>-43.892225684279225</v>
      </c>
      <c r="AT261" s="54">
        <f t="shared" si="36"/>
        <v>12515.810937817319</v>
      </c>
      <c r="AU261" s="54">
        <f t="shared" si="37"/>
        <v>12735.272066238716</v>
      </c>
      <c r="AV261" s="81">
        <f>AI261*Valores!$C$61</f>
        <v>2340.9187031615588</v>
      </c>
      <c r="AW261" s="81">
        <f>AI261*Valores!$C$62</f>
        <v>658.38338526418841</v>
      </c>
      <c r="AX261" s="81">
        <f>AI261*Valores!$C$64</f>
        <v>146.30741894759743</v>
      </c>
      <c r="AY261" s="81">
        <f>AI261*Valores!$C$65</f>
        <v>512.07596631659101</v>
      </c>
      <c r="AZ261" s="81">
        <f>AI261*Valores!$C$66</f>
        <v>87.78445136855845</v>
      </c>
      <c r="BA261" s="81">
        <f t="shared" si="39"/>
        <v>790.06006231702622</v>
      </c>
      <c r="BB261" s="55"/>
      <c r="BC261" s="55">
        <f t="shared" si="46"/>
        <v>68</v>
      </c>
      <c r="BD261" s="52" t="s">
        <v>467</v>
      </c>
    </row>
    <row r="262" spans="1:56" s="9" customFormat="1" ht="11.25" customHeight="1" x14ac:dyDescent="0.15">
      <c r="A262" s="20">
        <v>261</v>
      </c>
      <c r="B262" s="20"/>
      <c r="C262" s="9" t="s">
        <v>355</v>
      </c>
      <c r="D262" s="9">
        <v>17</v>
      </c>
      <c r="E262" s="10" t="str">
        <f>CONCATENATE("Hora Cátedra Enseñanza Media ",D262," hs Esc Esp")</f>
        <v>Hora Cátedra Enseñanza Media 17 hs Esc Esp</v>
      </c>
      <c r="F262" s="123">
        <f t="shared" si="47"/>
        <v>1343</v>
      </c>
      <c r="G262" s="7">
        <f>INT((F262*Valores!$C$2*100*1.006901)+0.5)/100</f>
        <v>7068.03</v>
      </c>
      <c r="H262" s="132">
        <v>0</v>
      </c>
      <c r="I262" s="77">
        <f>INT((H262*Valores!$C$2*100*1.006901)+0.5)/100</f>
        <v>0</v>
      </c>
      <c r="J262" s="145">
        <v>0</v>
      </c>
      <c r="K262" s="77">
        <f>INT((J262*Valores!$C$2*100*1.006901)+0.5)/100</f>
        <v>0</v>
      </c>
      <c r="L262" s="120">
        <v>0</v>
      </c>
      <c r="M262" s="77">
        <f>INT((L262*Valores!$C$2*100*1.006901)+0.5)/100</f>
        <v>0</v>
      </c>
      <c r="N262" s="77">
        <f t="shared" si="40"/>
        <v>1260.6557864819999</v>
      </c>
      <c r="O262" s="77">
        <f t="shared" si="41"/>
        <v>0</v>
      </c>
      <c r="P262" s="61">
        <f>Valores!$C$14*D262</f>
        <v>2050.9969229399999</v>
      </c>
      <c r="Q262" s="61">
        <f>IF(D262&lt;15,(Valores!$E$4*D262),Valores!$D$4)</f>
        <v>2354.08</v>
      </c>
      <c r="R262" s="77">
        <v>0</v>
      </c>
      <c r="S262" s="79">
        <f>Valores!$C$45*D262</f>
        <v>541.59190988</v>
      </c>
      <c r="T262" s="61">
        <f>Valores!$C$22*D262</f>
        <v>794.75</v>
      </c>
      <c r="U262" s="77">
        <f t="shared" si="45"/>
        <v>794.75</v>
      </c>
      <c r="V262" s="77">
        <v>0</v>
      </c>
      <c r="W262" s="77">
        <v>0</v>
      </c>
      <c r="X262" s="37">
        <v>0</v>
      </c>
      <c r="Y262" s="77">
        <f>X262*Valores!$C$2*1.006901</f>
        <v>0</v>
      </c>
      <c r="Z262" s="77">
        <v>0</v>
      </c>
      <c r="AA262" s="89">
        <f>(Valores!$C$32)*D262</f>
        <v>89.76</v>
      </c>
      <c r="AB262" s="77">
        <f t="shared" si="34"/>
        <v>0</v>
      </c>
      <c r="AC262" s="77">
        <f>Valores!$C$33*D262</f>
        <v>75.14</v>
      </c>
      <c r="AD262" s="116">
        <v>94</v>
      </c>
      <c r="AE262" s="77">
        <f>AD262*Valores!$C$2*1.006901</f>
        <v>494.70979379919999</v>
      </c>
      <c r="AF262" s="77">
        <f>Valores!$D$51*D262</f>
        <v>307.7905518912504</v>
      </c>
      <c r="AG262" s="77">
        <f>Valores!$D$52*D262</f>
        <v>87.946723566492366</v>
      </c>
      <c r="AH262" s="77">
        <f>SUM(G262,I262,K262,M262,N262,O262,P262,Q262,R262,S262,U262,V262,W262,Y262,Z262,AA262,AB262,AC262,AE262,AF262,AG262)*Valores!$C$54</f>
        <v>0</v>
      </c>
      <c r="AI262" s="139">
        <f t="shared" si="38"/>
        <v>15125.451688558942</v>
      </c>
      <c r="AJ262" s="61">
        <f>Valores!$C$36*D262</f>
        <v>244.84533333333334</v>
      </c>
      <c r="AK262" s="79">
        <f>Valores!$C$11*D262</f>
        <v>145.66836767000001</v>
      </c>
      <c r="AL262" s="89">
        <v>128.088883111</v>
      </c>
      <c r="AM262" s="79">
        <f>IF($G$4="SI",SUM(AK262+AL262),AK262)*Valores!$C$54</f>
        <v>0</v>
      </c>
      <c r="AN262" s="12">
        <f t="shared" si="35"/>
        <v>518.60258411433335</v>
      </c>
      <c r="AO262" s="13">
        <f>AI262*-Valores!$C$56</f>
        <v>-1966.3087195126625</v>
      </c>
      <c r="AP262" s="13">
        <f>AI262*-Valores!$C$57</f>
        <v>-75.627258442794712</v>
      </c>
      <c r="AQ262" s="78">
        <f>AI262*-Valores!$C$58</f>
        <v>-680.64532598515234</v>
      </c>
      <c r="AR262" s="78">
        <f>AI262*-Valores!$C$59</f>
        <v>-408.38719559109148</v>
      </c>
      <c r="AS262" s="78">
        <f>AI262*-Valores!$C$60</f>
        <v>-45.376355065676826</v>
      </c>
      <c r="AT262" s="15">
        <f t="shared" si="36"/>
        <v>12921.472968732664</v>
      </c>
      <c r="AU262" s="15">
        <f t="shared" si="37"/>
        <v>13148.354744061049</v>
      </c>
      <c r="AV262" s="78">
        <f>AI262*Valores!$C$61</f>
        <v>2420.0722701694308</v>
      </c>
      <c r="AW262" s="78">
        <f>AI262*Valores!$C$62</f>
        <v>680.64532598515234</v>
      </c>
      <c r="AX262" s="78">
        <f>AI262*Valores!$C$64</f>
        <v>151.25451688558942</v>
      </c>
      <c r="AY262" s="78">
        <f>AI262*Valores!$C$65</f>
        <v>529.39080909956306</v>
      </c>
      <c r="AZ262" s="78">
        <f>AI262*Valores!$C$66</f>
        <v>90.752710131353652</v>
      </c>
      <c r="BA262" s="78">
        <f t="shared" si="39"/>
        <v>816.77439118218285</v>
      </c>
      <c r="BB262" s="20"/>
      <c r="BC262" s="20">
        <f t="shared" si="46"/>
        <v>68</v>
      </c>
      <c r="BD262" s="9" t="s">
        <v>467</v>
      </c>
    </row>
    <row r="263" spans="1:56" s="9" customFormat="1" ht="11.25" customHeight="1" x14ac:dyDescent="0.15">
      <c r="A263" s="20">
        <v>262</v>
      </c>
      <c r="B263" s="20"/>
      <c r="C263" s="9" t="s">
        <v>355</v>
      </c>
      <c r="D263" s="9">
        <v>18</v>
      </c>
      <c r="E263" s="10" t="str">
        <f>CONCATENATE("Hora Cátedra Enseñanza Media ",D263," hs")</f>
        <v>Hora Cátedra Enseñanza Media 18 hs</v>
      </c>
      <c r="F263" s="123">
        <f t="shared" si="47"/>
        <v>1422</v>
      </c>
      <c r="G263" s="7">
        <f>INT((F263*Valores!$C$2*100*1.006901)+0.5)/100</f>
        <v>7483.8</v>
      </c>
      <c r="H263" s="132">
        <v>0</v>
      </c>
      <c r="I263" s="77">
        <f>INT((H263*Valores!$C$2*100*1.006901)+0.5)/100</f>
        <v>0</v>
      </c>
      <c r="J263" s="145">
        <v>0</v>
      </c>
      <c r="K263" s="77">
        <f>INT((J263*Valores!$C$2*100*1.006901)+0.5)/100</f>
        <v>0</v>
      </c>
      <c r="L263" s="120">
        <v>0</v>
      </c>
      <c r="M263" s="77">
        <f>INT((L263*Valores!$C$2*100*1.006901)+0.5)/100</f>
        <v>0</v>
      </c>
      <c r="N263" s="77">
        <f t="shared" si="40"/>
        <v>1334.8125386279999</v>
      </c>
      <c r="O263" s="77">
        <f t="shared" si="41"/>
        <v>0</v>
      </c>
      <c r="P263" s="61">
        <f>Valores!$C$14*D263</f>
        <v>2171.64380076</v>
      </c>
      <c r="Q263" s="61">
        <f>IF(D263&lt;15,(Valores!$E$4*D263),Valores!$D$4)</f>
        <v>2354.08</v>
      </c>
      <c r="R263" s="77">
        <v>0</v>
      </c>
      <c r="S263" s="79">
        <f>Valores!$C$45*D263</f>
        <v>573.45025752000004</v>
      </c>
      <c r="T263" s="61">
        <f>Valores!$C$22*D263</f>
        <v>841.5</v>
      </c>
      <c r="U263" s="77">
        <f t="shared" si="45"/>
        <v>841.5</v>
      </c>
      <c r="V263" s="77">
        <v>0</v>
      </c>
      <c r="W263" s="77">
        <v>0</v>
      </c>
      <c r="X263" s="37">
        <v>0</v>
      </c>
      <c r="Y263" s="77">
        <f>X263*Valores!$C$2*1.006901</f>
        <v>0</v>
      </c>
      <c r="Z263" s="77">
        <v>0</v>
      </c>
      <c r="AA263" s="89">
        <f>(Valores!$C$32)*D263</f>
        <v>95.04</v>
      </c>
      <c r="AB263" s="77">
        <f t="shared" ref="AB263:AB321" si="48">SUM(G263,I263,K263,Y263,S263,M263)*$G$3/100</f>
        <v>0</v>
      </c>
      <c r="AC263" s="77">
        <f>Valores!$C$33*D263</f>
        <v>79.56</v>
      </c>
      <c r="AD263" s="116">
        <v>0</v>
      </c>
      <c r="AE263" s="77">
        <f>AD263*Valores!$C$2*1.006901</f>
        <v>0</v>
      </c>
      <c r="AF263" s="77">
        <f>Valores!$D$51*D263</f>
        <v>325.89587847308866</v>
      </c>
      <c r="AG263" s="77">
        <f>Valores!$D$52*D263</f>
        <v>93.12006024687426</v>
      </c>
      <c r="AH263" s="77">
        <f>SUM(G263,I263,K263,M263,N263,O263,P263,Q263,R263,S263,U263,V263,W263,Y263,Z263,AA263,AB263,AC263,AE263,AF263,AG263)*Valores!$C$54</f>
        <v>0</v>
      </c>
      <c r="AI263" s="139">
        <f t="shared" si="38"/>
        <v>15352.902535627965</v>
      </c>
      <c r="AJ263" s="61">
        <f>Valores!$C$36*D263</f>
        <v>259.24799999999999</v>
      </c>
      <c r="AK263" s="79">
        <f>Valores!$C$11*D263</f>
        <v>154.23709518000001</v>
      </c>
      <c r="AL263" s="89">
        <v>135.63258540300001</v>
      </c>
      <c r="AM263" s="79">
        <f>IF($G$4="SI",SUM(AK263+AL263),AK263)*Valores!$C$54</f>
        <v>0</v>
      </c>
      <c r="AN263" s="12">
        <f t="shared" ref="AN263:AN326" si="49">SUM(AJ263:AK263,AL263,AM263)</f>
        <v>549.11768058300004</v>
      </c>
      <c r="AO263" s="13">
        <f>AI263*-Valores!$C$56</f>
        <v>-1995.8773296316356</v>
      </c>
      <c r="AP263" s="13">
        <f>AI263*-Valores!$C$57</f>
        <v>-76.764512678139823</v>
      </c>
      <c r="AQ263" s="78">
        <f>AI263*-Valores!$C$58</f>
        <v>-690.88061410325838</v>
      </c>
      <c r="AR263" s="78">
        <f>AI263*-Valores!$C$59</f>
        <v>-414.5283684619551</v>
      </c>
      <c r="AS263" s="78">
        <f>AI263*-Valores!$C$60</f>
        <v>-46.0587076068839</v>
      </c>
      <c r="AT263" s="15">
        <f t="shared" ref="AT263:AT327" si="50">AI263+AN263+AP263+AQ263+AO263</f>
        <v>13138.497759797932</v>
      </c>
      <c r="AU263" s="15">
        <f t="shared" ref="AU263:AU327" si="51">AI263+AN263+AP263+AR263+AO263+AS263</f>
        <v>13368.791297832351</v>
      </c>
      <c r="AV263" s="78">
        <f>AI263*Valores!$C$61</f>
        <v>2456.4644057004743</v>
      </c>
      <c r="AW263" s="78">
        <f>AI263*Valores!$C$62</f>
        <v>690.88061410325838</v>
      </c>
      <c r="AX263" s="78">
        <f>AI263*Valores!$C$64</f>
        <v>153.52902535627965</v>
      </c>
      <c r="AY263" s="78">
        <f>AI263*Valores!$C$65</f>
        <v>537.35158874697879</v>
      </c>
      <c r="AZ263" s="78">
        <f>AI263*Valores!$C$66</f>
        <v>92.117415213767799</v>
      </c>
      <c r="BA263" s="78">
        <f t="shared" si="39"/>
        <v>829.05673692391019</v>
      </c>
      <c r="BB263" s="20"/>
      <c r="BC263" s="20">
        <f t="shared" si="46"/>
        <v>72</v>
      </c>
      <c r="BD263" s="9" t="s">
        <v>467</v>
      </c>
    </row>
    <row r="264" spans="1:56" s="9" customFormat="1" ht="11.25" customHeight="1" x14ac:dyDescent="0.15">
      <c r="A264" s="20">
        <v>263</v>
      </c>
      <c r="B264" s="20"/>
      <c r="C264" s="9" t="s">
        <v>355</v>
      </c>
      <c r="D264" s="9">
        <v>18</v>
      </c>
      <c r="E264" s="10" t="str">
        <f>CONCATENATE("Hora Cátedra Enseñanza Media ",D264," hs Esc Esp")</f>
        <v>Hora Cátedra Enseñanza Media 18 hs Esc Esp</v>
      </c>
      <c r="F264" s="123">
        <f t="shared" si="47"/>
        <v>1422</v>
      </c>
      <c r="G264" s="7">
        <f>INT((F264*Valores!$C$2*100*1.006901)+0.5)/100</f>
        <v>7483.8</v>
      </c>
      <c r="H264" s="132">
        <v>0</v>
      </c>
      <c r="I264" s="77">
        <f>INT((H264*Valores!$C$2*100*1.006901)+0.5)/100</f>
        <v>0</v>
      </c>
      <c r="J264" s="145">
        <v>0</v>
      </c>
      <c r="K264" s="77">
        <f>INT((J264*Valores!$C$2*100*1.006901)+0.5)/100</f>
        <v>0</v>
      </c>
      <c r="L264" s="120">
        <v>0</v>
      </c>
      <c r="M264" s="77">
        <f>INT((L264*Valores!$C$2*100*1.006901)+0.5)/100</f>
        <v>0</v>
      </c>
      <c r="N264" s="77">
        <f t="shared" si="40"/>
        <v>1334.8125386279999</v>
      </c>
      <c r="O264" s="77">
        <f t="shared" si="41"/>
        <v>0</v>
      </c>
      <c r="P264" s="61">
        <f>Valores!$C$14*D264</f>
        <v>2171.64380076</v>
      </c>
      <c r="Q264" s="61">
        <f>IF(D264&lt;15,(Valores!$E$4*D264),Valores!$D$4)</f>
        <v>2354.08</v>
      </c>
      <c r="R264" s="77">
        <v>0</v>
      </c>
      <c r="S264" s="79">
        <f>Valores!$C$45*D264</f>
        <v>573.45025752000004</v>
      </c>
      <c r="T264" s="61">
        <f>Valores!$C$22*D264</f>
        <v>841.5</v>
      </c>
      <c r="U264" s="77">
        <f t="shared" si="45"/>
        <v>841.5</v>
      </c>
      <c r="V264" s="77">
        <v>0</v>
      </c>
      <c r="W264" s="77">
        <v>0</v>
      </c>
      <c r="X264" s="37">
        <v>0</v>
      </c>
      <c r="Y264" s="77">
        <f>X264*Valores!$C$2*1.006901</f>
        <v>0</v>
      </c>
      <c r="Z264" s="77">
        <v>0</v>
      </c>
      <c r="AA264" s="89">
        <f>(Valores!$C$32)*D264</f>
        <v>95.04</v>
      </c>
      <c r="AB264" s="77">
        <f t="shared" si="48"/>
        <v>0</v>
      </c>
      <c r="AC264" s="77">
        <f>Valores!$C$33*D264</f>
        <v>79.56</v>
      </c>
      <c r="AD264" s="116">
        <v>94</v>
      </c>
      <c r="AE264" s="77">
        <f>AD264*Valores!$C$2*1.006901</f>
        <v>494.70979379919999</v>
      </c>
      <c r="AF264" s="77">
        <f>Valores!$D$51*D264</f>
        <v>325.89587847308866</v>
      </c>
      <c r="AG264" s="77">
        <f>Valores!$D$52*D264</f>
        <v>93.12006024687426</v>
      </c>
      <c r="AH264" s="77">
        <f>SUM(G264,I264,K264,M264,N264,O264,P264,Q264,R264,S264,U264,V264,W264,Y264,Z264,AA264,AB264,AC264,AE264,AF264,AG264)*Valores!$C$54</f>
        <v>0</v>
      </c>
      <c r="AI264" s="139">
        <f t="shared" ref="AI264:AI327" si="52">SUM(G264,I264,K264,M264,N264,O264,P264,Q264,R264,U264,V264,W264,Y264,Z264,AA264,AB264,AC264,AE264,S264,AF264,AG264,AH264)</f>
        <v>15847.612329427166</v>
      </c>
      <c r="AJ264" s="61">
        <f>Valores!$C$36*D264</f>
        <v>259.24799999999999</v>
      </c>
      <c r="AK264" s="79">
        <f>Valores!$C$11*D264</f>
        <v>154.23709518000001</v>
      </c>
      <c r="AL264" s="89">
        <v>135.63258540300001</v>
      </c>
      <c r="AM264" s="79">
        <f>IF($G$4="SI",SUM(AK264+AL264),AK264)*Valores!$C$54</f>
        <v>0</v>
      </c>
      <c r="AN264" s="12">
        <f t="shared" si="49"/>
        <v>549.11768058300004</v>
      </c>
      <c r="AO264" s="13">
        <f>AI264*-Valores!$C$56</f>
        <v>-2060.1896028255314</v>
      </c>
      <c r="AP264" s="13">
        <f>AI264*-Valores!$C$57</f>
        <v>-79.238061647135837</v>
      </c>
      <c r="AQ264" s="78">
        <f>AI264*-Valores!$C$58</f>
        <v>-713.14255482422243</v>
      </c>
      <c r="AR264" s="78">
        <f>AI264*-Valores!$C$59</f>
        <v>-427.88553289453353</v>
      </c>
      <c r="AS264" s="78">
        <f>AI264*-Valores!$C$60</f>
        <v>-47.542836988281501</v>
      </c>
      <c r="AT264" s="15">
        <f t="shared" si="50"/>
        <v>13544.159790713275</v>
      </c>
      <c r="AU264" s="15">
        <f t="shared" si="51"/>
        <v>13781.87397565468</v>
      </c>
      <c r="AV264" s="78">
        <f>AI264*Valores!$C$61</f>
        <v>2535.6179727083468</v>
      </c>
      <c r="AW264" s="78">
        <f>AI264*Valores!$C$62</f>
        <v>713.14255482422243</v>
      </c>
      <c r="AX264" s="78">
        <f>AI264*Valores!$C$64</f>
        <v>158.47612329427167</v>
      </c>
      <c r="AY264" s="78">
        <f>AI264*Valores!$C$65</f>
        <v>554.66643152995084</v>
      </c>
      <c r="AZ264" s="78">
        <f>AI264*Valores!$C$66</f>
        <v>95.085673976563001</v>
      </c>
      <c r="BA264" s="78">
        <f t="shared" si="39"/>
        <v>855.77106578906705</v>
      </c>
      <c r="BB264" s="20"/>
      <c r="BC264" s="55">
        <f t="shared" si="46"/>
        <v>72</v>
      </c>
      <c r="BD264" s="9" t="s">
        <v>467</v>
      </c>
    </row>
    <row r="265" spans="1:56" s="9" customFormat="1" ht="11.25" customHeight="1" x14ac:dyDescent="0.15">
      <c r="A265" s="20">
        <v>264</v>
      </c>
      <c r="B265" s="20"/>
      <c r="C265" s="9" t="s">
        <v>355</v>
      </c>
      <c r="D265" s="9">
        <v>19</v>
      </c>
      <c r="E265" s="10" t="str">
        <f>CONCATENATE("Hora Cátedra Enseñanza Media ",D265," hs")</f>
        <v>Hora Cátedra Enseñanza Media 19 hs</v>
      </c>
      <c r="F265" s="123">
        <f t="shared" si="47"/>
        <v>1501</v>
      </c>
      <c r="G265" s="7">
        <f>INT((F265*Valores!$C$2*100*1.006901)+0.5)/100</f>
        <v>7899.57</v>
      </c>
      <c r="H265" s="132">
        <v>0</v>
      </c>
      <c r="I265" s="77">
        <f>INT((H265*Valores!$C$2*100*1.006901)+0.5)/100</f>
        <v>0</v>
      </c>
      <c r="J265" s="145">
        <v>0</v>
      </c>
      <c r="K265" s="77">
        <f>INT((J265*Valores!$C$2*100*1.006901)+0.5)/100</f>
        <v>0</v>
      </c>
      <c r="L265" s="120">
        <v>0</v>
      </c>
      <c r="M265" s="77">
        <f>INT((L265*Valores!$C$2*100*1.006901)+0.5)/100</f>
        <v>0</v>
      </c>
      <c r="N265" s="77">
        <f t="shared" si="40"/>
        <v>1408.969290774</v>
      </c>
      <c r="O265" s="77">
        <f t="shared" si="41"/>
        <v>0</v>
      </c>
      <c r="P265" s="61">
        <f>Valores!$C$14*D265</f>
        <v>2292.2906785800001</v>
      </c>
      <c r="Q265" s="61">
        <f>IF(D265&lt;15,(Valores!$E$4*D265),Valores!$D$4)</f>
        <v>2354.08</v>
      </c>
      <c r="R265" s="77">
        <v>0</v>
      </c>
      <c r="S265" s="79">
        <f>Valores!$C$45*D265</f>
        <v>605.30860516000007</v>
      </c>
      <c r="T265" s="61">
        <f>Valores!$C$22*D265</f>
        <v>888.25</v>
      </c>
      <c r="U265" s="77">
        <f t="shared" si="45"/>
        <v>888.25</v>
      </c>
      <c r="V265" s="77">
        <v>0</v>
      </c>
      <c r="W265" s="77">
        <v>0</v>
      </c>
      <c r="X265" s="37">
        <v>0</v>
      </c>
      <c r="Y265" s="77">
        <f>X265*Valores!$C$2*1.006901</f>
        <v>0</v>
      </c>
      <c r="Z265" s="77">
        <v>0</v>
      </c>
      <c r="AA265" s="89">
        <f>(Valores!$C$32)*D265</f>
        <v>100.32000000000001</v>
      </c>
      <c r="AB265" s="77">
        <f t="shared" si="48"/>
        <v>0</v>
      </c>
      <c r="AC265" s="77">
        <f>Valores!$C$33*D265</f>
        <v>83.98</v>
      </c>
      <c r="AD265" s="116">
        <v>0</v>
      </c>
      <c r="AE265" s="77">
        <f>AD265*Valores!$C$2*1.006901</f>
        <v>0</v>
      </c>
      <c r="AF265" s="77">
        <f>Valores!$D$51*D265</f>
        <v>344.00120505492691</v>
      </c>
      <c r="AG265" s="77">
        <f>Valores!$D$52*D265</f>
        <v>98.293396927256168</v>
      </c>
      <c r="AH265" s="77">
        <f>SUM(G265,I265,K265,M265,N265,O265,P265,Q265,R265,S265,U265,V265,W265,Y265,Z265,AA265,AB265,AC265,AE265,AF265,AG265)*Valores!$C$54</f>
        <v>0</v>
      </c>
      <c r="AI265" s="139">
        <f t="shared" si="52"/>
        <v>16075.063176496182</v>
      </c>
      <c r="AJ265" s="61">
        <f>Valores!$C$36*D265</f>
        <v>273.65066666666667</v>
      </c>
      <c r="AK265" s="79">
        <f>Valores!$C$11*D265</f>
        <v>162.80582269000001</v>
      </c>
      <c r="AL265" s="89">
        <v>143.15816347699999</v>
      </c>
      <c r="AM265" s="79">
        <f>IF($G$4="SI",SUM(AK265+AL265),AK265)*Valores!$C$54</f>
        <v>0</v>
      </c>
      <c r="AN265" s="12">
        <f t="shared" si="49"/>
        <v>579.6146528336667</v>
      </c>
      <c r="AO265" s="13">
        <f>AI265*-Valores!$C$56</f>
        <v>-2089.7582129445036</v>
      </c>
      <c r="AP265" s="13">
        <f>AI265*-Valores!$C$57</f>
        <v>-80.375315882480905</v>
      </c>
      <c r="AQ265" s="78">
        <f>AI265*-Valores!$C$58</f>
        <v>-723.37784294232813</v>
      </c>
      <c r="AR265" s="78">
        <f>AI265*-Valores!$C$59</f>
        <v>-434.02670576539697</v>
      </c>
      <c r="AS265" s="78">
        <f>AI265*-Valores!$C$60</f>
        <v>-48.225189529488546</v>
      </c>
      <c r="AT265" s="15">
        <f t="shared" si="50"/>
        <v>13761.166457560537</v>
      </c>
      <c r="AU265" s="15">
        <f t="shared" si="51"/>
        <v>14002.29240520798</v>
      </c>
      <c r="AV265" s="78">
        <f>AI265*Valores!$C$61</f>
        <v>2572.010108239389</v>
      </c>
      <c r="AW265" s="78">
        <f>AI265*Valores!$C$62</f>
        <v>723.37784294232813</v>
      </c>
      <c r="AX265" s="78">
        <f>AI265*Valores!$C$64</f>
        <v>160.75063176496181</v>
      </c>
      <c r="AY265" s="78">
        <f>AI265*Valores!$C$65</f>
        <v>562.62721117736646</v>
      </c>
      <c r="AZ265" s="78">
        <f>AI265*Valores!$C$66</f>
        <v>96.450379058977092</v>
      </c>
      <c r="BA265" s="78">
        <f t="shared" ref="BA265:BA327" si="53">AI265*5.4/100</f>
        <v>868.05341153079382</v>
      </c>
      <c r="BB265" s="20"/>
      <c r="BC265" s="20">
        <f t="shared" si="46"/>
        <v>76</v>
      </c>
      <c r="BD265" s="9" t="s">
        <v>467</v>
      </c>
    </row>
    <row r="266" spans="1:56" s="9" customFormat="1" ht="11.25" customHeight="1" x14ac:dyDescent="0.15">
      <c r="A266" s="55">
        <v>265</v>
      </c>
      <c r="B266" s="55" t="s">
        <v>462</v>
      </c>
      <c r="C266" s="52" t="s">
        <v>355</v>
      </c>
      <c r="D266" s="52">
        <v>19</v>
      </c>
      <c r="E266" s="53" t="str">
        <f>CONCATENATE("Hora Cátedra Enseñanza Media ",D266," hs Esc Esp")</f>
        <v>Hora Cátedra Enseñanza Media 19 hs Esc Esp</v>
      </c>
      <c r="F266" s="124">
        <f t="shared" si="47"/>
        <v>1501</v>
      </c>
      <c r="G266" s="7">
        <f>INT((F266*Valores!$C$2*100*1.006901)+0.5)/100</f>
        <v>7899.57</v>
      </c>
      <c r="H266" s="131">
        <v>0</v>
      </c>
      <c r="I266" s="77">
        <f>INT((H266*Valores!$C$2*100*1.006901)+0.5)/100</f>
        <v>0</v>
      </c>
      <c r="J266" s="146">
        <v>0</v>
      </c>
      <c r="K266" s="77">
        <f>INT((J266*Valores!$C$2*100*1.006901)+0.5)/100</f>
        <v>0</v>
      </c>
      <c r="L266" s="121">
        <v>0</v>
      </c>
      <c r="M266" s="77">
        <f>INT((L266*Valores!$C$2*100*1.006901)+0.5)/100</f>
        <v>0</v>
      </c>
      <c r="N266" s="80">
        <f t="shared" ref="N266:N302" si="54">IF($I$2=0,IF(C266&lt;&gt;"13-930",(SUM(G266,I266,K266,M266,Y266,T266,S266)*$N$2),0),0)</f>
        <v>1408.969290774</v>
      </c>
      <c r="O266" s="80">
        <f t="shared" ref="O266:O302" si="55">SUM(G266,I266,K266,M266,Y266,S266)*$I$2</f>
        <v>0</v>
      </c>
      <c r="P266" s="85">
        <f>Valores!$C$14*D266</f>
        <v>2292.2906785800001</v>
      </c>
      <c r="Q266" s="85">
        <f>IF(D266&lt;15,(Valores!$E$4*D266),Valores!$D$4)</f>
        <v>2354.08</v>
      </c>
      <c r="R266" s="80">
        <v>0</v>
      </c>
      <c r="S266" s="82">
        <f>Valores!$C$45*D266</f>
        <v>605.30860516000007</v>
      </c>
      <c r="T266" s="85">
        <f>Valores!$C$22*D266</f>
        <v>888.25</v>
      </c>
      <c r="U266" s="80">
        <f t="shared" si="45"/>
        <v>888.25</v>
      </c>
      <c r="V266" s="80">
        <v>0</v>
      </c>
      <c r="W266" s="80">
        <v>0</v>
      </c>
      <c r="X266" s="60">
        <v>0</v>
      </c>
      <c r="Y266" s="77">
        <f>X266*Valores!$C$2*1.006901</f>
        <v>0</v>
      </c>
      <c r="Z266" s="80">
        <v>0</v>
      </c>
      <c r="AA266" s="90">
        <f>(Valores!$C$32)*D266</f>
        <v>100.32000000000001</v>
      </c>
      <c r="AB266" s="80">
        <f t="shared" si="48"/>
        <v>0</v>
      </c>
      <c r="AC266" s="80">
        <f>Valores!$C$33*D266</f>
        <v>83.98</v>
      </c>
      <c r="AD266" s="115">
        <v>94</v>
      </c>
      <c r="AE266" s="77">
        <f>AD266*Valores!$C$2*1.006901</f>
        <v>494.70979379919999</v>
      </c>
      <c r="AF266" s="80">
        <f>Valores!$D$51*D266</f>
        <v>344.00120505492691</v>
      </c>
      <c r="AG266" s="80">
        <f>Valores!$D$52*D266</f>
        <v>98.293396927256168</v>
      </c>
      <c r="AH266" s="80">
        <f>SUM(G266,I266,K266,M266,N266,O266,P266,Q266,R266,S266,U266,V266,W266,Y266,Z266,AA266,AB266,AC266,AE266,AF266,AG266)*Valores!$C$54</f>
        <v>0</v>
      </c>
      <c r="AI266" s="140">
        <f t="shared" si="52"/>
        <v>16569.772970295384</v>
      </c>
      <c r="AJ266" s="85">
        <f>Valores!$C$36*D266</f>
        <v>273.65066666666667</v>
      </c>
      <c r="AK266" s="82">
        <f>Valores!$C$11*D266</f>
        <v>162.80582269000001</v>
      </c>
      <c r="AL266" s="90">
        <v>143.15816347699999</v>
      </c>
      <c r="AM266" s="82">
        <f>IF($G$4="SI",SUM(AK266+AL266),AK266)*Valores!$C$54</f>
        <v>0</v>
      </c>
      <c r="AN266" s="184">
        <f t="shared" si="49"/>
        <v>579.6146528336667</v>
      </c>
      <c r="AO266" s="153">
        <f>AI266*-Valores!$C$56</f>
        <v>-2154.0704861384002</v>
      </c>
      <c r="AP266" s="153">
        <f>AI266*-Valores!$C$57</f>
        <v>-82.848864851476918</v>
      </c>
      <c r="AQ266" s="81">
        <f>AI266*-Valores!$C$58</f>
        <v>-745.63978366329229</v>
      </c>
      <c r="AR266" s="81">
        <f>AI266*-Valores!$C$59</f>
        <v>-447.3838701979754</v>
      </c>
      <c r="AS266" s="81">
        <f>AI266*-Valores!$C$60</f>
        <v>-49.709318910886154</v>
      </c>
      <c r="AT266" s="54">
        <f t="shared" si="50"/>
        <v>14166.82848847588</v>
      </c>
      <c r="AU266" s="54">
        <f t="shared" si="51"/>
        <v>14415.375083030311</v>
      </c>
      <c r="AV266" s="81">
        <f>AI266*Valores!$C$61</f>
        <v>2651.1636752472614</v>
      </c>
      <c r="AW266" s="81">
        <f>AI266*Valores!$C$62</f>
        <v>745.63978366329229</v>
      </c>
      <c r="AX266" s="81">
        <f>AI266*Valores!$C$64</f>
        <v>165.69772970295384</v>
      </c>
      <c r="AY266" s="81">
        <f>AI266*Valores!$C$65</f>
        <v>579.94205396033851</v>
      </c>
      <c r="AZ266" s="81">
        <f>AI266*Valores!$C$66</f>
        <v>99.418637821772307</v>
      </c>
      <c r="BA266" s="81">
        <f t="shared" si="53"/>
        <v>894.7677403959508</v>
      </c>
      <c r="BB266" s="55"/>
      <c r="BC266" s="55">
        <f t="shared" si="46"/>
        <v>76</v>
      </c>
      <c r="BD266" s="52" t="s">
        <v>467</v>
      </c>
    </row>
    <row r="267" spans="1:56" s="9" customFormat="1" ht="11.25" customHeight="1" x14ac:dyDescent="0.15">
      <c r="A267" s="20">
        <v>266</v>
      </c>
      <c r="B267" s="20"/>
      <c r="C267" s="9" t="s">
        <v>355</v>
      </c>
      <c r="D267" s="9">
        <v>20</v>
      </c>
      <c r="E267" s="10" t="str">
        <f>CONCATENATE("Hora Cátedra Enseñanza Media ",D267," hs")</f>
        <v>Hora Cátedra Enseñanza Media 20 hs</v>
      </c>
      <c r="F267" s="123">
        <f t="shared" si="47"/>
        <v>1580</v>
      </c>
      <c r="G267" s="7">
        <f>INT((F267*Valores!$C$2*100*1.006901)+0.5)/100</f>
        <v>8315.33</v>
      </c>
      <c r="H267" s="132">
        <v>0</v>
      </c>
      <c r="I267" s="77">
        <f>INT((H267*Valores!$C$2*100*1.006901)+0.5)/100</f>
        <v>0</v>
      </c>
      <c r="J267" s="145">
        <v>0</v>
      </c>
      <c r="K267" s="77">
        <f>INT((J267*Valores!$C$2*100*1.006901)+0.5)/100</f>
        <v>0</v>
      </c>
      <c r="L267" s="120">
        <v>0</v>
      </c>
      <c r="M267" s="77">
        <f>INT((L267*Valores!$C$2*100*1.006901)+0.5)/100</f>
        <v>0</v>
      </c>
      <c r="N267" s="77">
        <f t="shared" si="54"/>
        <v>1483.1245429200001</v>
      </c>
      <c r="O267" s="77">
        <f t="shared" si="55"/>
        <v>0</v>
      </c>
      <c r="P267" s="61">
        <f>Valores!$C$14*D267</f>
        <v>2412.9375564000002</v>
      </c>
      <c r="Q267" s="61">
        <f>IF(D267&lt;15,(Valores!$E$4*D267),Valores!$D$4)</f>
        <v>2354.08</v>
      </c>
      <c r="R267" s="77">
        <v>0</v>
      </c>
      <c r="S267" s="79">
        <f>Valores!$C$45*D267</f>
        <v>637.16695279999999</v>
      </c>
      <c r="T267" s="61">
        <f>Valores!$C$22*D267</f>
        <v>935</v>
      </c>
      <c r="U267" s="77">
        <f t="shared" si="45"/>
        <v>935</v>
      </c>
      <c r="V267" s="77">
        <v>0</v>
      </c>
      <c r="W267" s="77">
        <v>0</v>
      </c>
      <c r="X267" s="37">
        <v>0</v>
      </c>
      <c r="Y267" s="77">
        <f>X267*Valores!$C$2*1.006901</f>
        <v>0</v>
      </c>
      <c r="Z267" s="77">
        <v>0</v>
      </c>
      <c r="AA267" s="89">
        <f>(Valores!$C$32)*D267</f>
        <v>105.60000000000001</v>
      </c>
      <c r="AB267" s="77">
        <f t="shared" si="48"/>
        <v>0</v>
      </c>
      <c r="AC267" s="77">
        <f>Valores!$C$33*D267</f>
        <v>88.4</v>
      </c>
      <c r="AD267" s="116">
        <v>0</v>
      </c>
      <c r="AE267" s="77">
        <f>AD267*Valores!$C$2*1.006901</f>
        <v>0</v>
      </c>
      <c r="AF267" s="77">
        <f>Valores!$D$51*D267</f>
        <v>362.10653163676517</v>
      </c>
      <c r="AG267" s="77">
        <f>Valores!$D$52*D267</f>
        <v>103.46673360763808</v>
      </c>
      <c r="AH267" s="77">
        <f>SUM(G267,I267,K267,M267,N267,O267,P267,Q267,R267,S267,U267,V267,W267,Y267,Z267,AA267,AB267,AC267,AE267,AF267,AG267)*Valores!$C$54</f>
        <v>0</v>
      </c>
      <c r="AI267" s="139">
        <f t="shared" si="52"/>
        <v>16797.212317364403</v>
      </c>
      <c r="AJ267" s="61">
        <f>Valores!$C$36*D267</f>
        <v>288.05333333333334</v>
      </c>
      <c r="AK267" s="79">
        <f>Valores!$C$11*D267</f>
        <v>171.37455020000002</v>
      </c>
      <c r="AL267" s="89">
        <v>150.70287267000003</v>
      </c>
      <c r="AM267" s="79">
        <f>IF($G$4="SI",SUM(AK267+AL267),AK267)*Valores!$C$54</f>
        <v>0</v>
      </c>
      <c r="AN267" s="12">
        <f t="shared" si="49"/>
        <v>610.13075620333336</v>
      </c>
      <c r="AO267" s="13">
        <f>AI267*-Valores!$C$56</f>
        <v>-2183.6376012573724</v>
      </c>
      <c r="AP267" s="13">
        <f>AI267*-Valores!$C$57</f>
        <v>-83.986061586822018</v>
      </c>
      <c r="AQ267" s="78">
        <f>AI267*-Valores!$C$58</f>
        <v>-755.8745542813981</v>
      </c>
      <c r="AR267" s="78">
        <f>AI267*-Valores!$C$59</f>
        <v>-453.52473256883894</v>
      </c>
      <c r="AS267" s="78">
        <f>AI267*-Valores!$C$60</f>
        <v>-50.391636952093208</v>
      </c>
      <c r="AT267" s="15">
        <f t="shared" si="50"/>
        <v>14383.84485644214</v>
      </c>
      <c r="AU267" s="15">
        <f t="shared" si="51"/>
        <v>14635.803041202606</v>
      </c>
      <c r="AV267" s="78">
        <f>AI267*Valores!$C$61</f>
        <v>2687.5539707783046</v>
      </c>
      <c r="AW267" s="78">
        <f>AI267*Valores!$C$62</f>
        <v>755.8745542813981</v>
      </c>
      <c r="AX267" s="78">
        <f>AI267*Valores!$C$64</f>
        <v>167.97212317364404</v>
      </c>
      <c r="AY267" s="78">
        <f>AI267*Valores!$C$65</f>
        <v>587.90243110775418</v>
      </c>
      <c r="AZ267" s="78">
        <f>AI267*Valores!$C$66</f>
        <v>100.78327390418642</v>
      </c>
      <c r="BA267" s="78">
        <f t="shared" si="53"/>
        <v>907.04946513767777</v>
      </c>
      <c r="BB267" s="20"/>
      <c r="BC267" s="20">
        <f t="shared" si="46"/>
        <v>80</v>
      </c>
      <c r="BD267" s="9" t="s">
        <v>467</v>
      </c>
    </row>
    <row r="268" spans="1:56" s="9" customFormat="1" ht="11.25" customHeight="1" x14ac:dyDescent="0.15">
      <c r="A268" s="20">
        <v>267</v>
      </c>
      <c r="B268" s="20"/>
      <c r="C268" s="9" t="s">
        <v>355</v>
      </c>
      <c r="D268" s="9">
        <v>20</v>
      </c>
      <c r="E268" s="10" t="str">
        <f>CONCATENATE("Hora Cátedra Enseñanza Media ",D268," hs Esc Esp")</f>
        <v>Hora Cátedra Enseñanza Media 20 hs Esc Esp</v>
      </c>
      <c r="F268" s="123">
        <f t="shared" si="47"/>
        <v>1580</v>
      </c>
      <c r="G268" s="7">
        <f>INT((F268*Valores!$C$2*100*1.006901)+0.5)/100</f>
        <v>8315.33</v>
      </c>
      <c r="H268" s="132">
        <v>0</v>
      </c>
      <c r="I268" s="77">
        <f>INT((H268*Valores!$C$2*100*1.006901)+0.5)/100</f>
        <v>0</v>
      </c>
      <c r="J268" s="145">
        <v>0</v>
      </c>
      <c r="K268" s="77">
        <f>INT((J268*Valores!$C$2*100*1.006901)+0.5)/100</f>
        <v>0</v>
      </c>
      <c r="L268" s="120">
        <v>0</v>
      </c>
      <c r="M268" s="77">
        <f>INT((L268*Valores!$C$2*100*1.006901)+0.5)/100</f>
        <v>0</v>
      </c>
      <c r="N268" s="77">
        <f t="shared" si="54"/>
        <v>1483.1245429200001</v>
      </c>
      <c r="O268" s="77">
        <f t="shared" si="55"/>
        <v>0</v>
      </c>
      <c r="P268" s="61">
        <f>Valores!$C$14*D268</f>
        <v>2412.9375564000002</v>
      </c>
      <c r="Q268" s="61">
        <f>IF(D268&lt;15,(Valores!$E$4*D268),Valores!$D$4)</f>
        <v>2354.08</v>
      </c>
      <c r="R268" s="77">
        <v>0</v>
      </c>
      <c r="S268" s="79">
        <f>Valores!$C$45*D268</f>
        <v>637.16695279999999</v>
      </c>
      <c r="T268" s="61">
        <f>Valores!$C$22*D268</f>
        <v>935</v>
      </c>
      <c r="U268" s="77">
        <f t="shared" si="45"/>
        <v>935</v>
      </c>
      <c r="V268" s="77">
        <v>0</v>
      </c>
      <c r="W268" s="77">
        <v>0</v>
      </c>
      <c r="X268" s="37">
        <v>0</v>
      </c>
      <c r="Y268" s="77">
        <f>X268*Valores!$C$2*1.006901</f>
        <v>0</v>
      </c>
      <c r="Z268" s="77">
        <v>0</v>
      </c>
      <c r="AA268" s="89">
        <f>(Valores!$C$32)*D268</f>
        <v>105.60000000000001</v>
      </c>
      <c r="AB268" s="77">
        <f t="shared" si="48"/>
        <v>0</v>
      </c>
      <c r="AC268" s="77">
        <f>Valores!$C$33*D268</f>
        <v>88.4</v>
      </c>
      <c r="AD268" s="116">
        <v>94</v>
      </c>
      <c r="AE268" s="77">
        <f>AD268*Valores!$C$2*1.006901</f>
        <v>494.70979379919999</v>
      </c>
      <c r="AF268" s="77">
        <f>Valores!$D$51*D268</f>
        <v>362.10653163676517</v>
      </c>
      <c r="AG268" s="77">
        <f>Valores!$D$52*D268</f>
        <v>103.46673360763808</v>
      </c>
      <c r="AH268" s="77">
        <f>SUM(G268,I268,K268,M268,N268,O268,P268,Q268,R268,S268,U268,V268,W268,Y268,Z268,AA268,AB268,AC268,AE268,AF268,AG268)*Valores!$C$54</f>
        <v>0</v>
      </c>
      <c r="AI268" s="139">
        <f t="shared" si="52"/>
        <v>17291.922111163603</v>
      </c>
      <c r="AJ268" s="61">
        <f>Valores!$C$36*D268</f>
        <v>288.05333333333334</v>
      </c>
      <c r="AK268" s="79">
        <f>Valores!$C$11*D268</f>
        <v>171.37455020000002</v>
      </c>
      <c r="AL268" s="89">
        <v>150.70287267000003</v>
      </c>
      <c r="AM268" s="79">
        <f>IF($G$4="SI",SUM(AK268+AL268),AK268)*Valores!$C$54</f>
        <v>0</v>
      </c>
      <c r="AN268" s="12">
        <f t="shared" si="49"/>
        <v>610.13075620333336</v>
      </c>
      <c r="AO268" s="13">
        <f>AI268*-Valores!$C$56</f>
        <v>-2247.9498744512684</v>
      </c>
      <c r="AP268" s="13">
        <f>AI268*-Valores!$C$57</f>
        <v>-86.459610555818017</v>
      </c>
      <c r="AQ268" s="78">
        <f>AI268*-Valores!$C$58</f>
        <v>-778.13649500236215</v>
      </c>
      <c r="AR268" s="78">
        <f>AI268*-Valores!$C$59</f>
        <v>-466.88189700141737</v>
      </c>
      <c r="AS268" s="78">
        <f>AI268*-Valores!$C$60</f>
        <v>-51.875766333490809</v>
      </c>
      <c r="AT268" s="15">
        <f t="shared" si="50"/>
        <v>14789.506887357486</v>
      </c>
      <c r="AU268" s="15">
        <f t="shared" si="51"/>
        <v>15048.88571902494</v>
      </c>
      <c r="AV268" s="78">
        <f>AI268*Valores!$C$61</f>
        <v>2766.7075377861765</v>
      </c>
      <c r="AW268" s="78">
        <f>AI268*Valores!$C$62</f>
        <v>778.13649500236215</v>
      </c>
      <c r="AX268" s="78">
        <f>AI268*Valores!$C$64</f>
        <v>172.91922111163603</v>
      </c>
      <c r="AY268" s="78">
        <f>AI268*Valores!$C$65</f>
        <v>605.21727389072623</v>
      </c>
      <c r="AZ268" s="78">
        <f>AI268*Valores!$C$66</f>
        <v>103.75153266698162</v>
      </c>
      <c r="BA268" s="78">
        <f t="shared" si="53"/>
        <v>933.76379400283463</v>
      </c>
      <c r="BB268" s="20"/>
      <c r="BC268" s="20">
        <f t="shared" si="46"/>
        <v>80</v>
      </c>
      <c r="BD268" s="9" t="s">
        <v>467</v>
      </c>
    </row>
    <row r="269" spans="1:56" s="9" customFormat="1" ht="11.25" customHeight="1" x14ac:dyDescent="0.15">
      <c r="A269" s="20">
        <v>268</v>
      </c>
      <c r="B269" s="20"/>
      <c r="C269" s="9" t="s">
        <v>355</v>
      </c>
      <c r="D269" s="9">
        <v>21</v>
      </c>
      <c r="E269" s="10" t="str">
        <f>CONCATENATE("Hora Cátedra Enseñanza Media ",D269," hs")</f>
        <v>Hora Cátedra Enseñanza Media 21 hs</v>
      </c>
      <c r="F269" s="123">
        <f t="shared" si="47"/>
        <v>1659</v>
      </c>
      <c r="G269" s="7">
        <f>INT((F269*Valores!$C$2*100*1.006901)+0.5)/100</f>
        <v>8731.1</v>
      </c>
      <c r="H269" s="132">
        <v>0</v>
      </c>
      <c r="I269" s="77">
        <f>INT((H269*Valores!$C$2*100*1.006901)+0.5)/100</f>
        <v>0</v>
      </c>
      <c r="J269" s="145">
        <v>0</v>
      </c>
      <c r="K269" s="77">
        <f>INT((J269*Valores!$C$2*100*1.006901)+0.5)/100</f>
        <v>0</v>
      </c>
      <c r="L269" s="120">
        <v>0</v>
      </c>
      <c r="M269" s="77">
        <f>INT((L269*Valores!$C$2*100*1.006901)+0.5)/100</f>
        <v>0</v>
      </c>
      <c r="N269" s="77">
        <f t="shared" si="54"/>
        <v>1557.281295066</v>
      </c>
      <c r="O269" s="77">
        <f t="shared" si="55"/>
        <v>0</v>
      </c>
      <c r="P269" s="61">
        <f>Valores!$C$14*D269</f>
        <v>2533.5844342199998</v>
      </c>
      <c r="Q269" s="61">
        <f>IF(D269&lt;15,(Valores!$E$4*D269),Valores!$D$4)</f>
        <v>2354.08</v>
      </c>
      <c r="R269" s="77">
        <v>0</v>
      </c>
      <c r="S269" s="79">
        <f>Valores!$C$45*D269</f>
        <v>669.02530044000002</v>
      </c>
      <c r="T269" s="61">
        <f>Valores!$C$22*D269</f>
        <v>981.75</v>
      </c>
      <c r="U269" s="77">
        <f t="shared" si="45"/>
        <v>981.75</v>
      </c>
      <c r="V269" s="77">
        <v>0</v>
      </c>
      <c r="W269" s="77">
        <v>0</v>
      </c>
      <c r="X269" s="37">
        <v>0</v>
      </c>
      <c r="Y269" s="77">
        <f>X269*Valores!$C$2*1.006901</f>
        <v>0</v>
      </c>
      <c r="Z269" s="77">
        <v>0</v>
      </c>
      <c r="AA269" s="89">
        <f>(Valores!$C$32)*D269</f>
        <v>110.88000000000001</v>
      </c>
      <c r="AB269" s="77">
        <f t="shared" si="48"/>
        <v>0</v>
      </c>
      <c r="AC269" s="77">
        <f>Valores!$C$33*D269</f>
        <v>92.82</v>
      </c>
      <c r="AD269" s="116">
        <v>0</v>
      </c>
      <c r="AE269" s="77">
        <f>AD269*Valores!$C$2*1.006901</f>
        <v>0</v>
      </c>
      <c r="AF269" s="77">
        <f>Valores!$D$51*D269</f>
        <v>380.21185821860342</v>
      </c>
      <c r="AG269" s="77">
        <f>Valores!$D$52*D269</f>
        <v>108.64007028801997</v>
      </c>
      <c r="AH269" s="77">
        <f>SUM(G269,I269,K269,M269,N269,O269,P269,Q269,R269,S269,U269,V269,W269,Y269,Z269,AA269,AB269,AC269,AE269,AF269,AG269)*Valores!$C$54</f>
        <v>0</v>
      </c>
      <c r="AI269" s="139">
        <f t="shared" si="52"/>
        <v>17519.372958232623</v>
      </c>
      <c r="AJ269" s="61">
        <f>Valores!$C$36*D269</f>
        <v>302.45600000000002</v>
      </c>
      <c r="AK269" s="79">
        <f>Valores!$C$11*D269</f>
        <v>179.94327771000002</v>
      </c>
      <c r="AL269" s="89">
        <v>158.227443843</v>
      </c>
      <c r="AM269" s="79">
        <f>IF($G$4="SI",SUM(AK269+AL269),AK269)*Valores!$C$54</f>
        <v>0</v>
      </c>
      <c r="AN269" s="12">
        <f t="shared" si="49"/>
        <v>640.62672155300004</v>
      </c>
      <c r="AO269" s="13">
        <f>AI269*-Valores!$C$56</f>
        <v>-2277.5184845702411</v>
      </c>
      <c r="AP269" s="13">
        <f>AI269*-Valores!$C$57</f>
        <v>-87.596864791163114</v>
      </c>
      <c r="AQ269" s="78">
        <f>AI269*-Valores!$C$58</f>
        <v>-788.37178312046797</v>
      </c>
      <c r="AR269" s="78">
        <f>AI269*-Valores!$C$59</f>
        <v>-473.02306987228087</v>
      </c>
      <c r="AS269" s="78">
        <f>AI269*-Valores!$C$60</f>
        <v>-52.558118874697868</v>
      </c>
      <c r="AT269" s="15">
        <f t="shared" si="50"/>
        <v>15006.512547303753</v>
      </c>
      <c r="AU269" s="15">
        <f t="shared" si="51"/>
        <v>15269.303141677241</v>
      </c>
      <c r="AV269" s="78">
        <f>AI269*Valores!$C$61</f>
        <v>2803.0996733172196</v>
      </c>
      <c r="AW269" s="78">
        <f>AI269*Valores!$C$62</f>
        <v>788.37178312046797</v>
      </c>
      <c r="AX269" s="78">
        <f>AI269*Valores!$C$64</f>
        <v>175.19372958232623</v>
      </c>
      <c r="AY269" s="78">
        <f>AI269*Valores!$C$65</f>
        <v>613.17805353814185</v>
      </c>
      <c r="AZ269" s="78">
        <f>AI269*Valores!$C$66</f>
        <v>105.11623774939574</v>
      </c>
      <c r="BA269" s="78">
        <f t="shared" si="53"/>
        <v>946.04613974456163</v>
      </c>
      <c r="BB269" s="20"/>
      <c r="BC269" s="55">
        <f t="shared" si="46"/>
        <v>84</v>
      </c>
      <c r="BD269" s="9" t="s">
        <v>467</v>
      </c>
    </row>
    <row r="270" spans="1:56" s="9" customFormat="1" ht="11.25" customHeight="1" x14ac:dyDescent="0.15">
      <c r="A270" s="20">
        <v>269</v>
      </c>
      <c r="B270" s="20"/>
      <c r="C270" s="9" t="s">
        <v>355</v>
      </c>
      <c r="D270" s="9">
        <v>21</v>
      </c>
      <c r="E270" s="10" t="str">
        <f>CONCATENATE("Hora Cátedra Enseñanza Media ",D270," hs Esc Esp")</f>
        <v>Hora Cátedra Enseñanza Media 21 hs Esc Esp</v>
      </c>
      <c r="F270" s="123">
        <f t="shared" si="47"/>
        <v>1659</v>
      </c>
      <c r="G270" s="7">
        <f>INT((F270*Valores!$C$2*100*1.006901)+0.5)/100</f>
        <v>8731.1</v>
      </c>
      <c r="H270" s="132">
        <v>0</v>
      </c>
      <c r="I270" s="77">
        <f>INT((H270*Valores!$C$2*100*1.006901)+0.5)/100</f>
        <v>0</v>
      </c>
      <c r="J270" s="145">
        <v>0</v>
      </c>
      <c r="K270" s="77">
        <f>INT((J270*Valores!$C$2*100*1.006901)+0.5)/100</f>
        <v>0</v>
      </c>
      <c r="L270" s="120">
        <v>0</v>
      </c>
      <c r="M270" s="77">
        <f>INT((L270*Valores!$C$2*100*1.006901)+0.5)/100</f>
        <v>0</v>
      </c>
      <c r="N270" s="77">
        <f t="shared" si="54"/>
        <v>1557.281295066</v>
      </c>
      <c r="O270" s="77">
        <f t="shared" si="55"/>
        <v>0</v>
      </c>
      <c r="P270" s="61">
        <f>Valores!$C$14*D270</f>
        <v>2533.5844342199998</v>
      </c>
      <c r="Q270" s="61">
        <f>IF(D270&lt;15,(Valores!$E$4*D270),Valores!$D$4)</f>
        <v>2354.08</v>
      </c>
      <c r="R270" s="77">
        <v>0</v>
      </c>
      <c r="S270" s="79">
        <f>Valores!$C$45*D270</f>
        <v>669.02530044000002</v>
      </c>
      <c r="T270" s="61">
        <f>Valores!$C$22*D270</f>
        <v>981.75</v>
      </c>
      <c r="U270" s="77">
        <f t="shared" si="45"/>
        <v>981.75</v>
      </c>
      <c r="V270" s="77">
        <v>0</v>
      </c>
      <c r="W270" s="77">
        <v>0</v>
      </c>
      <c r="X270" s="37">
        <v>0</v>
      </c>
      <c r="Y270" s="77">
        <f>X270*Valores!$C$2*1.006901</f>
        <v>0</v>
      </c>
      <c r="Z270" s="77">
        <v>0</v>
      </c>
      <c r="AA270" s="89">
        <f>(Valores!$C$32)*D270</f>
        <v>110.88000000000001</v>
      </c>
      <c r="AB270" s="77">
        <f t="shared" si="48"/>
        <v>0</v>
      </c>
      <c r="AC270" s="77">
        <f>Valores!$C$33*D270</f>
        <v>92.82</v>
      </c>
      <c r="AD270" s="116">
        <v>94</v>
      </c>
      <c r="AE270" s="77">
        <f>AD270*Valores!$C$2*1.006901</f>
        <v>494.70979379919999</v>
      </c>
      <c r="AF270" s="77">
        <f>Valores!$D$51*D270</f>
        <v>380.21185821860342</v>
      </c>
      <c r="AG270" s="77">
        <f>Valores!$D$52*D270</f>
        <v>108.64007028801997</v>
      </c>
      <c r="AH270" s="77">
        <f>SUM(G270,I270,K270,M270,N270,O270,P270,Q270,R270,S270,U270,V270,W270,Y270,Z270,AA270,AB270,AC270,AE270,AF270,AG270)*Valores!$C$54</f>
        <v>0</v>
      </c>
      <c r="AI270" s="139">
        <f t="shared" si="52"/>
        <v>18014.082752031823</v>
      </c>
      <c r="AJ270" s="61">
        <f>Valores!$C$36*D270</f>
        <v>302.45600000000002</v>
      </c>
      <c r="AK270" s="79">
        <f>Valores!$C$11*D270</f>
        <v>179.94327771000002</v>
      </c>
      <c r="AL270" s="89">
        <v>158.227443843</v>
      </c>
      <c r="AM270" s="79">
        <f>IF($G$4="SI",SUM(AK270+AL270),AK270)*Valores!$C$54</f>
        <v>0</v>
      </c>
      <c r="AN270" s="12">
        <f t="shared" si="49"/>
        <v>640.62672155300004</v>
      </c>
      <c r="AO270" s="13">
        <f>AI270*-Valores!$C$56</f>
        <v>-2341.8307577641372</v>
      </c>
      <c r="AP270" s="13">
        <f>AI270*-Valores!$C$57</f>
        <v>-90.070413760159113</v>
      </c>
      <c r="AQ270" s="78">
        <f>AI270*-Valores!$C$58</f>
        <v>-810.63372384143202</v>
      </c>
      <c r="AR270" s="78">
        <f>AI270*-Valores!$C$59</f>
        <v>-486.3802343048593</v>
      </c>
      <c r="AS270" s="78">
        <f>AI270*-Valores!$C$60</f>
        <v>-54.042248256095469</v>
      </c>
      <c r="AT270" s="15">
        <f t="shared" si="50"/>
        <v>15412.174578219094</v>
      </c>
      <c r="AU270" s="15">
        <f t="shared" si="51"/>
        <v>15682.38581949957</v>
      </c>
      <c r="AV270" s="78">
        <f>AI270*Valores!$C$61</f>
        <v>2882.2532403250916</v>
      </c>
      <c r="AW270" s="78">
        <f>AI270*Valores!$C$62</f>
        <v>810.63372384143202</v>
      </c>
      <c r="AX270" s="78">
        <f>AI270*Valores!$C$64</f>
        <v>180.14082752031823</v>
      </c>
      <c r="AY270" s="78">
        <f>AI270*Valores!$C$65</f>
        <v>630.4928963211139</v>
      </c>
      <c r="AZ270" s="78">
        <f>AI270*Valores!$C$66</f>
        <v>108.08449651219094</v>
      </c>
      <c r="BA270" s="78">
        <f t="shared" si="53"/>
        <v>972.76046860971849</v>
      </c>
      <c r="BB270" s="20"/>
      <c r="BC270" s="20">
        <f t="shared" si="46"/>
        <v>84</v>
      </c>
      <c r="BD270" s="9" t="s">
        <v>467</v>
      </c>
    </row>
    <row r="271" spans="1:56" s="9" customFormat="1" ht="11.25" customHeight="1" x14ac:dyDescent="0.15">
      <c r="A271" s="55">
        <v>270</v>
      </c>
      <c r="B271" s="55" t="s">
        <v>462</v>
      </c>
      <c r="C271" s="52" t="s">
        <v>355</v>
      </c>
      <c r="D271" s="52">
        <v>22</v>
      </c>
      <c r="E271" s="53" t="str">
        <f>CONCATENATE("Hora Cátedra Enseñanza Media ",D271," hs")</f>
        <v>Hora Cátedra Enseñanza Media 22 hs</v>
      </c>
      <c r="F271" s="124">
        <f t="shared" si="47"/>
        <v>1738</v>
      </c>
      <c r="G271" s="7">
        <f>INT((F271*Valores!$C$2*100*1.006901)+0.5)/100</f>
        <v>9146.8700000000008</v>
      </c>
      <c r="H271" s="131">
        <v>0</v>
      </c>
      <c r="I271" s="77">
        <f>INT((H271*Valores!$C$2*100*1.006901)+0.5)/100</f>
        <v>0</v>
      </c>
      <c r="J271" s="146">
        <v>0</v>
      </c>
      <c r="K271" s="77">
        <f>INT((J271*Valores!$C$2*100*1.006901)+0.5)/100</f>
        <v>0</v>
      </c>
      <c r="L271" s="121">
        <v>0</v>
      </c>
      <c r="M271" s="77">
        <f>INT((L271*Valores!$C$2*100*1.006901)+0.5)/100</f>
        <v>0</v>
      </c>
      <c r="N271" s="80">
        <f t="shared" si="54"/>
        <v>1631.4380472120001</v>
      </c>
      <c r="O271" s="80">
        <f t="shared" si="55"/>
        <v>0</v>
      </c>
      <c r="P271" s="85">
        <f>Valores!$C$14*D271</f>
        <v>2654.2313120399999</v>
      </c>
      <c r="Q271" s="85">
        <f>IF(D271&lt;15,(Valores!$E$4*D271),Valores!$D$4)</f>
        <v>2354.08</v>
      </c>
      <c r="R271" s="80">
        <v>0</v>
      </c>
      <c r="S271" s="82">
        <f>Valores!$C$45*D271</f>
        <v>700.88364808000006</v>
      </c>
      <c r="T271" s="85">
        <f>Valores!$C$22*D271</f>
        <v>1028.5</v>
      </c>
      <c r="U271" s="80">
        <f t="shared" si="45"/>
        <v>1028.5</v>
      </c>
      <c r="V271" s="80">
        <v>0</v>
      </c>
      <c r="W271" s="80">
        <v>0</v>
      </c>
      <c r="X271" s="60">
        <v>0</v>
      </c>
      <c r="Y271" s="77">
        <f>X271*Valores!$C$2*1.006901</f>
        <v>0</v>
      </c>
      <c r="Z271" s="80">
        <v>0</v>
      </c>
      <c r="AA271" s="90">
        <f>(Valores!$C$32)*D271</f>
        <v>116.16000000000001</v>
      </c>
      <c r="AB271" s="80">
        <f t="shared" si="48"/>
        <v>0</v>
      </c>
      <c r="AC271" s="80">
        <f>Valores!$C$33*D271</f>
        <v>97.24</v>
      </c>
      <c r="AD271" s="115">
        <v>0</v>
      </c>
      <c r="AE271" s="77">
        <f>AD271*Valores!$C$2*1.006901</f>
        <v>0</v>
      </c>
      <c r="AF271" s="80">
        <f>Valores!$D$51*D271</f>
        <v>398.31718480044168</v>
      </c>
      <c r="AG271" s="80">
        <f>Valores!$D$52*D271</f>
        <v>113.81340696840188</v>
      </c>
      <c r="AH271" s="80">
        <f>SUM(G271,I271,K271,M271,N271,O271,P271,Q271,R271,S271,U271,V271,W271,Y271,Z271,AA271,AB271,AC271,AE271,AF271,AG271)*Valores!$C$54</f>
        <v>0</v>
      </c>
      <c r="AI271" s="140">
        <f t="shared" si="52"/>
        <v>18241.533599100847</v>
      </c>
      <c r="AJ271" s="85">
        <f>Valores!$C$36*D271</f>
        <v>316.85866666666669</v>
      </c>
      <c r="AK271" s="82">
        <f>Valores!$C$11*D271</f>
        <v>188.51200522000002</v>
      </c>
      <c r="AL271" s="90">
        <v>165.76208402600003</v>
      </c>
      <c r="AM271" s="82">
        <f>IF($G$4="SI",SUM(AK271+AL271),AK271)*Valores!$C$54</f>
        <v>0</v>
      </c>
      <c r="AN271" s="184">
        <f t="shared" si="49"/>
        <v>671.13275591266677</v>
      </c>
      <c r="AO271" s="153">
        <f>AI271*-Valores!$C$56</f>
        <v>-2371.3993678831102</v>
      </c>
      <c r="AP271" s="153">
        <f>AI271*-Valores!$C$57</f>
        <v>-91.207667995504238</v>
      </c>
      <c r="AQ271" s="81">
        <f>AI271*-Valores!$C$58</f>
        <v>-820.86901195953806</v>
      </c>
      <c r="AR271" s="81">
        <f>AI271*-Valores!$C$59</f>
        <v>-492.52140717572291</v>
      </c>
      <c r="AS271" s="81">
        <f>AI271*-Valores!$C$60</f>
        <v>-54.724600797302543</v>
      </c>
      <c r="AT271" s="54">
        <f t="shared" si="50"/>
        <v>15629.190307175362</v>
      </c>
      <c r="AU271" s="54">
        <f t="shared" si="51"/>
        <v>15902.813311161875</v>
      </c>
      <c r="AV271" s="81">
        <f>AI271*Valores!$C$61</f>
        <v>2918.6453758561356</v>
      </c>
      <c r="AW271" s="81">
        <f>AI271*Valores!$C$62</f>
        <v>820.86901195953806</v>
      </c>
      <c r="AX271" s="81">
        <f>AI271*Valores!$C$64</f>
        <v>182.41533599100848</v>
      </c>
      <c r="AY271" s="81">
        <f>AI271*Valores!$C$65</f>
        <v>638.45367596852975</v>
      </c>
      <c r="AZ271" s="81">
        <f>AI271*Valores!$C$66</f>
        <v>109.44920159460509</v>
      </c>
      <c r="BA271" s="81">
        <f t="shared" si="53"/>
        <v>985.04281435144583</v>
      </c>
      <c r="BB271" s="55"/>
      <c r="BC271" s="55">
        <f t="shared" si="46"/>
        <v>88</v>
      </c>
      <c r="BD271" s="52" t="s">
        <v>467</v>
      </c>
    </row>
    <row r="272" spans="1:56" s="9" customFormat="1" ht="11.25" customHeight="1" x14ac:dyDescent="0.15">
      <c r="A272" s="20">
        <v>271</v>
      </c>
      <c r="B272" s="20"/>
      <c r="C272" s="9" t="s">
        <v>355</v>
      </c>
      <c r="D272" s="9">
        <v>22</v>
      </c>
      <c r="E272" s="10" t="str">
        <f>CONCATENATE("Hora Cátedra Enseñanza Media ",D272," hs Esc Esp")</f>
        <v>Hora Cátedra Enseñanza Media 22 hs Esc Esp</v>
      </c>
      <c r="F272" s="123">
        <f t="shared" si="47"/>
        <v>1738</v>
      </c>
      <c r="G272" s="7">
        <f>INT((F272*Valores!$C$2*100*1.006901)+0.5)/100</f>
        <v>9146.8700000000008</v>
      </c>
      <c r="H272" s="132">
        <v>0</v>
      </c>
      <c r="I272" s="77">
        <f>INT((H272*Valores!$C$2*100*1.006901)+0.5)/100</f>
        <v>0</v>
      </c>
      <c r="J272" s="145">
        <v>0</v>
      </c>
      <c r="K272" s="77">
        <f>INT((J272*Valores!$C$2*100*1.006901)+0.5)/100</f>
        <v>0</v>
      </c>
      <c r="L272" s="120">
        <v>0</v>
      </c>
      <c r="M272" s="77">
        <f>INT((L272*Valores!$C$2*100*1.006901)+0.5)/100</f>
        <v>0</v>
      </c>
      <c r="N272" s="77">
        <f t="shared" si="54"/>
        <v>1631.4380472120001</v>
      </c>
      <c r="O272" s="77">
        <f t="shared" si="55"/>
        <v>0</v>
      </c>
      <c r="P272" s="61">
        <f>Valores!$C$14*D272</f>
        <v>2654.2313120399999</v>
      </c>
      <c r="Q272" s="61">
        <f>IF(D272&lt;15,(Valores!$E$4*D272),Valores!$D$4)</f>
        <v>2354.08</v>
      </c>
      <c r="R272" s="77">
        <v>0</v>
      </c>
      <c r="S272" s="79">
        <f>Valores!$C$45*D272</f>
        <v>700.88364808000006</v>
      </c>
      <c r="T272" s="61">
        <f>Valores!$C$22*D272</f>
        <v>1028.5</v>
      </c>
      <c r="U272" s="77">
        <f t="shared" si="45"/>
        <v>1028.5</v>
      </c>
      <c r="V272" s="77">
        <v>0</v>
      </c>
      <c r="W272" s="77">
        <v>0</v>
      </c>
      <c r="X272" s="37">
        <v>0</v>
      </c>
      <c r="Y272" s="77">
        <f>X272*Valores!$C$2*1.006901</f>
        <v>0</v>
      </c>
      <c r="Z272" s="77">
        <v>0</v>
      </c>
      <c r="AA272" s="89">
        <f>(Valores!$C$32)*D272</f>
        <v>116.16000000000001</v>
      </c>
      <c r="AB272" s="77">
        <f t="shared" si="48"/>
        <v>0</v>
      </c>
      <c r="AC272" s="77">
        <f>Valores!$C$33*D272</f>
        <v>97.24</v>
      </c>
      <c r="AD272" s="116">
        <v>94</v>
      </c>
      <c r="AE272" s="77">
        <f>AD272*Valores!$C$2*1.006901</f>
        <v>494.70979379919999</v>
      </c>
      <c r="AF272" s="77">
        <f>Valores!$D$51*D272</f>
        <v>398.31718480044168</v>
      </c>
      <c r="AG272" s="77">
        <f>Valores!$D$52*D272</f>
        <v>113.81340696840188</v>
      </c>
      <c r="AH272" s="77">
        <f>SUM(G272,I272,K272,M272,N272,O272,P272,Q272,R272,S272,U272,V272,W272,Y272,Z272,AA272,AB272,AC272,AE272,AF272,AG272)*Valores!$C$54</f>
        <v>0</v>
      </c>
      <c r="AI272" s="139">
        <f t="shared" si="52"/>
        <v>18736.243392900047</v>
      </c>
      <c r="AJ272" s="61">
        <f>Valores!$C$36*D272</f>
        <v>316.85866666666669</v>
      </c>
      <c r="AK272" s="79">
        <f>Valores!$C$11*D272</f>
        <v>188.51200522000002</v>
      </c>
      <c r="AL272" s="89">
        <v>165.76208402600003</v>
      </c>
      <c r="AM272" s="79">
        <f>IF($G$4="SI",SUM(AK272+AL272),AK272)*Valores!$C$54</f>
        <v>0</v>
      </c>
      <c r="AN272" s="12">
        <f t="shared" si="49"/>
        <v>671.13275591266677</v>
      </c>
      <c r="AO272" s="13">
        <f>AI272*-Valores!$C$56</f>
        <v>-2435.7116410770063</v>
      </c>
      <c r="AP272" s="13">
        <f>AI272*-Valores!$C$57</f>
        <v>-93.681216964500237</v>
      </c>
      <c r="AQ272" s="78">
        <f>AI272*-Valores!$C$58</f>
        <v>-843.13095268050211</v>
      </c>
      <c r="AR272" s="78">
        <f>AI272*-Valores!$C$59</f>
        <v>-505.87857160830134</v>
      </c>
      <c r="AS272" s="78">
        <f>AI272*-Valores!$C$60</f>
        <v>-56.208730178700144</v>
      </c>
      <c r="AT272" s="15">
        <f t="shared" si="50"/>
        <v>16034.852338090703</v>
      </c>
      <c r="AU272" s="15">
        <f t="shared" si="51"/>
        <v>16315.895988984204</v>
      </c>
      <c r="AV272" s="78">
        <f>AI272*Valores!$C$61</f>
        <v>2997.7989428640076</v>
      </c>
      <c r="AW272" s="78">
        <f>AI272*Valores!$C$62</f>
        <v>843.13095268050211</v>
      </c>
      <c r="AX272" s="78">
        <f>AI272*Valores!$C$64</f>
        <v>187.36243392900047</v>
      </c>
      <c r="AY272" s="78">
        <f>AI272*Valores!$C$65</f>
        <v>655.76851875150169</v>
      </c>
      <c r="AZ272" s="78">
        <f>AI272*Valores!$C$66</f>
        <v>112.41746035740029</v>
      </c>
      <c r="BA272" s="78">
        <f t="shared" si="53"/>
        <v>1011.7571432166026</v>
      </c>
      <c r="BB272" s="20"/>
      <c r="BC272" s="20">
        <f t="shared" si="46"/>
        <v>88</v>
      </c>
      <c r="BD272" s="9" t="s">
        <v>467</v>
      </c>
    </row>
    <row r="273" spans="1:56" s="9" customFormat="1" ht="11.25" customHeight="1" x14ac:dyDescent="0.15">
      <c r="A273" s="20">
        <v>272</v>
      </c>
      <c r="B273" s="20"/>
      <c r="C273" s="9" t="s">
        <v>355</v>
      </c>
      <c r="D273" s="9">
        <v>23</v>
      </c>
      <c r="E273" s="10" t="str">
        <f>CONCATENATE("Hora Cátedra Enseñanza Media ",D273," hs")</f>
        <v>Hora Cátedra Enseñanza Media 23 hs</v>
      </c>
      <c r="F273" s="123">
        <f t="shared" si="47"/>
        <v>1817</v>
      </c>
      <c r="G273" s="7">
        <f>INT((F273*Valores!$C$2*100*1.006901)+0.5)/100</f>
        <v>9562.64</v>
      </c>
      <c r="H273" s="132">
        <v>0</v>
      </c>
      <c r="I273" s="77">
        <f>INT((H273*Valores!$C$2*100*1.006901)+0.5)/100</f>
        <v>0</v>
      </c>
      <c r="J273" s="145">
        <v>0</v>
      </c>
      <c r="K273" s="77">
        <f>INT((J273*Valores!$C$2*100*1.006901)+0.5)/100</f>
        <v>0</v>
      </c>
      <c r="L273" s="120">
        <v>0</v>
      </c>
      <c r="M273" s="77">
        <f>INT((L273*Valores!$C$2*100*1.006901)+0.5)/100</f>
        <v>0</v>
      </c>
      <c r="N273" s="77">
        <f t="shared" si="54"/>
        <v>1705.5947993579998</v>
      </c>
      <c r="O273" s="77">
        <f t="shared" si="55"/>
        <v>0</v>
      </c>
      <c r="P273" s="61">
        <f>Valores!$C$14*D273</f>
        <v>2774.87818986</v>
      </c>
      <c r="Q273" s="61">
        <f>IF(D273&lt;15,(Valores!$E$4*D273),Valores!$D$4)</f>
        <v>2354.08</v>
      </c>
      <c r="R273" s="77">
        <v>0</v>
      </c>
      <c r="S273" s="79">
        <f>Valores!$C$45*D273</f>
        <v>732.74199572000009</v>
      </c>
      <c r="T273" s="61">
        <f>Valores!$C$22*D273</f>
        <v>1075.25</v>
      </c>
      <c r="U273" s="77">
        <f t="shared" si="45"/>
        <v>1075.25</v>
      </c>
      <c r="V273" s="77">
        <v>0</v>
      </c>
      <c r="W273" s="77">
        <v>0</v>
      </c>
      <c r="X273" s="37">
        <v>0</v>
      </c>
      <c r="Y273" s="77">
        <f>X273*Valores!$C$2*1.006901</f>
        <v>0</v>
      </c>
      <c r="Z273" s="77">
        <v>0</v>
      </c>
      <c r="AA273" s="89">
        <f>(Valores!$C$32)*D273</f>
        <v>121.44000000000001</v>
      </c>
      <c r="AB273" s="77">
        <f t="shared" si="48"/>
        <v>0</v>
      </c>
      <c r="AC273" s="77">
        <f>Valores!$C$33*D273</f>
        <v>101.66</v>
      </c>
      <c r="AD273" s="116">
        <v>0</v>
      </c>
      <c r="AE273" s="77">
        <f>AD273*Valores!$C$2*1.006901</f>
        <v>0</v>
      </c>
      <c r="AF273" s="77">
        <f>Valores!$D$51*D273</f>
        <v>416.42251138227994</v>
      </c>
      <c r="AG273" s="77">
        <f>Valores!$D$52*D273</f>
        <v>118.98674364878379</v>
      </c>
      <c r="AH273" s="77">
        <f>SUM(G273,I273,K273,M273,N273,O273,P273,Q273,R273,S273,U273,V273,W273,Y273,Z273,AA273,AB273,AC273,AE273,AF273,AG273)*Valores!$C$54</f>
        <v>0</v>
      </c>
      <c r="AI273" s="139">
        <f t="shared" si="52"/>
        <v>18963.69423996906</v>
      </c>
      <c r="AJ273" s="61">
        <f>Valores!$C$36*D273</f>
        <v>331.26133333333331</v>
      </c>
      <c r="AK273" s="79">
        <f>Valores!$C$11*D273</f>
        <v>197.08073273000002</v>
      </c>
      <c r="AL273" s="89">
        <v>173.29672420899999</v>
      </c>
      <c r="AM273" s="79">
        <f>IF($G$4="SI",SUM(AK273+AL273),AK273)*Valores!$C$54</f>
        <v>0</v>
      </c>
      <c r="AN273" s="12">
        <f t="shared" si="49"/>
        <v>701.63879027233327</v>
      </c>
      <c r="AO273" s="13">
        <f>AI273*-Valores!$C$56</f>
        <v>-2465.2802511959781</v>
      </c>
      <c r="AP273" s="13">
        <f>AI273*-Valores!$C$57</f>
        <v>-94.818471199845305</v>
      </c>
      <c r="AQ273" s="78">
        <f>AI273*-Valores!$C$58</f>
        <v>-853.36624079860769</v>
      </c>
      <c r="AR273" s="78">
        <f>AI273*-Valores!$C$59</f>
        <v>-512.01974447916473</v>
      </c>
      <c r="AS273" s="78">
        <f>AI273*-Valores!$C$60</f>
        <v>-56.891082719907182</v>
      </c>
      <c r="AT273" s="15">
        <f t="shared" si="50"/>
        <v>16251.868067046962</v>
      </c>
      <c r="AU273" s="15">
        <f t="shared" si="51"/>
        <v>16536.323480646501</v>
      </c>
      <c r="AV273" s="78">
        <f>AI273*Valores!$C$61</f>
        <v>3034.1910783950498</v>
      </c>
      <c r="AW273" s="78">
        <f>AI273*Valores!$C$62</f>
        <v>853.36624079860769</v>
      </c>
      <c r="AX273" s="78">
        <f>AI273*Valores!$C$64</f>
        <v>189.63694239969061</v>
      </c>
      <c r="AY273" s="78">
        <f>AI273*Valores!$C$65</f>
        <v>663.72929839891719</v>
      </c>
      <c r="AZ273" s="78">
        <f>AI273*Valores!$C$66</f>
        <v>113.78216543981436</v>
      </c>
      <c r="BA273" s="78">
        <f t="shared" si="53"/>
        <v>1024.0394889583292</v>
      </c>
      <c r="BB273" s="20"/>
      <c r="BC273" s="20">
        <f t="shared" si="46"/>
        <v>92</v>
      </c>
      <c r="BD273" s="9" t="s">
        <v>467</v>
      </c>
    </row>
    <row r="274" spans="1:56" s="9" customFormat="1" ht="11.25" customHeight="1" x14ac:dyDescent="0.15">
      <c r="A274" s="20">
        <v>273</v>
      </c>
      <c r="B274" s="20"/>
      <c r="C274" s="9" t="s">
        <v>355</v>
      </c>
      <c r="D274" s="9">
        <v>23</v>
      </c>
      <c r="E274" s="10" t="str">
        <f>CONCATENATE("Hora Cátedra Enseñanza Media ",D274," hs Esc Esp")</f>
        <v>Hora Cátedra Enseñanza Media 23 hs Esc Esp</v>
      </c>
      <c r="F274" s="123">
        <f t="shared" si="47"/>
        <v>1817</v>
      </c>
      <c r="G274" s="7">
        <f>INT((F274*Valores!$C$2*100*1.006901)+0.5)/100</f>
        <v>9562.64</v>
      </c>
      <c r="H274" s="132">
        <v>0</v>
      </c>
      <c r="I274" s="77">
        <f>INT((H274*Valores!$C$2*100*1.006901)+0.5)/100</f>
        <v>0</v>
      </c>
      <c r="J274" s="145">
        <v>0</v>
      </c>
      <c r="K274" s="77">
        <f>INT((J274*Valores!$C$2*100*1.006901)+0.5)/100</f>
        <v>0</v>
      </c>
      <c r="L274" s="120">
        <v>0</v>
      </c>
      <c r="M274" s="77">
        <f>INT((L274*Valores!$C$2*100*1.006901)+0.5)/100</f>
        <v>0</v>
      </c>
      <c r="N274" s="77">
        <f t="shared" si="54"/>
        <v>1705.5947993579998</v>
      </c>
      <c r="O274" s="77">
        <f t="shared" si="55"/>
        <v>0</v>
      </c>
      <c r="P274" s="61">
        <f>Valores!$C$14*D274</f>
        <v>2774.87818986</v>
      </c>
      <c r="Q274" s="61">
        <f>IF(D274&lt;15,(Valores!$E$4*D274),Valores!$D$4)</f>
        <v>2354.08</v>
      </c>
      <c r="R274" s="77">
        <v>0</v>
      </c>
      <c r="S274" s="79">
        <f>Valores!$C$45*D274</f>
        <v>732.74199572000009</v>
      </c>
      <c r="T274" s="61">
        <f>Valores!$C$22*D274</f>
        <v>1075.25</v>
      </c>
      <c r="U274" s="77">
        <f t="shared" si="45"/>
        <v>1075.25</v>
      </c>
      <c r="V274" s="77">
        <v>0</v>
      </c>
      <c r="W274" s="77">
        <v>0</v>
      </c>
      <c r="X274" s="37">
        <v>0</v>
      </c>
      <c r="Y274" s="77">
        <f>X274*Valores!$C$2*1.006901</f>
        <v>0</v>
      </c>
      <c r="Z274" s="77">
        <v>0</v>
      </c>
      <c r="AA274" s="89">
        <f>(Valores!$C$32)*D274</f>
        <v>121.44000000000001</v>
      </c>
      <c r="AB274" s="77">
        <f t="shared" si="48"/>
        <v>0</v>
      </c>
      <c r="AC274" s="77">
        <f>Valores!$C$33*D274</f>
        <v>101.66</v>
      </c>
      <c r="AD274" s="116">
        <v>94</v>
      </c>
      <c r="AE274" s="77">
        <f>AD274*Valores!$C$2*1.006901</f>
        <v>494.70979379919999</v>
      </c>
      <c r="AF274" s="77">
        <f>Valores!$D$51*D274</f>
        <v>416.42251138227994</v>
      </c>
      <c r="AG274" s="77">
        <f>Valores!$D$52*D274</f>
        <v>118.98674364878379</v>
      </c>
      <c r="AH274" s="77">
        <f>SUM(G274,I274,K274,M274,N274,O274,P274,Q274,R274,S274,U274,V274,W274,Y274,Z274,AA274,AB274,AC274,AE274,AF274,AG274)*Valores!$C$54</f>
        <v>0</v>
      </c>
      <c r="AI274" s="139">
        <f t="shared" si="52"/>
        <v>19458.40403376826</v>
      </c>
      <c r="AJ274" s="61">
        <f>Valores!$C$36*D274</f>
        <v>331.26133333333331</v>
      </c>
      <c r="AK274" s="79">
        <f>Valores!$C$11*D274</f>
        <v>197.08073273000002</v>
      </c>
      <c r="AL274" s="89">
        <v>173.29672420899999</v>
      </c>
      <c r="AM274" s="79">
        <f>IF($G$4="SI",SUM(AK274+AL274),AK274)*Valores!$C$54</f>
        <v>0</v>
      </c>
      <c r="AN274" s="12">
        <f t="shared" si="49"/>
        <v>701.63879027233327</v>
      </c>
      <c r="AO274" s="13">
        <f>AI274*-Valores!$C$56</f>
        <v>-2529.5925243898737</v>
      </c>
      <c r="AP274" s="13">
        <f>AI274*-Valores!$C$57</f>
        <v>-97.292020168841304</v>
      </c>
      <c r="AQ274" s="78">
        <f>AI274*-Valores!$C$58</f>
        <v>-875.62818151957163</v>
      </c>
      <c r="AR274" s="78">
        <f>AI274*-Valores!$C$59</f>
        <v>-525.37690891174304</v>
      </c>
      <c r="AS274" s="78">
        <f>AI274*-Valores!$C$60</f>
        <v>-58.375212101304783</v>
      </c>
      <c r="AT274" s="15">
        <f t="shared" si="50"/>
        <v>16657.530097962303</v>
      </c>
      <c r="AU274" s="15">
        <f t="shared" si="51"/>
        <v>16949.406158468828</v>
      </c>
      <c r="AV274" s="78">
        <f>AI274*Valores!$C$61</f>
        <v>3113.3446454029217</v>
      </c>
      <c r="AW274" s="78">
        <f>AI274*Valores!$C$62</f>
        <v>875.62818151957163</v>
      </c>
      <c r="AX274" s="78">
        <f>AI274*Valores!$C$64</f>
        <v>194.58404033768261</v>
      </c>
      <c r="AY274" s="78">
        <f>AI274*Valores!$C$65</f>
        <v>681.04414118188913</v>
      </c>
      <c r="AZ274" s="78">
        <f>AI274*Valores!$C$66</f>
        <v>116.75042420260957</v>
      </c>
      <c r="BA274" s="78">
        <f t="shared" si="53"/>
        <v>1050.7538178234861</v>
      </c>
      <c r="BB274" s="20"/>
      <c r="BC274" s="55">
        <f t="shared" si="46"/>
        <v>92</v>
      </c>
      <c r="BD274" s="9" t="s">
        <v>467</v>
      </c>
    </row>
    <row r="275" spans="1:56" s="9" customFormat="1" ht="11.25" customHeight="1" x14ac:dyDescent="0.15">
      <c r="A275" s="20">
        <v>274</v>
      </c>
      <c r="B275" s="20"/>
      <c r="C275" s="9" t="s">
        <v>355</v>
      </c>
      <c r="D275" s="9">
        <v>24</v>
      </c>
      <c r="E275" s="10" t="str">
        <f>CONCATENATE("Hora Cátedra Enseñanza Media ",D275," hs")</f>
        <v>Hora Cátedra Enseñanza Media 24 hs</v>
      </c>
      <c r="F275" s="123">
        <f t="shared" si="47"/>
        <v>1896</v>
      </c>
      <c r="G275" s="7">
        <f>INT((F275*Valores!$C$2*100*1.006901)+0.5)/100</f>
        <v>9978.4</v>
      </c>
      <c r="H275" s="132">
        <v>0</v>
      </c>
      <c r="I275" s="77">
        <f>INT((H275*Valores!$C$2*100*1.006901)+0.5)/100</f>
        <v>0</v>
      </c>
      <c r="J275" s="145">
        <v>0</v>
      </c>
      <c r="K275" s="77">
        <f>INT((J275*Valores!$C$2*100*1.006901)+0.5)/100</f>
        <v>0</v>
      </c>
      <c r="L275" s="120">
        <v>0</v>
      </c>
      <c r="M275" s="77">
        <f>INT((L275*Valores!$C$2*100*1.006901)+0.5)/100</f>
        <v>0</v>
      </c>
      <c r="N275" s="77">
        <f t="shared" si="54"/>
        <v>1779.7500515039999</v>
      </c>
      <c r="O275" s="77">
        <f t="shared" si="55"/>
        <v>0</v>
      </c>
      <c r="P275" s="61">
        <f>Valores!$C$14*D275</f>
        <v>2895.5250676800001</v>
      </c>
      <c r="Q275" s="61">
        <f>IF(D275&lt;15,(Valores!$E$4*D275),Valores!$D$4)</f>
        <v>2354.08</v>
      </c>
      <c r="R275" s="77">
        <v>0</v>
      </c>
      <c r="S275" s="79">
        <f>Valores!$C$45*D275</f>
        <v>764.60034336000001</v>
      </c>
      <c r="T275" s="61">
        <f>Valores!$C$22*D275</f>
        <v>1122</v>
      </c>
      <c r="U275" s="77">
        <f t="shared" si="45"/>
        <v>1122</v>
      </c>
      <c r="V275" s="77">
        <v>0</v>
      </c>
      <c r="W275" s="77">
        <v>0</v>
      </c>
      <c r="X275" s="37">
        <v>0</v>
      </c>
      <c r="Y275" s="77">
        <f>X275*Valores!$C$2*1.006901</f>
        <v>0</v>
      </c>
      <c r="Z275" s="77">
        <v>0</v>
      </c>
      <c r="AA275" s="89">
        <f>(Valores!$C$32)*D275</f>
        <v>126.72</v>
      </c>
      <c r="AB275" s="77">
        <f t="shared" si="48"/>
        <v>0</v>
      </c>
      <c r="AC275" s="77">
        <f>Valores!$C$33*D275</f>
        <v>106.08</v>
      </c>
      <c r="AD275" s="116">
        <v>0</v>
      </c>
      <c r="AE275" s="77">
        <f>AD275*Valores!$C$2*1.006901</f>
        <v>0</v>
      </c>
      <c r="AF275" s="77">
        <f>Valores!$D$51*D275</f>
        <v>434.52783796411825</v>
      </c>
      <c r="AG275" s="77">
        <f>Valores!$D$52*D275</f>
        <v>124.16008032916568</v>
      </c>
      <c r="AH275" s="77">
        <f>SUM(G275,I275,K275,M275,N275,O275,P275,Q275,R275,S275,U275,V275,W275,Y275,Z275,AA275,AB275,AC275,AE275,AF275,AG275)*Valores!$C$54</f>
        <v>0</v>
      </c>
      <c r="AI275" s="139">
        <f t="shared" si="52"/>
        <v>19685.843380837287</v>
      </c>
      <c r="AJ275" s="61">
        <f>Valores!$C$36*D275</f>
        <v>345.66399999999999</v>
      </c>
      <c r="AK275" s="79">
        <f>Valores!$C$11*D275</f>
        <v>205.64946024</v>
      </c>
      <c r="AL275" s="89">
        <v>180.83136439199998</v>
      </c>
      <c r="AM275" s="79">
        <f>IF($G$4="SI",SUM(AK275+AL275),AK275)*Valores!$C$54</f>
        <v>0</v>
      </c>
      <c r="AN275" s="12">
        <f t="shared" si="49"/>
        <v>732.144824632</v>
      </c>
      <c r="AO275" s="13">
        <f>AI275*-Valores!$C$56</f>
        <v>-2559.1596395088472</v>
      </c>
      <c r="AP275" s="13">
        <f>AI275*-Valores!$C$57</f>
        <v>-98.429216904186433</v>
      </c>
      <c r="AQ275" s="78">
        <f>AI275*-Valores!$C$58</f>
        <v>-885.86295213767789</v>
      </c>
      <c r="AR275" s="78">
        <f>AI275*-Valores!$C$59</f>
        <v>-531.51777128260676</v>
      </c>
      <c r="AS275" s="78">
        <f>AI275*-Valores!$C$60</f>
        <v>-59.057530142511858</v>
      </c>
      <c r="AT275" s="15">
        <f t="shared" si="50"/>
        <v>16874.536396918571</v>
      </c>
      <c r="AU275" s="15">
        <f t="shared" si="51"/>
        <v>17169.824047631133</v>
      </c>
      <c r="AV275" s="78">
        <f>AI275*Valores!$C$61</f>
        <v>3149.7349409339658</v>
      </c>
      <c r="AW275" s="78">
        <f>AI275*Valores!$C$62</f>
        <v>885.86295213767789</v>
      </c>
      <c r="AX275" s="78">
        <f>AI275*Valores!$C$64</f>
        <v>196.85843380837287</v>
      </c>
      <c r="AY275" s="78">
        <f>AI275*Valores!$C$65</f>
        <v>689.00451832930514</v>
      </c>
      <c r="AZ275" s="78">
        <f>AI275*Valores!$C$66</f>
        <v>118.11506028502372</v>
      </c>
      <c r="BA275" s="78">
        <f t="shared" si="53"/>
        <v>1063.0355425652135</v>
      </c>
      <c r="BB275" s="20"/>
      <c r="BC275" s="20">
        <f t="shared" si="46"/>
        <v>96</v>
      </c>
      <c r="BD275" s="9" t="s">
        <v>467</v>
      </c>
    </row>
    <row r="276" spans="1:56" s="9" customFormat="1" ht="11.25" customHeight="1" x14ac:dyDescent="0.15">
      <c r="A276" s="55">
        <v>275</v>
      </c>
      <c r="B276" s="55" t="s">
        <v>462</v>
      </c>
      <c r="C276" s="52" t="s">
        <v>355</v>
      </c>
      <c r="D276" s="52">
        <v>24</v>
      </c>
      <c r="E276" s="53" t="str">
        <f>CONCATENATE("Hora Cátedra Enseñanza Media ",D276," hs Esc Esp")</f>
        <v>Hora Cátedra Enseñanza Media 24 hs Esc Esp</v>
      </c>
      <c r="F276" s="124">
        <f t="shared" si="47"/>
        <v>1896</v>
      </c>
      <c r="G276" s="7">
        <f>INT((F276*Valores!$C$2*100*1.006901)+0.5)/100</f>
        <v>9978.4</v>
      </c>
      <c r="H276" s="131">
        <v>0</v>
      </c>
      <c r="I276" s="77">
        <f>INT((H276*Valores!$C$2*100*1.006901)+0.5)/100</f>
        <v>0</v>
      </c>
      <c r="J276" s="146">
        <v>0</v>
      </c>
      <c r="K276" s="77">
        <f>INT((J276*Valores!$C$2*100*1.006901)+0.5)/100</f>
        <v>0</v>
      </c>
      <c r="L276" s="121">
        <v>0</v>
      </c>
      <c r="M276" s="77">
        <f>INT((L276*Valores!$C$2*100*1.006901)+0.5)/100</f>
        <v>0</v>
      </c>
      <c r="N276" s="80">
        <f t="shared" si="54"/>
        <v>1779.7500515039999</v>
      </c>
      <c r="O276" s="80">
        <f t="shared" si="55"/>
        <v>0</v>
      </c>
      <c r="P276" s="85">
        <f>Valores!$C$14*D276</f>
        <v>2895.5250676800001</v>
      </c>
      <c r="Q276" s="85">
        <f>IF(D276&lt;15,(Valores!$E$4*D276),Valores!$D$4)</f>
        <v>2354.08</v>
      </c>
      <c r="R276" s="80">
        <v>0</v>
      </c>
      <c r="S276" s="82">
        <f>Valores!$C$45*D276</f>
        <v>764.60034336000001</v>
      </c>
      <c r="T276" s="85">
        <f>Valores!$C$22*D276</f>
        <v>1122</v>
      </c>
      <c r="U276" s="80">
        <f t="shared" si="45"/>
        <v>1122</v>
      </c>
      <c r="V276" s="80">
        <v>0</v>
      </c>
      <c r="W276" s="80">
        <v>0</v>
      </c>
      <c r="X276" s="60">
        <v>0</v>
      </c>
      <c r="Y276" s="77">
        <f>X276*Valores!$C$2*1.006901</f>
        <v>0</v>
      </c>
      <c r="Z276" s="80">
        <v>0</v>
      </c>
      <c r="AA276" s="90">
        <f>(Valores!$C$32)*D276</f>
        <v>126.72</v>
      </c>
      <c r="AB276" s="80">
        <f t="shared" si="48"/>
        <v>0</v>
      </c>
      <c r="AC276" s="80">
        <f>Valores!$C$33*D276</f>
        <v>106.08</v>
      </c>
      <c r="AD276" s="115">
        <v>94</v>
      </c>
      <c r="AE276" s="77">
        <f>AD276*Valores!$C$2*1.006901</f>
        <v>494.70979379919999</v>
      </c>
      <c r="AF276" s="80">
        <f>Valores!$D$51*D276</f>
        <v>434.52783796411825</v>
      </c>
      <c r="AG276" s="80">
        <f>Valores!$D$52*D276</f>
        <v>124.16008032916568</v>
      </c>
      <c r="AH276" s="80">
        <f>SUM(G276,I276,K276,M276,N276,O276,P276,Q276,R276,S276,U276,V276,W276,Y276,Z276,AA276,AB276,AC276,AE276,AF276,AG276)*Valores!$C$54</f>
        <v>0</v>
      </c>
      <c r="AI276" s="140">
        <f t="shared" si="52"/>
        <v>20180.553174636487</v>
      </c>
      <c r="AJ276" s="85">
        <f>Valores!$C$36*D276</f>
        <v>345.66399999999999</v>
      </c>
      <c r="AK276" s="82">
        <f>Valores!$C$11*D276</f>
        <v>205.64946024</v>
      </c>
      <c r="AL276" s="90">
        <v>180.83136439199998</v>
      </c>
      <c r="AM276" s="82">
        <f>IF($G$4="SI",SUM(AK276+AL276),AK276)*Valores!$C$54</f>
        <v>0</v>
      </c>
      <c r="AN276" s="184">
        <f t="shared" si="49"/>
        <v>732.144824632</v>
      </c>
      <c r="AO276" s="153">
        <f>AI276*-Valores!$C$56</f>
        <v>-2623.4719127027433</v>
      </c>
      <c r="AP276" s="153">
        <f>AI276*-Valores!$C$57</f>
        <v>-100.90276587318243</v>
      </c>
      <c r="AQ276" s="81">
        <f>AI276*-Valores!$C$58</f>
        <v>-908.12489285864183</v>
      </c>
      <c r="AR276" s="81">
        <f>AI276*-Valores!$C$59</f>
        <v>-544.87493571518519</v>
      </c>
      <c r="AS276" s="81">
        <f>AI276*-Valores!$C$60</f>
        <v>-60.541659523909459</v>
      </c>
      <c r="AT276" s="54">
        <f t="shared" si="50"/>
        <v>17280.198427833919</v>
      </c>
      <c r="AU276" s="54">
        <f t="shared" si="51"/>
        <v>17582.906725453464</v>
      </c>
      <c r="AV276" s="81">
        <f>AI276*Valores!$C$61</f>
        <v>3228.8885079418378</v>
      </c>
      <c r="AW276" s="81">
        <f>AI276*Valores!$C$62</f>
        <v>908.12489285864183</v>
      </c>
      <c r="AX276" s="81">
        <f>AI276*Valores!$C$64</f>
        <v>201.80553174636486</v>
      </c>
      <c r="AY276" s="81">
        <f>AI276*Valores!$C$65</f>
        <v>706.31936111227708</v>
      </c>
      <c r="AZ276" s="81">
        <f>AI276*Valores!$C$66</f>
        <v>121.08331904781892</v>
      </c>
      <c r="BA276" s="81">
        <f t="shared" si="53"/>
        <v>1089.7498714303704</v>
      </c>
      <c r="BB276" s="55"/>
      <c r="BC276" s="55">
        <f t="shared" si="46"/>
        <v>96</v>
      </c>
      <c r="BD276" s="52" t="s">
        <v>467</v>
      </c>
    </row>
    <row r="277" spans="1:56" s="9" customFormat="1" ht="11.25" customHeight="1" x14ac:dyDescent="0.15">
      <c r="A277" s="20">
        <v>276</v>
      </c>
      <c r="B277" s="20"/>
      <c r="C277" s="9" t="s">
        <v>355</v>
      </c>
      <c r="D277" s="9">
        <v>25</v>
      </c>
      <c r="E277" s="10" t="str">
        <f>CONCATENATE("Hora Cátedra Enseñanza Media ",D277," hs")</f>
        <v>Hora Cátedra Enseñanza Media 25 hs</v>
      </c>
      <c r="F277" s="123">
        <f t="shared" si="47"/>
        <v>1975</v>
      </c>
      <c r="G277" s="7">
        <f>INT((F277*Valores!$C$2*100*1.006901)+0.5)/100</f>
        <v>10394.17</v>
      </c>
      <c r="H277" s="132">
        <v>0</v>
      </c>
      <c r="I277" s="77">
        <f>INT((H277*Valores!$C$2*100*1.006901)+0.5)/100</f>
        <v>0</v>
      </c>
      <c r="J277" s="145">
        <v>0</v>
      </c>
      <c r="K277" s="77">
        <f>INT((J277*Valores!$C$2*100*1.006901)+0.5)/100</f>
        <v>0</v>
      </c>
      <c r="L277" s="120">
        <v>0</v>
      </c>
      <c r="M277" s="77">
        <f>INT((L277*Valores!$C$2*100*1.006901)+0.5)/100</f>
        <v>0</v>
      </c>
      <c r="N277" s="77">
        <f t="shared" si="54"/>
        <v>1853.9068036499998</v>
      </c>
      <c r="O277" s="77">
        <f t="shared" si="55"/>
        <v>0</v>
      </c>
      <c r="P277" s="61">
        <f>Valores!$C$14*D277</f>
        <v>3016.1719455000002</v>
      </c>
      <c r="Q277" s="61">
        <f>IF(D277&lt;15,(Valores!$E$4*D277),Valores!$D$4)</f>
        <v>2354.08</v>
      </c>
      <c r="R277" s="77">
        <v>0</v>
      </c>
      <c r="S277" s="79">
        <f>Valores!$C$45*D277</f>
        <v>796.45869100000004</v>
      </c>
      <c r="T277" s="61">
        <f>Valores!$C$22*D277</f>
        <v>1168.75</v>
      </c>
      <c r="U277" s="77">
        <f t="shared" si="45"/>
        <v>1168.75</v>
      </c>
      <c r="V277" s="77">
        <v>0</v>
      </c>
      <c r="W277" s="77">
        <v>0</v>
      </c>
      <c r="X277" s="37">
        <v>0</v>
      </c>
      <c r="Y277" s="77">
        <f>X277*Valores!$C$2*1.006901</f>
        <v>0</v>
      </c>
      <c r="Z277" s="77">
        <v>0</v>
      </c>
      <c r="AA277" s="89">
        <f>(Valores!$C$32)*D277</f>
        <v>132</v>
      </c>
      <c r="AB277" s="77">
        <f t="shared" si="48"/>
        <v>0</v>
      </c>
      <c r="AC277" s="77">
        <f>Valores!$C$33*D277</f>
        <v>110.5</v>
      </c>
      <c r="AD277" s="116">
        <v>0</v>
      </c>
      <c r="AE277" s="77">
        <f>AD277*Valores!$C$2*1.006901</f>
        <v>0</v>
      </c>
      <c r="AF277" s="77">
        <f>Valores!$D$51*D277</f>
        <v>452.6331645459565</v>
      </c>
      <c r="AG277" s="77">
        <f>Valores!$D$52*D277</f>
        <v>129.33341700954759</v>
      </c>
      <c r="AH277" s="77">
        <f>SUM(G277,I277,K277,M277,N277,O277,P277,Q277,R277,S277,U277,V277,W277,Y277,Z277,AA277,AB277,AC277,AE277,AF277,AG277)*Valores!$C$54</f>
        <v>0</v>
      </c>
      <c r="AI277" s="139">
        <f t="shared" si="52"/>
        <v>20408.004021705507</v>
      </c>
      <c r="AJ277" s="61">
        <f>Valores!$C$36*D277</f>
        <v>360.06666666666666</v>
      </c>
      <c r="AK277" s="79">
        <f>Valores!$C$11*D277</f>
        <v>214.21818775</v>
      </c>
      <c r="AL277" s="89">
        <v>188.36600457500001</v>
      </c>
      <c r="AM277" s="79">
        <f>IF($G$4="SI",SUM(AK277+AL277),AK277)*Valores!$C$54</f>
        <v>0</v>
      </c>
      <c r="AN277" s="12">
        <f t="shared" si="49"/>
        <v>762.65085899166672</v>
      </c>
      <c r="AO277" s="13">
        <f>AI277*-Valores!$C$56</f>
        <v>-2653.040522821716</v>
      </c>
      <c r="AP277" s="13">
        <f>AI277*-Valores!$C$57</f>
        <v>-102.04002010852753</v>
      </c>
      <c r="AQ277" s="78">
        <f>AI277*-Valores!$C$58</f>
        <v>-918.36018097674776</v>
      </c>
      <c r="AR277" s="78">
        <f>AI277*-Valores!$C$59</f>
        <v>-551.01610858604874</v>
      </c>
      <c r="AS277" s="78">
        <f>AI277*-Valores!$C$60</f>
        <v>-61.224012065116518</v>
      </c>
      <c r="AT277" s="15">
        <f t="shared" si="50"/>
        <v>17497.214156790182</v>
      </c>
      <c r="AU277" s="15">
        <f t="shared" si="51"/>
        <v>17803.334217115764</v>
      </c>
      <c r="AV277" s="78">
        <f>AI277*Valores!$C$61</f>
        <v>3265.2806434728809</v>
      </c>
      <c r="AW277" s="78">
        <f>AI277*Valores!$C$62</f>
        <v>918.36018097674776</v>
      </c>
      <c r="AX277" s="78">
        <f>AI277*Valores!$C$64</f>
        <v>204.08004021705506</v>
      </c>
      <c r="AY277" s="78">
        <f>AI277*Valores!$C$65</f>
        <v>714.28014075969281</v>
      </c>
      <c r="AZ277" s="78">
        <f>AI277*Valores!$C$66</f>
        <v>122.44802413023304</v>
      </c>
      <c r="BA277" s="78">
        <f t="shared" si="53"/>
        <v>1102.0322171720975</v>
      </c>
      <c r="BB277" s="20"/>
      <c r="BC277" s="20">
        <f t="shared" si="46"/>
        <v>100</v>
      </c>
      <c r="BD277" s="9" t="s">
        <v>467</v>
      </c>
    </row>
    <row r="278" spans="1:56" s="9" customFormat="1" ht="11.25" customHeight="1" x14ac:dyDescent="0.15">
      <c r="A278" s="20">
        <v>277</v>
      </c>
      <c r="B278" s="20"/>
      <c r="C278" s="9" t="s">
        <v>355</v>
      </c>
      <c r="D278" s="9">
        <v>25</v>
      </c>
      <c r="E278" s="10" t="str">
        <f>CONCATENATE("Hora Cátedra Enseñanza Media ",D278," hs Esc Esp")</f>
        <v>Hora Cátedra Enseñanza Media 25 hs Esc Esp</v>
      </c>
      <c r="F278" s="123">
        <f t="shared" si="47"/>
        <v>1975</v>
      </c>
      <c r="G278" s="7">
        <f>INT((F278*Valores!$C$2*100*1.006901)+0.5)/100</f>
        <v>10394.17</v>
      </c>
      <c r="H278" s="132">
        <v>0</v>
      </c>
      <c r="I278" s="77">
        <f>INT((H278*Valores!$C$2*100*1.006901)+0.5)/100</f>
        <v>0</v>
      </c>
      <c r="J278" s="145">
        <v>0</v>
      </c>
      <c r="K278" s="77">
        <f>INT((J278*Valores!$C$2*100*1.006901)+0.5)/100</f>
        <v>0</v>
      </c>
      <c r="L278" s="120">
        <v>0</v>
      </c>
      <c r="M278" s="77">
        <f>INT((L278*Valores!$C$2*100*1.006901)+0.5)/100</f>
        <v>0</v>
      </c>
      <c r="N278" s="77">
        <f t="shared" si="54"/>
        <v>1853.9068036499998</v>
      </c>
      <c r="O278" s="77">
        <f t="shared" si="55"/>
        <v>0</v>
      </c>
      <c r="P278" s="61">
        <f>Valores!$C$14*D278</f>
        <v>3016.1719455000002</v>
      </c>
      <c r="Q278" s="61">
        <f>IF(D278&lt;15,(Valores!$E$4*D278),Valores!$D$4)</f>
        <v>2354.08</v>
      </c>
      <c r="R278" s="77">
        <v>0</v>
      </c>
      <c r="S278" s="79">
        <f>Valores!$C$45*D278</f>
        <v>796.45869100000004</v>
      </c>
      <c r="T278" s="61">
        <f>Valores!$C$22*D278</f>
        <v>1168.75</v>
      </c>
      <c r="U278" s="77">
        <f t="shared" si="45"/>
        <v>1168.75</v>
      </c>
      <c r="V278" s="77">
        <v>0</v>
      </c>
      <c r="W278" s="77">
        <v>0</v>
      </c>
      <c r="X278" s="37">
        <v>0</v>
      </c>
      <c r="Y278" s="77">
        <f>X278*Valores!$C$2*1.006901</f>
        <v>0</v>
      </c>
      <c r="Z278" s="77">
        <v>0</v>
      </c>
      <c r="AA278" s="89">
        <f>(Valores!$C$32)*D278</f>
        <v>132</v>
      </c>
      <c r="AB278" s="77">
        <f t="shared" si="48"/>
        <v>0</v>
      </c>
      <c r="AC278" s="77">
        <f>Valores!$C$33*D278</f>
        <v>110.5</v>
      </c>
      <c r="AD278" s="116">
        <v>94</v>
      </c>
      <c r="AE278" s="77">
        <f>AD278*Valores!$C$2*1.006901</f>
        <v>494.70979379919999</v>
      </c>
      <c r="AF278" s="77">
        <f>Valores!$D$51*D278</f>
        <v>452.6331645459565</v>
      </c>
      <c r="AG278" s="77">
        <f>Valores!$D$52*D278</f>
        <v>129.33341700954759</v>
      </c>
      <c r="AH278" s="77">
        <f>SUM(G278,I278,K278,M278,N278,O278,P278,Q278,R278,S278,U278,V278,W278,Y278,Z278,AA278,AB278,AC278,AE278,AF278,AG278)*Valores!$C$54</f>
        <v>0</v>
      </c>
      <c r="AI278" s="139">
        <f t="shared" si="52"/>
        <v>20902.713815504707</v>
      </c>
      <c r="AJ278" s="61">
        <f>Valores!$C$36*D278</f>
        <v>360.06666666666666</v>
      </c>
      <c r="AK278" s="79">
        <f>Valores!$C$11*D278</f>
        <v>214.21818775</v>
      </c>
      <c r="AL278" s="89">
        <v>188.36600457500001</v>
      </c>
      <c r="AM278" s="79">
        <f>IF($G$4="SI",SUM(AK278+AL278),AK278)*Valores!$C$54</f>
        <v>0</v>
      </c>
      <c r="AN278" s="12">
        <f t="shared" si="49"/>
        <v>762.65085899166672</v>
      </c>
      <c r="AO278" s="13">
        <f>AI278*-Valores!$C$56</f>
        <v>-2717.3527960156121</v>
      </c>
      <c r="AP278" s="13">
        <f>AI278*-Valores!$C$57</f>
        <v>-104.51356907752354</v>
      </c>
      <c r="AQ278" s="78">
        <f>AI278*-Valores!$C$58</f>
        <v>-940.6221216977118</v>
      </c>
      <c r="AR278" s="78">
        <f>AI278*-Valores!$C$59</f>
        <v>-564.37327301862717</v>
      </c>
      <c r="AS278" s="78">
        <f>AI278*-Valores!$C$60</f>
        <v>-62.708141446514119</v>
      </c>
      <c r="AT278" s="15">
        <f t="shared" si="50"/>
        <v>17902.876187705526</v>
      </c>
      <c r="AU278" s="15">
        <f t="shared" si="51"/>
        <v>18216.416894938095</v>
      </c>
      <c r="AV278" s="78">
        <f>AI278*Valores!$C$61</f>
        <v>3344.4342104807533</v>
      </c>
      <c r="AW278" s="78">
        <f>AI278*Valores!$C$62</f>
        <v>940.6221216977118</v>
      </c>
      <c r="AX278" s="78">
        <f>AI278*Valores!$C$64</f>
        <v>209.02713815504708</v>
      </c>
      <c r="AY278" s="78">
        <f>AI278*Valores!$C$65</f>
        <v>731.59498354266486</v>
      </c>
      <c r="AZ278" s="78">
        <f>AI278*Valores!$C$66</f>
        <v>125.41628289302824</v>
      </c>
      <c r="BA278" s="78">
        <f t="shared" si="53"/>
        <v>1128.7465460372543</v>
      </c>
      <c r="BB278" s="20"/>
      <c r="BC278" s="20">
        <f t="shared" si="46"/>
        <v>100</v>
      </c>
      <c r="BD278" s="9" t="s">
        <v>467</v>
      </c>
    </row>
    <row r="279" spans="1:56" s="9" customFormat="1" ht="11.25" customHeight="1" x14ac:dyDescent="0.15">
      <c r="A279" s="20">
        <v>278</v>
      </c>
      <c r="B279" s="20"/>
      <c r="C279" s="9" t="s">
        <v>355</v>
      </c>
      <c r="D279" s="9">
        <v>26</v>
      </c>
      <c r="E279" s="10" t="str">
        <f>CONCATENATE("Hora Cátedra Enseñanza Media ",D279," hs")</f>
        <v>Hora Cátedra Enseñanza Media 26 hs</v>
      </c>
      <c r="F279" s="123">
        <f t="shared" si="47"/>
        <v>2054</v>
      </c>
      <c r="G279" s="7">
        <f>INT((F279*Valores!$C$2*100*1.006901)+0.5)/100</f>
        <v>10809.94</v>
      </c>
      <c r="H279" s="132">
        <v>0</v>
      </c>
      <c r="I279" s="77">
        <f>INT((H279*Valores!$C$2*100*1.006901)+0.5)/100</f>
        <v>0</v>
      </c>
      <c r="J279" s="145">
        <v>0</v>
      </c>
      <c r="K279" s="77">
        <f>INT((J279*Valores!$C$2*100*1.006901)+0.5)/100</f>
        <v>0</v>
      </c>
      <c r="L279" s="120">
        <v>0</v>
      </c>
      <c r="M279" s="77">
        <f>INT((L279*Valores!$C$2*100*1.006901)+0.5)/100</f>
        <v>0</v>
      </c>
      <c r="N279" s="77">
        <f t="shared" si="54"/>
        <v>1928.0635557959999</v>
      </c>
      <c r="O279" s="77">
        <f t="shared" si="55"/>
        <v>0</v>
      </c>
      <c r="P279" s="61">
        <f>Valores!$C$14*D279</f>
        <v>3136.8188233199999</v>
      </c>
      <c r="Q279" s="61">
        <f>IF(D279&lt;15,(Valores!$E$4*D279),Valores!$D$4)</f>
        <v>2354.08</v>
      </c>
      <c r="R279" s="77">
        <v>0</v>
      </c>
      <c r="S279" s="79">
        <f>Valores!$C$45*D279</f>
        <v>828.31703864000008</v>
      </c>
      <c r="T279" s="61">
        <f>Valores!$C$22*D279</f>
        <v>1215.5</v>
      </c>
      <c r="U279" s="77">
        <f t="shared" si="45"/>
        <v>1215.5</v>
      </c>
      <c r="V279" s="77">
        <v>0</v>
      </c>
      <c r="W279" s="77">
        <v>0</v>
      </c>
      <c r="X279" s="37">
        <v>0</v>
      </c>
      <c r="Y279" s="77">
        <f>X279*Valores!$C$2*1.006901</f>
        <v>0</v>
      </c>
      <c r="Z279" s="77">
        <v>0</v>
      </c>
      <c r="AA279" s="89">
        <f>(Valores!$C$32)*D279</f>
        <v>137.28</v>
      </c>
      <c r="AB279" s="77">
        <f t="shared" si="48"/>
        <v>0</v>
      </c>
      <c r="AC279" s="77">
        <f>Valores!$C$33*D279</f>
        <v>114.92</v>
      </c>
      <c r="AD279" s="116">
        <v>0</v>
      </c>
      <c r="AE279" s="77">
        <f>AD279*Valores!$C$2*1.006901</f>
        <v>0</v>
      </c>
      <c r="AF279" s="77">
        <f>Valores!$D$51*D279</f>
        <v>470.73849112779476</v>
      </c>
      <c r="AG279" s="77">
        <f>Valores!$D$52*D279</f>
        <v>134.5067536899295</v>
      </c>
      <c r="AH279" s="77">
        <f>SUM(G279,I279,K279,M279,N279,O279,P279,Q279,R279,S279,U279,V279,W279,Y279,Z279,AA279,AB279,AC279,AE279,AF279,AG279)*Valores!$C$54</f>
        <v>0</v>
      </c>
      <c r="AI279" s="139">
        <f t="shared" si="52"/>
        <v>21130.164662573723</v>
      </c>
      <c r="AJ279" s="61">
        <f>Valores!$C$36*D279</f>
        <v>374.46933333333334</v>
      </c>
      <c r="AK279" s="79">
        <f>Valores!$C$11*D279</f>
        <v>222.78691526</v>
      </c>
      <c r="AL279" s="89">
        <v>195.900644758</v>
      </c>
      <c r="AM279" s="79">
        <f>IF($G$4="SI",SUM(AK279+AL279),AK279)*Valores!$C$54</f>
        <v>0</v>
      </c>
      <c r="AN279" s="12">
        <f t="shared" si="49"/>
        <v>793.15689335133334</v>
      </c>
      <c r="AO279" s="13">
        <f>AI279*-Valores!$C$56</f>
        <v>-2746.9214061345842</v>
      </c>
      <c r="AP279" s="13">
        <f>AI279*-Valores!$C$57</f>
        <v>-105.65082331286862</v>
      </c>
      <c r="AQ279" s="78">
        <f>AI279*-Valores!$C$58</f>
        <v>-950.8574098158175</v>
      </c>
      <c r="AR279" s="78">
        <f>AI279*-Valores!$C$59</f>
        <v>-570.51444588949062</v>
      </c>
      <c r="AS279" s="78">
        <f>AI279*-Valores!$C$60</f>
        <v>-63.390493987721172</v>
      </c>
      <c r="AT279" s="15">
        <f t="shared" si="50"/>
        <v>18119.891916661785</v>
      </c>
      <c r="AU279" s="15">
        <f t="shared" si="51"/>
        <v>18436.844386600391</v>
      </c>
      <c r="AV279" s="78">
        <f>AI279*Valores!$C$61</f>
        <v>3380.826346011796</v>
      </c>
      <c r="AW279" s="78">
        <f>AI279*Valores!$C$62</f>
        <v>950.8574098158175</v>
      </c>
      <c r="AX279" s="78">
        <f>AI279*Valores!$C$64</f>
        <v>211.30164662573725</v>
      </c>
      <c r="AY279" s="78">
        <f>AI279*Valores!$C$65</f>
        <v>739.55576319008037</v>
      </c>
      <c r="AZ279" s="78">
        <f>AI279*Valores!$C$66</f>
        <v>126.78098797544234</v>
      </c>
      <c r="BA279" s="78">
        <f t="shared" si="53"/>
        <v>1141.028891778981</v>
      </c>
      <c r="BB279" s="20"/>
      <c r="BC279" s="55">
        <f t="shared" si="46"/>
        <v>104</v>
      </c>
      <c r="BD279" s="9" t="s">
        <v>467</v>
      </c>
    </row>
    <row r="280" spans="1:56" s="9" customFormat="1" ht="11.25" customHeight="1" x14ac:dyDescent="0.15">
      <c r="A280" s="20">
        <v>279</v>
      </c>
      <c r="B280" s="20"/>
      <c r="C280" s="9" t="s">
        <v>355</v>
      </c>
      <c r="D280" s="9">
        <v>26</v>
      </c>
      <c r="E280" s="10" t="str">
        <f>CONCATENATE("Hora Cátedra Enseñanza Media ",D280," hs Esc Esp")</f>
        <v>Hora Cátedra Enseñanza Media 26 hs Esc Esp</v>
      </c>
      <c r="F280" s="123">
        <f t="shared" si="47"/>
        <v>2054</v>
      </c>
      <c r="G280" s="7">
        <f>INT((F280*Valores!$C$2*100*1.006901)+0.5)/100</f>
        <v>10809.94</v>
      </c>
      <c r="H280" s="132">
        <v>0</v>
      </c>
      <c r="I280" s="77">
        <f>INT((H280*Valores!$C$2*100*1.006901)+0.5)/100</f>
        <v>0</v>
      </c>
      <c r="J280" s="145">
        <v>0</v>
      </c>
      <c r="K280" s="77">
        <f>INT((J280*Valores!$C$2*100*1.006901)+0.5)/100</f>
        <v>0</v>
      </c>
      <c r="L280" s="120">
        <v>0</v>
      </c>
      <c r="M280" s="77">
        <f>INT((L280*Valores!$C$2*100*1.006901)+0.5)/100</f>
        <v>0</v>
      </c>
      <c r="N280" s="77">
        <f t="shared" si="54"/>
        <v>1928.0635557959999</v>
      </c>
      <c r="O280" s="77">
        <f t="shared" si="55"/>
        <v>0</v>
      </c>
      <c r="P280" s="61">
        <f>Valores!$C$14*D280</f>
        <v>3136.8188233199999</v>
      </c>
      <c r="Q280" s="61">
        <f>IF(D280&lt;15,(Valores!$E$4*D280),Valores!$D$4)</f>
        <v>2354.08</v>
      </c>
      <c r="R280" s="77">
        <v>0</v>
      </c>
      <c r="S280" s="79">
        <f>Valores!$C$45*D280</f>
        <v>828.31703864000008</v>
      </c>
      <c r="T280" s="61">
        <f>Valores!$C$22*D280</f>
        <v>1215.5</v>
      </c>
      <c r="U280" s="77">
        <f t="shared" si="45"/>
        <v>1215.5</v>
      </c>
      <c r="V280" s="77">
        <v>0</v>
      </c>
      <c r="W280" s="77">
        <v>0</v>
      </c>
      <c r="X280" s="37">
        <v>0</v>
      </c>
      <c r="Y280" s="77">
        <f>X280*Valores!$C$2*1.006901</f>
        <v>0</v>
      </c>
      <c r="Z280" s="77">
        <v>0</v>
      </c>
      <c r="AA280" s="89">
        <f>(Valores!$C$32)*D280</f>
        <v>137.28</v>
      </c>
      <c r="AB280" s="77">
        <f t="shared" si="48"/>
        <v>0</v>
      </c>
      <c r="AC280" s="77">
        <f>Valores!$C$33*D280</f>
        <v>114.92</v>
      </c>
      <c r="AD280" s="116">
        <v>94</v>
      </c>
      <c r="AE280" s="77">
        <f>AD280*Valores!$C$2*1.006901</f>
        <v>494.70979379919999</v>
      </c>
      <c r="AF280" s="77">
        <f>Valores!$D$51*D280</f>
        <v>470.73849112779476</v>
      </c>
      <c r="AG280" s="77">
        <f>Valores!$D$52*D280</f>
        <v>134.5067536899295</v>
      </c>
      <c r="AH280" s="77">
        <f>SUM(G280,I280,K280,M280,N280,O280,P280,Q280,R280,S280,U280,V280,W280,Y280,Z280,AA280,AB280,AC280,AE280,AF280,AG280)*Valores!$C$54</f>
        <v>0</v>
      </c>
      <c r="AI280" s="139">
        <f t="shared" si="52"/>
        <v>21624.874456372923</v>
      </c>
      <c r="AJ280" s="61">
        <f>Valores!$C$36*D280</f>
        <v>374.46933333333334</v>
      </c>
      <c r="AK280" s="79">
        <f>Valores!$C$11*D280</f>
        <v>222.78691526</v>
      </c>
      <c r="AL280" s="89">
        <v>195.900644758</v>
      </c>
      <c r="AM280" s="79">
        <f>IF($G$4="SI",SUM(AK280+AL280),AK280)*Valores!$C$54</f>
        <v>0</v>
      </c>
      <c r="AN280" s="12">
        <f t="shared" si="49"/>
        <v>793.15689335133334</v>
      </c>
      <c r="AO280" s="13">
        <f>AI280*-Valores!$C$56</f>
        <v>-2811.2336793284803</v>
      </c>
      <c r="AP280" s="13">
        <f>AI280*-Valores!$C$57</f>
        <v>-108.12437228186462</v>
      </c>
      <c r="AQ280" s="78">
        <f>AI280*-Valores!$C$58</f>
        <v>-973.11935053678155</v>
      </c>
      <c r="AR280" s="78">
        <f>AI280*-Valores!$C$59</f>
        <v>-583.87161032206905</v>
      </c>
      <c r="AS280" s="78">
        <f>AI280*-Valores!$C$60</f>
        <v>-64.874623369118765</v>
      </c>
      <c r="AT280" s="15">
        <f t="shared" si="50"/>
        <v>18525.553947577129</v>
      </c>
      <c r="AU280" s="15">
        <f t="shared" si="51"/>
        <v>18849.927064422722</v>
      </c>
      <c r="AV280" s="78">
        <f>AI280*Valores!$C$61</f>
        <v>3459.9799130196679</v>
      </c>
      <c r="AW280" s="78">
        <f>AI280*Valores!$C$62</f>
        <v>973.11935053678155</v>
      </c>
      <c r="AX280" s="78">
        <f>AI280*Valores!$C$64</f>
        <v>216.24874456372925</v>
      </c>
      <c r="AY280" s="78">
        <f>AI280*Valores!$C$65</f>
        <v>756.87060597305242</v>
      </c>
      <c r="AZ280" s="78">
        <f>AI280*Valores!$C$66</f>
        <v>129.74924673823753</v>
      </c>
      <c r="BA280" s="78">
        <f t="shared" si="53"/>
        <v>1167.7432206441379</v>
      </c>
      <c r="BB280" s="20"/>
      <c r="BC280" s="20">
        <f t="shared" si="46"/>
        <v>104</v>
      </c>
      <c r="BD280" s="9" t="s">
        <v>467</v>
      </c>
    </row>
    <row r="281" spans="1:56" s="9" customFormat="1" ht="11.25" customHeight="1" x14ac:dyDescent="0.15">
      <c r="A281" s="55">
        <v>280</v>
      </c>
      <c r="B281" s="55" t="s">
        <v>462</v>
      </c>
      <c r="C281" s="52" t="s">
        <v>355</v>
      </c>
      <c r="D281" s="52">
        <v>27</v>
      </c>
      <c r="E281" s="53" t="str">
        <f>CONCATENATE("Hora Cátedra Enseñanza Media ",D281," hs")</f>
        <v>Hora Cátedra Enseñanza Media 27 hs</v>
      </c>
      <c r="F281" s="124">
        <f t="shared" si="47"/>
        <v>2133</v>
      </c>
      <c r="G281" s="7">
        <f>INT((F281*Valores!$C$2*100*1.006901)+0.5)/100</f>
        <v>11225.7</v>
      </c>
      <c r="H281" s="131">
        <v>0</v>
      </c>
      <c r="I281" s="77">
        <f>INT((H281*Valores!$C$2*100*1.006901)+0.5)/100</f>
        <v>0</v>
      </c>
      <c r="J281" s="146">
        <v>0</v>
      </c>
      <c r="K281" s="77">
        <f>INT((J281*Valores!$C$2*100*1.006901)+0.5)/100</f>
        <v>0</v>
      </c>
      <c r="L281" s="121">
        <v>0</v>
      </c>
      <c r="M281" s="77">
        <f>INT((L281*Valores!$C$2*100*1.006901)+0.5)/100</f>
        <v>0</v>
      </c>
      <c r="N281" s="80">
        <f t="shared" si="54"/>
        <v>2002.218807942</v>
      </c>
      <c r="O281" s="80">
        <f t="shared" si="55"/>
        <v>0</v>
      </c>
      <c r="P281" s="85">
        <f>Valores!$C$14*D281</f>
        <v>3257.46570114</v>
      </c>
      <c r="Q281" s="85">
        <f>IF(D281&lt;15,(Valores!$E$4*D281),Valores!$D$4)</f>
        <v>2354.08</v>
      </c>
      <c r="R281" s="80">
        <v>0</v>
      </c>
      <c r="S281" s="82">
        <f>Valores!$C$45*D281</f>
        <v>860.17538628</v>
      </c>
      <c r="T281" s="85">
        <f>Valores!$C$22*D281</f>
        <v>1262.25</v>
      </c>
      <c r="U281" s="80">
        <f t="shared" si="45"/>
        <v>1262.25</v>
      </c>
      <c r="V281" s="80">
        <v>0</v>
      </c>
      <c r="W281" s="80">
        <v>0</v>
      </c>
      <c r="X281" s="60">
        <v>0</v>
      </c>
      <c r="Y281" s="77">
        <f>X281*Valores!$C$2*1.006901</f>
        <v>0</v>
      </c>
      <c r="Z281" s="80">
        <v>0</v>
      </c>
      <c r="AA281" s="90">
        <f>(Valores!$C$32)*D281</f>
        <v>142.56</v>
      </c>
      <c r="AB281" s="80">
        <f t="shared" si="48"/>
        <v>0</v>
      </c>
      <c r="AC281" s="80">
        <f>Valores!$C$33*D281</f>
        <v>119.34</v>
      </c>
      <c r="AD281" s="115">
        <v>0</v>
      </c>
      <c r="AE281" s="77">
        <f>AD281*Valores!$C$2*1.006901</f>
        <v>0</v>
      </c>
      <c r="AF281" s="80">
        <f>Valores!$D$51*D281</f>
        <v>488.84381770963302</v>
      </c>
      <c r="AG281" s="80">
        <f>Valores!$D$52*D281</f>
        <v>139.6800903703114</v>
      </c>
      <c r="AH281" s="80">
        <f>SUM(G281,I281,K281,M281,N281,O281,P281,Q281,R281,S281,U281,V281,W281,Y281,Z281,AA281,AB281,AC281,AE281,AF281,AG281)*Valores!$C$54</f>
        <v>0</v>
      </c>
      <c r="AI281" s="140">
        <f t="shared" si="52"/>
        <v>21852.313803441943</v>
      </c>
      <c r="AJ281" s="85">
        <f>Valores!$C$36*D281</f>
        <v>388.87200000000001</v>
      </c>
      <c r="AK281" s="82">
        <f>Valores!$C$11*D281</f>
        <v>231.35564277</v>
      </c>
      <c r="AL281" s="90">
        <v>203.43528494099999</v>
      </c>
      <c r="AM281" s="82">
        <f>IF($G$4="SI",SUM(AK281+AL281),AK281)*Valores!$C$54</f>
        <v>0</v>
      </c>
      <c r="AN281" s="184">
        <f t="shared" si="49"/>
        <v>823.66292771099995</v>
      </c>
      <c r="AO281" s="153">
        <f>AI281*-Valores!$C$56</f>
        <v>-2840.8007944474525</v>
      </c>
      <c r="AP281" s="153">
        <f>AI281*-Valores!$C$57</f>
        <v>-109.26156901720971</v>
      </c>
      <c r="AQ281" s="81">
        <f>AI281*-Valores!$C$58</f>
        <v>-983.35412115488737</v>
      </c>
      <c r="AR281" s="81">
        <f>AI281*-Valores!$C$59</f>
        <v>-590.01247269293253</v>
      </c>
      <c r="AS281" s="81">
        <f>AI281*-Valores!$C$60</f>
        <v>-65.556941410325834</v>
      </c>
      <c r="AT281" s="54">
        <f t="shared" si="50"/>
        <v>18742.560246533394</v>
      </c>
      <c r="AU281" s="54">
        <f t="shared" si="51"/>
        <v>19070.344953585023</v>
      </c>
      <c r="AV281" s="81">
        <f>AI281*Valores!$C$61</f>
        <v>3496.3702085507107</v>
      </c>
      <c r="AW281" s="81">
        <f>AI281*Valores!$C$62</f>
        <v>983.35412115488737</v>
      </c>
      <c r="AX281" s="81">
        <f>AI281*Valores!$C$64</f>
        <v>218.52313803441942</v>
      </c>
      <c r="AY281" s="81">
        <f>AI281*Valores!$C$65</f>
        <v>764.83098312046809</v>
      </c>
      <c r="AZ281" s="81">
        <f>AI281*Valores!$C$66</f>
        <v>131.11388282065167</v>
      </c>
      <c r="BA281" s="81">
        <f t="shared" si="53"/>
        <v>1180.0249453858651</v>
      </c>
      <c r="BB281" s="55"/>
      <c r="BC281" s="55">
        <f t="shared" si="46"/>
        <v>108</v>
      </c>
      <c r="BD281" s="52" t="s">
        <v>467</v>
      </c>
    </row>
    <row r="282" spans="1:56" s="9" customFormat="1" ht="11.25" customHeight="1" x14ac:dyDescent="0.15">
      <c r="A282" s="20">
        <v>281</v>
      </c>
      <c r="B282" s="20"/>
      <c r="C282" s="9" t="s">
        <v>355</v>
      </c>
      <c r="D282" s="9">
        <v>27</v>
      </c>
      <c r="E282" s="10" t="str">
        <f>CONCATENATE("Hora Cátedra Enseñanza Media ",D282," hs Esc Esp")</f>
        <v>Hora Cátedra Enseñanza Media 27 hs Esc Esp</v>
      </c>
      <c r="F282" s="123">
        <f t="shared" si="47"/>
        <v>2133</v>
      </c>
      <c r="G282" s="7">
        <f>INT((F282*Valores!$C$2*100*1.006901)+0.5)/100</f>
        <v>11225.7</v>
      </c>
      <c r="H282" s="132">
        <v>0</v>
      </c>
      <c r="I282" s="77">
        <f>INT((H282*Valores!$C$2*100*1.006901)+0.5)/100</f>
        <v>0</v>
      </c>
      <c r="J282" s="145">
        <v>0</v>
      </c>
      <c r="K282" s="77">
        <f>INT((J282*Valores!$C$2*100*1.006901)+0.5)/100</f>
        <v>0</v>
      </c>
      <c r="L282" s="120">
        <v>0</v>
      </c>
      <c r="M282" s="77">
        <f>INT((L282*Valores!$C$2*100*1.006901)+0.5)/100</f>
        <v>0</v>
      </c>
      <c r="N282" s="77">
        <f t="shared" si="54"/>
        <v>2002.218807942</v>
      </c>
      <c r="O282" s="77">
        <f t="shared" si="55"/>
        <v>0</v>
      </c>
      <c r="P282" s="61">
        <f>Valores!$C$14*D282</f>
        <v>3257.46570114</v>
      </c>
      <c r="Q282" s="61">
        <f>IF(D282&lt;15,(Valores!$E$4*D282),Valores!$D$4)</f>
        <v>2354.08</v>
      </c>
      <c r="R282" s="77">
        <v>0</v>
      </c>
      <c r="S282" s="79">
        <f>Valores!$C$45*D282</f>
        <v>860.17538628</v>
      </c>
      <c r="T282" s="61">
        <f>Valores!$C$22*D282</f>
        <v>1262.25</v>
      </c>
      <c r="U282" s="77">
        <f t="shared" si="45"/>
        <v>1262.25</v>
      </c>
      <c r="V282" s="77">
        <v>0</v>
      </c>
      <c r="W282" s="77">
        <v>0</v>
      </c>
      <c r="X282" s="37">
        <v>0</v>
      </c>
      <c r="Y282" s="77">
        <f>X282*Valores!$C$2*1.006901</f>
        <v>0</v>
      </c>
      <c r="Z282" s="77">
        <v>0</v>
      </c>
      <c r="AA282" s="89">
        <f>(Valores!$C$32)*D282</f>
        <v>142.56</v>
      </c>
      <c r="AB282" s="77">
        <f t="shared" si="48"/>
        <v>0</v>
      </c>
      <c r="AC282" s="77">
        <f>Valores!$C$33*D282</f>
        <v>119.34</v>
      </c>
      <c r="AD282" s="116">
        <v>94</v>
      </c>
      <c r="AE282" s="77">
        <f>AD282*Valores!$C$2*1.006901</f>
        <v>494.70979379919999</v>
      </c>
      <c r="AF282" s="77">
        <f>Valores!$D$51*D282</f>
        <v>488.84381770963302</v>
      </c>
      <c r="AG282" s="77">
        <f>Valores!$D$52*D282</f>
        <v>139.6800903703114</v>
      </c>
      <c r="AH282" s="77">
        <f>SUM(G282,I282,K282,M282,N282,O282,P282,Q282,R282,S282,U282,V282,W282,Y282,Z282,AA282,AB282,AC282,AE282,AF282,AG282)*Valores!$C$54</f>
        <v>0</v>
      </c>
      <c r="AI282" s="139">
        <f t="shared" si="52"/>
        <v>22347.023597241143</v>
      </c>
      <c r="AJ282" s="61">
        <f>Valores!$C$36*D282</f>
        <v>388.87200000000001</v>
      </c>
      <c r="AK282" s="79">
        <f>Valores!$C$11*D282</f>
        <v>231.35564277</v>
      </c>
      <c r="AL282" s="89">
        <v>203.43528494099999</v>
      </c>
      <c r="AM282" s="79">
        <f>IF($G$4="SI",SUM(AK282+AL282),AK282)*Valores!$C$54</f>
        <v>0</v>
      </c>
      <c r="AN282" s="12">
        <f t="shared" si="49"/>
        <v>823.66292771099995</v>
      </c>
      <c r="AO282" s="13">
        <f>AI282*-Valores!$C$56</f>
        <v>-2905.1130676413486</v>
      </c>
      <c r="AP282" s="13">
        <f>AI282*-Valores!$C$57</f>
        <v>-111.73511798620572</v>
      </c>
      <c r="AQ282" s="78">
        <f>AI282*-Valores!$C$58</f>
        <v>-1005.6160618758514</v>
      </c>
      <c r="AR282" s="78">
        <f>AI282*-Valores!$C$59</f>
        <v>-603.36963712551096</v>
      </c>
      <c r="AS282" s="78">
        <f>AI282*-Valores!$C$60</f>
        <v>-67.041070791723428</v>
      </c>
      <c r="AT282" s="15">
        <f t="shared" si="50"/>
        <v>19148.222277448738</v>
      </c>
      <c r="AU282" s="15">
        <f t="shared" si="51"/>
        <v>19483.427631407358</v>
      </c>
      <c r="AV282" s="78">
        <f>AI282*Valores!$C$61</f>
        <v>3575.5237755585831</v>
      </c>
      <c r="AW282" s="78">
        <f>AI282*Valores!$C$62</f>
        <v>1005.6160618758514</v>
      </c>
      <c r="AX282" s="78">
        <f>AI282*Valores!$C$64</f>
        <v>223.47023597241144</v>
      </c>
      <c r="AY282" s="78">
        <f>AI282*Valores!$C$65</f>
        <v>782.14582590344003</v>
      </c>
      <c r="AZ282" s="78">
        <f>AI282*Valores!$C$66</f>
        <v>134.08214158344686</v>
      </c>
      <c r="BA282" s="78">
        <f t="shared" si="53"/>
        <v>1206.7392742510219</v>
      </c>
      <c r="BB282" s="20"/>
      <c r="BC282" s="20">
        <f t="shared" si="46"/>
        <v>108</v>
      </c>
      <c r="BD282" s="9" t="s">
        <v>467</v>
      </c>
    </row>
    <row r="283" spans="1:56" s="9" customFormat="1" ht="11.25" customHeight="1" x14ac:dyDescent="0.15">
      <c r="A283" s="20">
        <v>282</v>
      </c>
      <c r="B283" s="20"/>
      <c r="C283" s="9" t="s">
        <v>355</v>
      </c>
      <c r="D283" s="9">
        <v>28</v>
      </c>
      <c r="E283" s="10" t="str">
        <f>CONCATENATE("Hora Cátedra Enseñanza Media ",D283," hs")</f>
        <v>Hora Cátedra Enseñanza Media 28 hs</v>
      </c>
      <c r="F283" s="123">
        <f t="shared" si="47"/>
        <v>2212</v>
      </c>
      <c r="G283" s="7">
        <f>INT((F283*Valores!$C$2*100*1.006901)+0.5)/100</f>
        <v>11641.47</v>
      </c>
      <c r="H283" s="132">
        <v>0</v>
      </c>
      <c r="I283" s="77">
        <f>INT((H283*Valores!$C$2*100*1.006901)+0.5)/100</f>
        <v>0</v>
      </c>
      <c r="J283" s="145">
        <v>0</v>
      </c>
      <c r="K283" s="77">
        <f>INT((J283*Valores!$C$2*100*1.006901)+0.5)/100</f>
        <v>0</v>
      </c>
      <c r="L283" s="120">
        <v>0</v>
      </c>
      <c r="M283" s="77">
        <f>INT((L283*Valores!$C$2*100*1.006901)+0.5)/100</f>
        <v>0</v>
      </c>
      <c r="N283" s="77">
        <f t="shared" si="54"/>
        <v>2076.3755600879999</v>
      </c>
      <c r="O283" s="77">
        <f t="shared" si="55"/>
        <v>0</v>
      </c>
      <c r="P283" s="61">
        <f>Valores!$C$14*D283</f>
        <v>3378.1125789600001</v>
      </c>
      <c r="Q283" s="61">
        <f>IF(D283&lt;15,(Valores!$E$4*D283),Valores!$D$4)</f>
        <v>2354.08</v>
      </c>
      <c r="R283" s="77">
        <v>0</v>
      </c>
      <c r="S283" s="79">
        <f>Valores!$C$45*D283</f>
        <v>892.03373392000003</v>
      </c>
      <c r="T283" s="61">
        <f>Valores!$C$22*D283</f>
        <v>1309</v>
      </c>
      <c r="U283" s="77">
        <f t="shared" si="45"/>
        <v>1309</v>
      </c>
      <c r="V283" s="77">
        <v>0</v>
      </c>
      <c r="W283" s="77">
        <v>0</v>
      </c>
      <c r="X283" s="37">
        <v>0</v>
      </c>
      <c r="Y283" s="77">
        <f>X283*Valores!$C$2*1.006901</f>
        <v>0</v>
      </c>
      <c r="Z283" s="77">
        <v>0</v>
      </c>
      <c r="AA283" s="89">
        <f>(Valores!$C$32)*D283</f>
        <v>147.84</v>
      </c>
      <c r="AB283" s="77">
        <f t="shared" si="48"/>
        <v>0</v>
      </c>
      <c r="AC283" s="77">
        <f>Valores!$C$33*D283</f>
        <v>123.75999999999999</v>
      </c>
      <c r="AD283" s="116">
        <v>0</v>
      </c>
      <c r="AE283" s="77">
        <f>AD283*Valores!$C$2*1.006901</f>
        <v>0</v>
      </c>
      <c r="AF283" s="77">
        <f>Valores!$D$51*D283</f>
        <v>506.94914429147127</v>
      </c>
      <c r="AG283" s="77">
        <f>Valores!$D$52*D283</f>
        <v>144.85342705069331</v>
      </c>
      <c r="AH283" s="77">
        <f>SUM(G283,I283,K283,M283,N283,O283,P283,Q283,R283,S283,U283,V283,W283,Y283,Z283,AA283,AB283,AC283,AE283,AF283,AG283)*Valores!$C$54</f>
        <v>0</v>
      </c>
      <c r="AI283" s="139">
        <f t="shared" si="52"/>
        <v>22574.474444310159</v>
      </c>
      <c r="AJ283" s="61">
        <f>Valores!$C$36*D283</f>
        <v>403.27466666666669</v>
      </c>
      <c r="AK283" s="79">
        <f>Valores!$C$11*D283</f>
        <v>239.92437028000001</v>
      </c>
      <c r="AL283" s="89">
        <v>210.97838309240001</v>
      </c>
      <c r="AM283" s="79">
        <f>IF($G$4="SI",SUM(AK283+AL283),AK283)*Valores!$C$54</f>
        <v>0</v>
      </c>
      <c r="AN283" s="12">
        <f t="shared" si="49"/>
        <v>854.17742003906665</v>
      </c>
      <c r="AO283" s="13">
        <f>AI283*-Valores!$C$56</f>
        <v>-2934.6816777603208</v>
      </c>
      <c r="AP283" s="13">
        <f>AI283*-Valores!$C$57</f>
        <v>-112.87237222155079</v>
      </c>
      <c r="AQ283" s="78">
        <f>AI283*-Valores!$C$58</f>
        <v>-1015.8513499939571</v>
      </c>
      <c r="AR283" s="78">
        <f>AI283*-Valores!$C$59</f>
        <v>-609.51080999637441</v>
      </c>
      <c r="AS283" s="78">
        <f>AI283*-Valores!$C$60</f>
        <v>-67.72342333293048</v>
      </c>
      <c r="AT283" s="15">
        <f t="shared" si="50"/>
        <v>19365.246464373398</v>
      </c>
      <c r="AU283" s="15">
        <f t="shared" si="51"/>
        <v>19703.863581038055</v>
      </c>
      <c r="AV283" s="78">
        <f>AI283*Valores!$C$61</f>
        <v>3611.9159110896253</v>
      </c>
      <c r="AW283" s="78">
        <f>AI283*Valores!$C$62</f>
        <v>1015.8513499939571</v>
      </c>
      <c r="AX283" s="78">
        <f>AI283*Valores!$C$64</f>
        <v>225.74474444310158</v>
      </c>
      <c r="AY283" s="78">
        <f>AI283*Valores!$C$65</f>
        <v>790.10660555085565</v>
      </c>
      <c r="AZ283" s="78">
        <f>AI283*Valores!$C$66</f>
        <v>135.44684666586096</v>
      </c>
      <c r="BA283" s="78">
        <f t="shared" si="53"/>
        <v>1219.0216199927486</v>
      </c>
      <c r="BB283" s="20"/>
      <c r="BC283" s="20">
        <f t="shared" si="46"/>
        <v>112</v>
      </c>
      <c r="BD283" s="9" t="s">
        <v>467</v>
      </c>
    </row>
    <row r="284" spans="1:56" s="9" customFormat="1" ht="11.25" customHeight="1" x14ac:dyDescent="0.15">
      <c r="A284" s="20">
        <v>283</v>
      </c>
      <c r="B284" s="20"/>
      <c r="C284" s="9" t="s">
        <v>355</v>
      </c>
      <c r="D284" s="9">
        <v>28</v>
      </c>
      <c r="E284" s="10" t="str">
        <f>CONCATENATE("Hora Cátedra Enseñanza Media ",D284," hs Esc Esp")</f>
        <v>Hora Cátedra Enseñanza Media 28 hs Esc Esp</v>
      </c>
      <c r="F284" s="123">
        <f t="shared" si="47"/>
        <v>2212</v>
      </c>
      <c r="G284" s="7">
        <f>INT((F284*Valores!$C$2*100*1.006901)+0.5)/100</f>
        <v>11641.47</v>
      </c>
      <c r="H284" s="132">
        <v>0</v>
      </c>
      <c r="I284" s="77">
        <f>INT((H284*Valores!$C$2*100*1.006901)+0.5)/100</f>
        <v>0</v>
      </c>
      <c r="J284" s="145">
        <v>0</v>
      </c>
      <c r="K284" s="77">
        <f>INT((J284*Valores!$C$2*100*1.006901)+0.5)/100</f>
        <v>0</v>
      </c>
      <c r="L284" s="120">
        <v>0</v>
      </c>
      <c r="M284" s="77">
        <f>INT((L284*Valores!$C$2*100*1.006901)+0.5)/100</f>
        <v>0</v>
      </c>
      <c r="N284" s="77">
        <f t="shared" si="54"/>
        <v>2076.3755600879999</v>
      </c>
      <c r="O284" s="77">
        <f t="shared" si="55"/>
        <v>0</v>
      </c>
      <c r="P284" s="61">
        <f>Valores!$C$14*D284</f>
        <v>3378.1125789600001</v>
      </c>
      <c r="Q284" s="61">
        <f>IF(D284&lt;15,(Valores!$E$4*D284),Valores!$D$4)</f>
        <v>2354.08</v>
      </c>
      <c r="R284" s="77">
        <v>0</v>
      </c>
      <c r="S284" s="79">
        <f>Valores!$C$45*D284</f>
        <v>892.03373392000003</v>
      </c>
      <c r="T284" s="61">
        <f>Valores!$C$22*D284</f>
        <v>1309</v>
      </c>
      <c r="U284" s="77">
        <f t="shared" si="45"/>
        <v>1309</v>
      </c>
      <c r="V284" s="77">
        <v>0</v>
      </c>
      <c r="W284" s="77">
        <v>0</v>
      </c>
      <c r="X284" s="37">
        <v>0</v>
      </c>
      <c r="Y284" s="77">
        <f>X284*Valores!$C$2*1.006901</f>
        <v>0</v>
      </c>
      <c r="Z284" s="77">
        <v>0</v>
      </c>
      <c r="AA284" s="89">
        <f>(Valores!$C$32)*D284</f>
        <v>147.84</v>
      </c>
      <c r="AB284" s="77">
        <f t="shared" si="48"/>
        <v>0</v>
      </c>
      <c r="AC284" s="77">
        <f>Valores!$C$33*D284</f>
        <v>123.75999999999999</v>
      </c>
      <c r="AD284" s="116">
        <v>94</v>
      </c>
      <c r="AE284" s="77">
        <f>AD284*Valores!$C$2*1.006901</f>
        <v>494.70979379919999</v>
      </c>
      <c r="AF284" s="77">
        <f>Valores!$D$51*D284</f>
        <v>506.94914429147127</v>
      </c>
      <c r="AG284" s="77">
        <f>Valores!$D$52*D284</f>
        <v>144.85342705069331</v>
      </c>
      <c r="AH284" s="77">
        <f>SUM(G284,I284,K284,M284,N284,O284,P284,Q284,R284,S284,U284,V284,W284,Y284,Z284,AA284,AB284,AC284,AE284,AF284,AG284)*Valores!$C$54</f>
        <v>0</v>
      </c>
      <c r="AI284" s="139">
        <f t="shared" si="52"/>
        <v>23069.184238109359</v>
      </c>
      <c r="AJ284" s="61">
        <f>Valores!$C$36*D284</f>
        <v>403.27466666666669</v>
      </c>
      <c r="AK284" s="79">
        <f>Valores!$C$11*D284</f>
        <v>239.92437028000001</v>
      </c>
      <c r="AL284" s="89">
        <v>210.97838309240001</v>
      </c>
      <c r="AM284" s="79">
        <f>IF($G$4="SI",SUM(AK284+AL284),AK284)*Valores!$C$54</f>
        <v>0</v>
      </c>
      <c r="AN284" s="12">
        <f t="shared" si="49"/>
        <v>854.17742003906665</v>
      </c>
      <c r="AO284" s="13">
        <f>AI284*-Valores!$C$56</f>
        <v>-2998.9939509542169</v>
      </c>
      <c r="AP284" s="13">
        <f>AI284*-Valores!$C$57</f>
        <v>-115.3459211905468</v>
      </c>
      <c r="AQ284" s="78">
        <f>AI284*-Valores!$C$58</f>
        <v>-1038.113290714921</v>
      </c>
      <c r="AR284" s="78">
        <f>AI284*-Valores!$C$59</f>
        <v>-622.86797442895272</v>
      </c>
      <c r="AS284" s="78">
        <f>AI284*-Valores!$C$60</f>
        <v>-69.207552714328074</v>
      </c>
      <c r="AT284" s="15">
        <f t="shared" si="50"/>
        <v>19770.908495288742</v>
      </c>
      <c r="AU284" s="15">
        <f t="shared" si="51"/>
        <v>20116.946258860386</v>
      </c>
      <c r="AV284" s="78">
        <f>AI284*Valores!$C$61</f>
        <v>3691.0694780974977</v>
      </c>
      <c r="AW284" s="78">
        <f>AI284*Valores!$C$62</f>
        <v>1038.113290714921</v>
      </c>
      <c r="AX284" s="78">
        <f>AI284*Valores!$C$64</f>
        <v>230.69184238109361</v>
      </c>
      <c r="AY284" s="78">
        <f>AI284*Valores!$C$65</f>
        <v>807.4214483338277</v>
      </c>
      <c r="AZ284" s="78">
        <f>AI284*Valores!$C$66</f>
        <v>138.41510542865615</v>
      </c>
      <c r="BA284" s="78">
        <f t="shared" si="53"/>
        <v>1245.7359488579054</v>
      </c>
      <c r="BB284" s="20"/>
      <c r="BC284" s="55">
        <f t="shared" si="46"/>
        <v>112</v>
      </c>
      <c r="BD284" s="9" t="s">
        <v>467</v>
      </c>
    </row>
    <row r="285" spans="1:56" s="9" customFormat="1" ht="11.25" customHeight="1" x14ac:dyDescent="0.15">
      <c r="A285" s="20">
        <v>284</v>
      </c>
      <c r="B285" s="20"/>
      <c r="C285" s="9" t="s">
        <v>355</v>
      </c>
      <c r="D285" s="9">
        <v>29</v>
      </c>
      <c r="E285" s="10" t="str">
        <f>CONCATENATE("Hora Cátedra Enseñanza Media ",D285," hs")</f>
        <v>Hora Cátedra Enseñanza Media 29 hs</v>
      </c>
      <c r="F285" s="123">
        <f t="shared" si="47"/>
        <v>2291</v>
      </c>
      <c r="G285" s="7">
        <f>INT((F285*Valores!$C$2*100*1.006901)+0.5)/100</f>
        <v>12057.24</v>
      </c>
      <c r="H285" s="132">
        <v>0</v>
      </c>
      <c r="I285" s="77">
        <f>INT((H285*Valores!$C$2*100*1.006901)+0.5)/100</f>
        <v>0</v>
      </c>
      <c r="J285" s="145">
        <v>0</v>
      </c>
      <c r="K285" s="77">
        <f>INT((J285*Valores!$C$2*100*1.006901)+0.5)/100</f>
        <v>0</v>
      </c>
      <c r="L285" s="120">
        <v>0</v>
      </c>
      <c r="M285" s="77">
        <f>INT((L285*Valores!$C$2*100*1.006901)+0.5)/100</f>
        <v>0</v>
      </c>
      <c r="N285" s="77">
        <f t="shared" si="54"/>
        <v>2150.5323122339996</v>
      </c>
      <c r="O285" s="77">
        <f t="shared" si="55"/>
        <v>0</v>
      </c>
      <c r="P285" s="61">
        <f>Valores!$C$14*D285</f>
        <v>3498.7594567800002</v>
      </c>
      <c r="Q285" s="61">
        <f>IF(D285&lt;15,(Valores!$E$4*D285),Valores!$D$4)</f>
        <v>2354.08</v>
      </c>
      <c r="R285" s="77">
        <v>0</v>
      </c>
      <c r="S285" s="79">
        <f>Valores!$C$45*D285</f>
        <v>923.89208156000007</v>
      </c>
      <c r="T285" s="61">
        <f>Valores!$C$22*D285</f>
        <v>1355.75</v>
      </c>
      <c r="U285" s="77">
        <f t="shared" si="45"/>
        <v>1355.75</v>
      </c>
      <c r="V285" s="77">
        <v>0</v>
      </c>
      <c r="W285" s="77">
        <v>0</v>
      </c>
      <c r="X285" s="37">
        <v>0</v>
      </c>
      <c r="Y285" s="77">
        <f>X285*Valores!$C$2*1.006901</f>
        <v>0</v>
      </c>
      <c r="Z285" s="77">
        <v>0</v>
      </c>
      <c r="AA285" s="89">
        <f>(Valores!$C$32)*D285</f>
        <v>153.12</v>
      </c>
      <c r="AB285" s="77">
        <f t="shared" si="48"/>
        <v>0</v>
      </c>
      <c r="AC285" s="77">
        <f>Valores!$C$33*D285</f>
        <v>128.18</v>
      </c>
      <c r="AD285" s="116">
        <v>0</v>
      </c>
      <c r="AE285" s="77">
        <f>AD285*Valores!$C$2*1.006901</f>
        <v>0</v>
      </c>
      <c r="AF285" s="77">
        <f>Valores!$D$51*D285</f>
        <v>525.05447087330947</v>
      </c>
      <c r="AG285" s="77">
        <f>Valores!$D$52*D285</f>
        <v>150.02676373107519</v>
      </c>
      <c r="AH285" s="77">
        <f>SUM(G285,I285,K285,M285,N285,O285,P285,Q285,R285,S285,U285,V285,W285,Y285,Z285,AA285,AB285,AC285,AE285,AF285,AG285)*Valores!$C$54</f>
        <v>0</v>
      </c>
      <c r="AI285" s="139">
        <f t="shared" si="52"/>
        <v>23296.635085178386</v>
      </c>
      <c r="AJ285" s="61">
        <f>Valores!$C$36*D285</f>
        <v>417.67733333333331</v>
      </c>
      <c r="AK285" s="79">
        <f>Valores!$C$11*D285</f>
        <v>248.49309779000001</v>
      </c>
      <c r="AL285" s="89">
        <v>218.50456530699998</v>
      </c>
      <c r="AM285" s="79">
        <f>IF($G$4="SI",SUM(AK285+AL285),AK285)*Valores!$C$54</f>
        <v>0</v>
      </c>
      <c r="AN285" s="12">
        <f t="shared" si="49"/>
        <v>884.67499643033329</v>
      </c>
      <c r="AO285" s="13">
        <f>AI285*-Valores!$C$56</f>
        <v>-3028.5625610731904</v>
      </c>
      <c r="AP285" s="13">
        <f>AI285*-Valores!$C$57</f>
        <v>-116.48317542589193</v>
      </c>
      <c r="AQ285" s="78">
        <f>AI285*-Valores!$C$58</f>
        <v>-1048.3485788330274</v>
      </c>
      <c r="AR285" s="78">
        <f>AI285*-Valores!$C$59</f>
        <v>-629.0091472998165</v>
      </c>
      <c r="AS285" s="78">
        <f>AI285*-Valores!$C$60</f>
        <v>-69.889905255535155</v>
      </c>
      <c r="AT285" s="15">
        <f t="shared" si="50"/>
        <v>19987.915766276608</v>
      </c>
      <c r="AU285" s="15">
        <f t="shared" si="51"/>
        <v>20337.365292554285</v>
      </c>
      <c r="AV285" s="78">
        <f>AI285*Valores!$C$61</f>
        <v>3727.4616136285417</v>
      </c>
      <c r="AW285" s="78">
        <f>AI285*Valores!$C$62</f>
        <v>1048.3485788330274</v>
      </c>
      <c r="AX285" s="78">
        <f>AI285*Valores!$C$64</f>
        <v>232.96635085178386</v>
      </c>
      <c r="AY285" s="78">
        <f>AI285*Valores!$C$65</f>
        <v>815.38222798124355</v>
      </c>
      <c r="AZ285" s="78">
        <f>AI285*Valores!$C$66</f>
        <v>139.77981051107031</v>
      </c>
      <c r="BA285" s="78">
        <f t="shared" si="53"/>
        <v>1258.018294599633</v>
      </c>
      <c r="BB285" s="20"/>
      <c r="BC285" s="20">
        <f t="shared" si="46"/>
        <v>116</v>
      </c>
      <c r="BD285" s="9" t="s">
        <v>466</v>
      </c>
    </row>
    <row r="286" spans="1:56" s="9" customFormat="1" ht="11.25" customHeight="1" x14ac:dyDescent="0.15">
      <c r="A286" s="55">
        <v>285</v>
      </c>
      <c r="B286" s="55" t="s">
        <v>462</v>
      </c>
      <c r="C286" s="52" t="s">
        <v>355</v>
      </c>
      <c r="D286" s="52">
        <v>29</v>
      </c>
      <c r="E286" s="53" t="str">
        <f>CONCATENATE("Hora Cátedra Enseñanza Media ",D286," hs Esc Esp")</f>
        <v>Hora Cátedra Enseñanza Media 29 hs Esc Esp</v>
      </c>
      <c r="F286" s="124">
        <f t="shared" si="47"/>
        <v>2291</v>
      </c>
      <c r="G286" s="7">
        <f>INT((F286*Valores!$C$2*100*1.006901)+0.5)/100</f>
        <v>12057.24</v>
      </c>
      <c r="H286" s="131">
        <v>0</v>
      </c>
      <c r="I286" s="77">
        <f>INT((H286*Valores!$C$2*100*1.006901)+0.5)/100</f>
        <v>0</v>
      </c>
      <c r="J286" s="146">
        <v>0</v>
      </c>
      <c r="K286" s="77">
        <f>INT((J286*Valores!$C$2*100*1.006901)+0.5)/100</f>
        <v>0</v>
      </c>
      <c r="L286" s="121">
        <v>0</v>
      </c>
      <c r="M286" s="77">
        <f>INT((L286*Valores!$C$2*100*1.006901)+0.5)/100</f>
        <v>0</v>
      </c>
      <c r="N286" s="80">
        <f t="shared" si="54"/>
        <v>2150.5323122339996</v>
      </c>
      <c r="O286" s="80">
        <f t="shared" si="55"/>
        <v>0</v>
      </c>
      <c r="P286" s="85">
        <f>Valores!$C$14*D286</f>
        <v>3498.7594567800002</v>
      </c>
      <c r="Q286" s="85">
        <f>IF(D286&lt;15,(Valores!$E$4*D286),Valores!$D$4)</f>
        <v>2354.08</v>
      </c>
      <c r="R286" s="80">
        <v>0</v>
      </c>
      <c r="S286" s="82">
        <f>Valores!$C$45*D286</f>
        <v>923.89208156000007</v>
      </c>
      <c r="T286" s="85">
        <f>Valores!$C$22*D286</f>
        <v>1355.75</v>
      </c>
      <c r="U286" s="80">
        <f t="shared" si="45"/>
        <v>1355.75</v>
      </c>
      <c r="V286" s="80">
        <v>0</v>
      </c>
      <c r="W286" s="80">
        <v>0</v>
      </c>
      <c r="X286" s="60">
        <v>0</v>
      </c>
      <c r="Y286" s="77">
        <f>X286*Valores!$C$2*1.006901</f>
        <v>0</v>
      </c>
      <c r="Z286" s="80">
        <v>0</v>
      </c>
      <c r="AA286" s="90">
        <f>(Valores!$C$32)*D286</f>
        <v>153.12</v>
      </c>
      <c r="AB286" s="80">
        <f t="shared" si="48"/>
        <v>0</v>
      </c>
      <c r="AC286" s="80">
        <f>Valores!$C$33*D286</f>
        <v>128.18</v>
      </c>
      <c r="AD286" s="115">
        <v>94</v>
      </c>
      <c r="AE286" s="77">
        <f>AD286*Valores!$C$2*1.006901</f>
        <v>494.70979379919999</v>
      </c>
      <c r="AF286" s="80">
        <f>Valores!$D$51*D286</f>
        <v>525.05447087330947</v>
      </c>
      <c r="AG286" s="80">
        <f>Valores!$D$52*D286</f>
        <v>150.02676373107519</v>
      </c>
      <c r="AH286" s="80">
        <f>SUM(G286,I286,K286,M286,N286,O286,P286,Q286,R286,S286,U286,V286,W286,Y286,Z286,AA286,AB286,AC286,AE286,AF286,AG286)*Valores!$C$54</f>
        <v>0</v>
      </c>
      <c r="AI286" s="140">
        <f t="shared" si="52"/>
        <v>23791.344878977587</v>
      </c>
      <c r="AJ286" s="85">
        <f>Valores!$C$36*D286</f>
        <v>417.67733333333331</v>
      </c>
      <c r="AK286" s="82">
        <f>Valores!$C$11*D286</f>
        <v>248.49309779000001</v>
      </c>
      <c r="AL286" s="90">
        <v>218.50456530699998</v>
      </c>
      <c r="AM286" s="82">
        <f>IF($G$4="SI",SUM(AK286+AL286),AK286)*Valores!$C$54</f>
        <v>0</v>
      </c>
      <c r="AN286" s="184">
        <f t="shared" si="49"/>
        <v>884.67499643033329</v>
      </c>
      <c r="AO286" s="153">
        <f>AI286*-Valores!$C$56</f>
        <v>-3092.8748342670865</v>
      </c>
      <c r="AP286" s="153">
        <f>AI286*-Valores!$C$57</f>
        <v>-118.95672439488794</v>
      </c>
      <c r="AQ286" s="81">
        <f>AI286*-Valores!$C$58</f>
        <v>-1070.6105195539913</v>
      </c>
      <c r="AR286" s="81">
        <f>AI286*-Valores!$C$59</f>
        <v>-642.36631173239493</v>
      </c>
      <c r="AS286" s="81">
        <f>AI286*-Valores!$C$60</f>
        <v>-71.374034636932763</v>
      </c>
      <c r="AT286" s="54">
        <f t="shared" si="50"/>
        <v>20393.577797191952</v>
      </c>
      <c r="AU286" s="54">
        <f t="shared" si="51"/>
        <v>20750.447970376616</v>
      </c>
      <c r="AV286" s="81">
        <f>AI286*Valores!$C$61</f>
        <v>3806.6151806364142</v>
      </c>
      <c r="AW286" s="81">
        <f>AI286*Valores!$C$62</f>
        <v>1070.6105195539913</v>
      </c>
      <c r="AX286" s="81">
        <f>AI286*Valores!$C$64</f>
        <v>237.91344878977588</v>
      </c>
      <c r="AY286" s="81">
        <f>AI286*Valores!$C$65</f>
        <v>832.6970707642156</v>
      </c>
      <c r="AZ286" s="81">
        <f>AI286*Valores!$C$66</f>
        <v>142.74806927386553</v>
      </c>
      <c r="BA286" s="81">
        <f t="shared" si="53"/>
        <v>1284.7326234647899</v>
      </c>
      <c r="BB286" s="55"/>
      <c r="BC286" s="55">
        <f t="shared" si="46"/>
        <v>116</v>
      </c>
      <c r="BD286" s="52" t="s">
        <v>466</v>
      </c>
    </row>
    <row r="287" spans="1:56" s="9" customFormat="1" ht="11.25" customHeight="1" x14ac:dyDescent="0.15">
      <c r="A287" s="20">
        <v>286</v>
      </c>
      <c r="B287" s="20"/>
      <c r="C287" s="9" t="s">
        <v>355</v>
      </c>
      <c r="D287" s="9">
        <v>30</v>
      </c>
      <c r="E287" s="10" t="str">
        <f>CONCATENATE("Hora Cátedra Enseñanza Media ",D287," hs")</f>
        <v>Hora Cátedra Enseñanza Media 30 hs</v>
      </c>
      <c r="F287" s="123">
        <f t="shared" si="47"/>
        <v>2370</v>
      </c>
      <c r="G287" s="7">
        <f>INT((F287*Valores!$C$2*100*1.006901)+0.5)/100</f>
        <v>12473</v>
      </c>
      <c r="H287" s="132">
        <v>0</v>
      </c>
      <c r="I287" s="77">
        <f>INT((H287*Valores!$C$2*100*1.006901)+0.5)/100</f>
        <v>0</v>
      </c>
      <c r="J287" s="145">
        <v>0</v>
      </c>
      <c r="K287" s="77">
        <f>INT((J287*Valores!$C$2*100*1.006901)+0.5)/100</f>
        <v>0</v>
      </c>
      <c r="L287" s="120">
        <v>0</v>
      </c>
      <c r="M287" s="77">
        <f>INT((L287*Valores!$C$2*100*1.006901)+0.5)/100</f>
        <v>0</v>
      </c>
      <c r="N287" s="77">
        <f t="shared" si="54"/>
        <v>2224.6875643799999</v>
      </c>
      <c r="O287" s="77">
        <f t="shared" si="55"/>
        <v>0</v>
      </c>
      <c r="P287" s="61">
        <f>Valores!$C$14*D287</f>
        <v>3619.4063345999998</v>
      </c>
      <c r="Q287" s="61">
        <f>IF(D287&lt;15,(Valores!$E$4*D287),Valores!$D$4)</f>
        <v>2354.08</v>
      </c>
      <c r="R287" s="77">
        <v>0</v>
      </c>
      <c r="S287" s="79">
        <f>Valores!$C$45*D287</f>
        <v>955.7504292000001</v>
      </c>
      <c r="T287" s="61">
        <f>Valores!$C$22*D287</f>
        <v>1402.5</v>
      </c>
      <c r="U287" s="77">
        <f t="shared" si="45"/>
        <v>1402.5</v>
      </c>
      <c r="V287" s="77">
        <v>0</v>
      </c>
      <c r="W287" s="77">
        <v>0</v>
      </c>
      <c r="X287" s="37">
        <v>0</v>
      </c>
      <c r="Y287" s="77">
        <f>X287*Valores!$C$2*1.006901</f>
        <v>0</v>
      </c>
      <c r="Z287" s="77">
        <v>0</v>
      </c>
      <c r="AA287" s="89">
        <f>(Valores!$C$32)*D287</f>
        <v>158.4</v>
      </c>
      <c r="AB287" s="77">
        <f t="shared" si="48"/>
        <v>0</v>
      </c>
      <c r="AC287" s="77">
        <v>131.68</v>
      </c>
      <c r="AD287" s="116">
        <v>0</v>
      </c>
      <c r="AE287" s="77">
        <f>AD287*Valores!$C$2*1.006901</f>
        <v>0</v>
      </c>
      <c r="AF287" s="77">
        <f>Valores!$D$51*D287</f>
        <v>543.15979745514778</v>
      </c>
      <c r="AG287" s="77">
        <f>Valores!$D$52*D287</f>
        <v>155.2001004114571</v>
      </c>
      <c r="AH287" s="77">
        <f>SUM(G287,I287,K287,M287,N287,O287,P287,Q287,R287,S287,U287,V287,W287,Y287,Z287,AA287,AB287,AC287,AE287,AF287,AG287)*Valores!$C$54</f>
        <v>0</v>
      </c>
      <c r="AI287" s="139">
        <f t="shared" si="52"/>
        <v>24017.864226046608</v>
      </c>
      <c r="AJ287" s="61">
        <f>Valores!$C$36*D287</f>
        <v>432.08</v>
      </c>
      <c r="AK287" s="79">
        <f>Valores!$C$11*D287</f>
        <v>257.06182530000001</v>
      </c>
      <c r="AL287" s="89">
        <v>226.04927450000002</v>
      </c>
      <c r="AM287" s="79">
        <f>IF($G$4="SI",SUM(AK287+AL287),AK287)*Valores!$C$54</f>
        <v>0</v>
      </c>
      <c r="AN287" s="12">
        <f t="shared" si="49"/>
        <v>915.19109979999996</v>
      </c>
      <c r="AO287" s="13">
        <f>AI287*-Valores!$C$56</f>
        <v>-3122.3223493860592</v>
      </c>
      <c r="AP287" s="13">
        <f>AI287*-Valores!$C$57</f>
        <v>-120.08932113023305</v>
      </c>
      <c r="AQ287" s="78">
        <f>AI287*-Valores!$C$58</f>
        <v>-1080.8038901720972</v>
      </c>
      <c r="AR287" s="78">
        <f>AI287*-Valores!$C$59</f>
        <v>-648.48233410325849</v>
      </c>
      <c r="AS287" s="78">
        <f>AI287*-Valores!$C$60</f>
        <v>-72.053592678139822</v>
      </c>
      <c r="AT287" s="15">
        <f t="shared" si="50"/>
        <v>20609.839765158216</v>
      </c>
      <c r="AU287" s="15">
        <f t="shared" si="51"/>
        <v>20970.107728548915</v>
      </c>
      <c r="AV287" s="78">
        <f>AI287*Valores!$C$61</f>
        <v>3842.8582761674575</v>
      </c>
      <c r="AW287" s="78">
        <f>AI287*Valores!$C$62</f>
        <v>1080.8038901720972</v>
      </c>
      <c r="AX287" s="78">
        <f>AI287*Valores!$C$64</f>
        <v>240.17864226046609</v>
      </c>
      <c r="AY287" s="78">
        <f>AI287*Valores!$C$65</f>
        <v>840.62524791163139</v>
      </c>
      <c r="AZ287" s="78">
        <f>AI287*Valores!$C$66</f>
        <v>144.10718535627964</v>
      </c>
      <c r="BA287" s="78">
        <f t="shared" si="53"/>
        <v>1296.964668206517</v>
      </c>
      <c r="BB287" s="20"/>
      <c r="BC287" s="20">
        <f t="shared" si="46"/>
        <v>120</v>
      </c>
      <c r="BD287" s="9" t="s">
        <v>467</v>
      </c>
    </row>
    <row r="288" spans="1:56" s="9" customFormat="1" ht="11.25" customHeight="1" x14ac:dyDescent="0.15">
      <c r="A288" s="20">
        <v>287</v>
      </c>
      <c r="B288" s="20"/>
      <c r="C288" s="9" t="s">
        <v>355</v>
      </c>
      <c r="D288" s="9">
        <v>30</v>
      </c>
      <c r="E288" s="10" t="str">
        <f>CONCATENATE("Hora Cátedra Enseñanza Media ",D288," hs Esc Esp")</f>
        <v>Hora Cátedra Enseñanza Media 30 hs Esc Esp</v>
      </c>
      <c r="F288" s="123">
        <f t="shared" si="47"/>
        <v>2370</v>
      </c>
      <c r="G288" s="7">
        <f>INT((F288*Valores!$C$2*100*1.006901)+0.5)/100</f>
        <v>12473</v>
      </c>
      <c r="H288" s="132">
        <v>0</v>
      </c>
      <c r="I288" s="77">
        <f>INT((H288*Valores!$C$2*100*1.006901)+0.5)/100</f>
        <v>0</v>
      </c>
      <c r="J288" s="145">
        <v>0</v>
      </c>
      <c r="K288" s="77">
        <f>INT((J288*Valores!$C$2*100*1.006901)+0.5)/100</f>
        <v>0</v>
      </c>
      <c r="L288" s="120">
        <v>0</v>
      </c>
      <c r="M288" s="77">
        <f>INT((L288*Valores!$C$2*100*1.006901)+0.5)/100</f>
        <v>0</v>
      </c>
      <c r="N288" s="77">
        <f t="shared" si="54"/>
        <v>2224.6875643799999</v>
      </c>
      <c r="O288" s="77">
        <f t="shared" si="55"/>
        <v>0</v>
      </c>
      <c r="P288" s="61">
        <f>Valores!$C$14*D288</f>
        <v>3619.4063345999998</v>
      </c>
      <c r="Q288" s="61">
        <f>IF(D288&lt;15,(Valores!$E$4*D288),Valores!$D$4)</f>
        <v>2354.08</v>
      </c>
      <c r="R288" s="77">
        <v>0</v>
      </c>
      <c r="S288" s="79">
        <f>Valores!$C$45*D288</f>
        <v>955.7504292000001</v>
      </c>
      <c r="T288" s="61">
        <f>Valores!$C$22*D288</f>
        <v>1402.5</v>
      </c>
      <c r="U288" s="77">
        <f t="shared" si="45"/>
        <v>1402.5</v>
      </c>
      <c r="V288" s="77">
        <v>0</v>
      </c>
      <c r="W288" s="77">
        <v>0</v>
      </c>
      <c r="X288" s="37">
        <v>0</v>
      </c>
      <c r="Y288" s="77">
        <f>X288*Valores!$C$2*1.006901</f>
        <v>0</v>
      </c>
      <c r="Z288" s="77">
        <v>0</v>
      </c>
      <c r="AA288" s="89">
        <f>(Valores!$C$32)*D288</f>
        <v>158.4</v>
      </c>
      <c r="AB288" s="77">
        <f t="shared" si="48"/>
        <v>0</v>
      </c>
      <c r="AC288" s="77">
        <v>131.68</v>
      </c>
      <c r="AD288" s="116">
        <v>94</v>
      </c>
      <c r="AE288" s="77">
        <f>AD288*Valores!$C$2*1.006901</f>
        <v>494.70979379919999</v>
      </c>
      <c r="AF288" s="77">
        <f>Valores!$D$51*D288</f>
        <v>543.15979745514778</v>
      </c>
      <c r="AG288" s="77">
        <f>Valores!$D$52*D288</f>
        <v>155.2001004114571</v>
      </c>
      <c r="AH288" s="77">
        <f>SUM(G288,I288,K288,M288,N288,O288,P288,Q288,R288,S288,U288,V288,W288,Y288,Z288,AA288,AB288,AC288,AE288,AF288,AG288)*Valores!$C$54</f>
        <v>0</v>
      </c>
      <c r="AI288" s="139">
        <f t="shared" si="52"/>
        <v>24512.574019845808</v>
      </c>
      <c r="AJ288" s="61">
        <f>Valores!$C$36*D288</f>
        <v>432.08</v>
      </c>
      <c r="AK288" s="79">
        <f>Valores!$C$11*D288</f>
        <v>257.06182530000001</v>
      </c>
      <c r="AL288" s="89">
        <v>226.04927450000002</v>
      </c>
      <c r="AM288" s="79">
        <f>IF($G$4="SI",SUM(AK288+AL288),AK288)*Valores!$C$54</f>
        <v>0</v>
      </c>
      <c r="AN288" s="12">
        <f t="shared" si="49"/>
        <v>915.19109979999996</v>
      </c>
      <c r="AO288" s="13">
        <f>AI288*-Valores!$C$56</f>
        <v>-3186.6346225799552</v>
      </c>
      <c r="AP288" s="13">
        <f>AI288*-Valores!$C$57</f>
        <v>-122.56287009922904</v>
      </c>
      <c r="AQ288" s="78">
        <f>AI288*-Valores!$C$58</f>
        <v>-1103.0658308930613</v>
      </c>
      <c r="AR288" s="78">
        <f>AI288*-Valores!$C$59</f>
        <v>-661.83949853583692</v>
      </c>
      <c r="AS288" s="78">
        <f>AI288*-Valores!$C$60</f>
        <v>-73.53772205953743</v>
      </c>
      <c r="AT288" s="15">
        <f t="shared" si="50"/>
        <v>21015.501796073564</v>
      </c>
      <c r="AU288" s="15">
        <f t="shared" si="51"/>
        <v>21383.190406371254</v>
      </c>
      <c r="AV288" s="78">
        <f>AI288*Valores!$C$61</f>
        <v>3922.0118431753294</v>
      </c>
      <c r="AW288" s="78">
        <f>AI288*Valores!$C$62</f>
        <v>1103.0658308930613</v>
      </c>
      <c r="AX288" s="78">
        <f>AI288*Valores!$C$64</f>
        <v>245.12574019845809</v>
      </c>
      <c r="AY288" s="78">
        <f>AI288*Valores!$C$65</f>
        <v>857.94009069460333</v>
      </c>
      <c r="AZ288" s="78">
        <f>AI288*Valores!$C$66</f>
        <v>147.07544411907486</v>
      </c>
      <c r="BA288" s="78">
        <f t="shared" si="53"/>
        <v>1323.6789970716738</v>
      </c>
      <c r="BB288" s="20"/>
      <c r="BC288" s="20">
        <f t="shared" si="46"/>
        <v>120</v>
      </c>
      <c r="BD288" s="9" t="s">
        <v>467</v>
      </c>
    </row>
    <row r="289" spans="1:56" s="9" customFormat="1" ht="11.25" customHeight="1" x14ac:dyDescent="0.15">
      <c r="A289" s="20">
        <v>288</v>
      </c>
      <c r="B289" s="20"/>
      <c r="C289" s="9" t="s">
        <v>355</v>
      </c>
      <c r="D289" s="9">
        <v>31</v>
      </c>
      <c r="E289" s="10" t="str">
        <f>CONCATENATE("Hora Cátedra Enseñanza Media ",D289," hs")</f>
        <v>Hora Cátedra Enseñanza Media 31 hs</v>
      </c>
      <c r="F289" s="123">
        <f t="shared" si="47"/>
        <v>2449</v>
      </c>
      <c r="G289" s="7">
        <f>INT((F289*Valores!$C$2*100*1.006901)+0.5)/100</f>
        <v>12888.77</v>
      </c>
      <c r="H289" s="132">
        <v>0</v>
      </c>
      <c r="I289" s="77">
        <f>INT((H289*Valores!$C$2*100*1.006901)+0.5)/100</f>
        <v>0</v>
      </c>
      <c r="J289" s="145">
        <v>0</v>
      </c>
      <c r="K289" s="77">
        <f>INT((J289*Valores!$C$2*100*1.006901)+0.5)/100</f>
        <v>0</v>
      </c>
      <c r="L289" s="120">
        <v>0</v>
      </c>
      <c r="M289" s="77">
        <f>INT((L289*Valores!$C$2*100*1.006901)+0.5)/100</f>
        <v>0</v>
      </c>
      <c r="N289" s="77">
        <f t="shared" si="54"/>
        <v>2298.8443165260001</v>
      </c>
      <c r="O289" s="77">
        <f t="shared" si="55"/>
        <v>0</v>
      </c>
      <c r="P289" s="61">
        <f>Valores!$C$14*D289</f>
        <v>3740.0532124199999</v>
      </c>
      <c r="Q289" s="61">
        <f>IF(D289&lt;15,(Valores!$E$4*D289),Valores!$D$4)</f>
        <v>2354.08</v>
      </c>
      <c r="R289" s="77">
        <v>0</v>
      </c>
      <c r="S289" s="79">
        <f>Valores!$C$45*D289</f>
        <v>987.60877684000002</v>
      </c>
      <c r="T289" s="61">
        <f>Valores!$C$22*D289</f>
        <v>1449.25</v>
      </c>
      <c r="U289" s="77">
        <f t="shared" si="45"/>
        <v>1449.25</v>
      </c>
      <c r="V289" s="77">
        <v>0</v>
      </c>
      <c r="W289" s="77">
        <v>0</v>
      </c>
      <c r="X289" s="37">
        <v>0</v>
      </c>
      <c r="Y289" s="77">
        <f>X289*Valores!$C$2*1.006901</f>
        <v>0</v>
      </c>
      <c r="Z289" s="77">
        <v>0</v>
      </c>
      <c r="AA289" s="89">
        <f>(Valores!$C$32)*D289</f>
        <v>163.68</v>
      </c>
      <c r="AB289" s="77">
        <f t="shared" si="48"/>
        <v>0</v>
      </c>
      <c r="AC289" s="77">
        <v>131.68</v>
      </c>
      <c r="AD289" s="116">
        <v>0</v>
      </c>
      <c r="AE289" s="77">
        <f>AD289*Valores!$C$2*1.006901</f>
        <v>0</v>
      </c>
      <c r="AF289" s="77">
        <f>AF288</f>
        <v>543.15979745514778</v>
      </c>
      <c r="AG289" s="77">
        <f>AG288</f>
        <v>155.2001004114571</v>
      </c>
      <c r="AH289" s="77">
        <f>SUM(G289,I289,K289,M289,N289,O289,P289,Q289,R289,S289,U289,V289,W289,Y289,Z289,AA289,AB289,AC289,AE289,AF289,AG289)*Valores!$C$54</f>
        <v>0</v>
      </c>
      <c r="AI289" s="139">
        <f t="shared" si="52"/>
        <v>24712.326203652603</v>
      </c>
      <c r="AJ289" s="61">
        <f>(Valores!$C$36*$D$222)+0.04</f>
        <v>432.12</v>
      </c>
      <c r="AK289" s="79">
        <f>Valores!$C$11*D289</f>
        <v>265.63055281000004</v>
      </c>
      <c r="AL289" s="89">
        <v>226.04927450000002</v>
      </c>
      <c r="AM289" s="79">
        <f>IF($G$4="SI",SUM(AK289+AL289),AK289)*Valores!$C$54</f>
        <v>0</v>
      </c>
      <c r="AN289" s="12">
        <f t="shared" si="49"/>
        <v>923.79982731000007</v>
      </c>
      <c r="AO289" s="13">
        <f>AI289*-Valores!$C$56</f>
        <v>-3212.6024064748385</v>
      </c>
      <c r="AP289" s="13">
        <f>AI289*-Valores!$C$57</f>
        <v>-123.56163101826301</v>
      </c>
      <c r="AQ289" s="78">
        <f>AI289*-Valores!$C$58</f>
        <v>-1112.0546791643671</v>
      </c>
      <c r="AR289" s="78">
        <f>AI289*-Valores!$C$59</f>
        <v>-667.23280749862033</v>
      </c>
      <c r="AS289" s="78">
        <f>AI289*-Valores!$C$60</f>
        <v>-74.136978610957811</v>
      </c>
      <c r="AT289" s="15">
        <f t="shared" si="50"/>
        <v>21187.907314305132</v>
      </c>
      <c r="AU289" s="15">
        <f t="shared" si="51"/>
        <v>21558.592207359921</v>
      </c>
      <c r="AV289" s="78">
        <f>AI289*Valores!$C$61</f>
        <v>3953.9721925844165</v>
      </c>
      <c r="AW289" s="78">
        <f>AI289*Valores!$C$62</f>
        <v>1112.0546791643671</v>
      </c>
      <c r="AX289" s="78">
        <f>AI289*Valores!$C$64</f>
        <v>247.12326203652603</v>
      </c>
      <c r="AY289" s="78">
        <f>AI289*Valores!$C$65</f>
        <v>864.9314171278412</v>
      </c>
      <c r="AZ289" s="78">
        <f>AI289*Valores!$C$66</f>
        <v>148.27395722191562</v>
      </c>
      <c r="BA289" s="78">
        <f t="shared" si="53"/>
        <v>1334.4656149972407</v>
      </c>
      <c r="BB289" s="20"/>
      <c r="BC289" s="55">
        <f t="shared" ref="BC289:BC301" si="56">4*D289</f>
        <v>124</v>
      </c>
      <c r="BD289" s="9" t="s">
        <v>466</v>
      </c>
    </row>
    <row r="290" spans="1:56" s="9" customFormat="1" ht="11.25" customHeight="1" x14ac:dyDescent="0.15">
      <c r="A290" s="20">
        <v>289</v>
      </c>
      <c r="B290" s="20"/>
      <c r="C290" s="9" t="s">
        <v>355</v>
      </c>
      <c r="D290" s="9">
        <v>31</v>
      </c>
      <c r="E290" s="10" t="str">
        <f>CONCATENATE("Hora Cátedra Enseñanza Media ",D290," hs Esc Esp")</f>
        <v>Hora Cátedra Enseñanza Media 31 hs Esc Esp</v>
      </c>
      <c r="F290" s="123">
        <f t="shared" si="47"/>
        <v>2449</v>
      </c>
      <c r="G290" s="7">
        <f>INT((F290*Valores!$C$2*100*1.006901)+0.5)/100</f>
        <v>12888.77</v>
      </c>
      <c r="H290" s="132">
        <v>0</v>
      </c>
      <c r="I290" s="77">
        <f>INT((H290*Valores!$C$2*100*1.006901)+0.5)/100</f>
        <v>0</v>
      </c>
      <c r="J290" s="145">
        <v>0</v>
      </c>
      <c r="K290" s="77">
        <f>INT((J290*Valores!$C$2*100*1.006901)+0.5)/100</f>
        <v>0</v>
      </c>
      <c r="L290" s="120">
        <v>0</v>
      </c>
      <c r="M290" s="77">
        <f>INT((L290*Valores!$C$2*100*1.006901)+0.5)/100</f>
        <v>0</v>
      </c>
      <c r="N290" s="77">
        <f t="shared" si="54"/>
        <v>2298.8443165260001</v>
      </c>
      <c r="O290" s="77">
        <f t="shared" si="55"/>
        <v>0</v>
      </c>
      <c r="P290" s="61">
        <f>Valores!$C$14*D290</f>
        <v>3740.0532124199999</v>
      </c>
      <c r="Q290" s="61">
        <f>IF(D290&lt;15,(Valores!$E$4*D290),Valores!$D$4)</f>
        <v>2354.08</v>
      </c>
      <c r="R290" s="77">
        <v>0</v>
      </c>
      <c r="S290" s="79">
        <f>Valores!$C$45*D290</f>
        <v>987.60877684000002</v>
      </c>
      <c r="T290" s="61">
        <f>Valores!$C$22*D290</f>
        <v>1449.25</v>
      </c>
      <c r="U290" s="77">
        <f t="shared" si="45"/>
        <v>1449.25</v>
      </c>
      <c r="V290" s="77">
        <v>0</v>
      </c>
      <c r="W290" s="77">
        <v>0</v>
      </c>
      <c r="X290" s="37">
        <v>0</v>
      </c>
      <c r="Y290" s="77">
        <f>X290*Valores!$C$2*1.006901</f>
        <v>0</v>
      </c>
      <c r="Z290" s="77">
        <v>0</v>
      </c>
      <c r="AA290" s="89">
        <f>(Valores!$C$32)*D290</f>
        <v>163.68</v>
      </c>
      <c r="AB290" s="77">
        <f t="shared" si="48"/>
        <v>0</v>
      </c>
      <c r="AC290" s="77">
        <v>131.68</v>
      </c>
      <c r="AD290" s="116">
        <v>94</v>
      </c>
      <c r="AE290" s="77">
        <f>AD290*Valores!$C$2*1.006901</f>
        <v>494.70979379919999</v>
      </c>
      <c r="AF290" s="77">
        <f t="shared" ref="AF290:AF300" si="57">AF289</f>
        <v>543.15979745514778</v>
      </c>
      <c r="AG290" s="77">
        <f t="shared" ref="AG290:AG300" si="58">AG289</f>
        <v>155.2001004114571</v>
      </c>
      <c r="AH290" s="77">
        <f>SUM(G290,I290,K290,M290,N290,O290,P290,Q290,R290,S290,U290,V290,W290,Y290,Z290,AA290,AB290,AC290,AE290,AF290,AG290)*Valores!$C$54</f>
        <v>0</v>
      </c>
      <c r="AI290" s="139">
        <f t="shared" si="52"/>
        <v>25207.035997451803</v>
      </c>
      <c r="AJ290" s="61">
        <f>(Valores!$C$36*$D$222)+0.04</f>
        <v>432.12</v>
      </c>
      <c r="AK290" s="79">
        <f>Valores!$C$11*D290</f>
        <v>265.63055281000004</v>
      </c>
      <c r="AL290" s="89">
        <v>226.04927450000002</v>
      </c>
      <c r="AM290" s="79">
        <f>IF($G$4="SI",SUM(AK290+AL290),AK290)*Valores!$C$54</f>
        <v>0</v>
      </c>
      <c r="AN290" s="12">
        <f t="shared" si="49"/>
        <v>923.79982731000007</v>
      </c>
      <c r="AO290" s="13">
        <f>AI290*-Valores!$C$56</f>
        <v>-3276.9146796687346</v>
      </c>
      <c r="AP290" s="13">
        <f>AI290*-Valores!$C$57</f>
        <v>-126.03517998725901</v>
      </c>
      <c r="AQ290" s="78">
        <f>AI290*-Valores!$C$58</f>
        <v>-1134.3166198853312</v>
      </c>
      <c r="AR290" s="78">
        <f>AI290*-Valores!$C$59</f>
        <v>-680.58997193119876</v>
      </c>
      <c r="AS290" s="78">
        <f>AI290*-Valores!$C$60</f>
        <v>-75.621107992355405</v>
      </c>
      <c r="AT290" s="15">
        <f t="shared" si="50"/>
        <v>21593.569345220476</v>
      </c>
      <c r="AU290" s="15">
        <f t="shared" si="51"/>
        <v>21971.674885182252</v>
      </c>
      <c r="AV290" s="78">
        <f>AI290*Valores!$C$61</f>
        <v>4033.1257595922884</v>
      </c>
      <c r="AW290" s="78">
        <f>AI290*Valores!$C$62</f>
        <v>1134.3166198853312</v>
      </c>
      <c r="AX290" s="78">
        <f>AI290*Valores!$C$64</f>
        <v>252.07035997451803</v>
      </c>
      <c r="AY290" s="78">
        <f>AI290*Valores!$C$65</f>
        <v>882.24625991081325</v>
      </c>
      <c r="AZ290" s="78">
        <f>AI290*Valores!$C$66</f>
        <v>151.24221598471081</v>
      </c>
      <c r="BA290" s="78">
        <f t="shared" si="53"/>
        <v>1361.1799438623973</v>
      </c>
      <c r="BB290" s="20"/>
      <c r="BC290" s="20">
        <f t="shared" si="56"/>
        <v>124</v>
      </c>
      <c r="BD290" s="9" t="s">
        <v>466</v>
      </c>
    </row>
    <row r="291" spans="1:56" s="9" customFormat="1" ht="11.25" customHeight="1" x14ac:dyDescent="0.15">
      <c r="A291" s="55">
        <v>290</v>
      </c>
      <c r="B291" s="55" t="s">
        <v>462</v>
      </c>
      <c r="C291" s="52" t="s">
        <v>355</v>
      </c>
      <c r="D291" s="52">
        <v>32</v>
      </c>
      <c r="E291" s="53" t="str">
        <f>CONCATENATE("Hora Cátedra Enseñanza Media ",D291," hs")</f>
        <v>Hora Cátedra Enseñanza Media 32 hs</v>
      </c>
      <c r="F291" s="124">
        <f t="shared" si="47"/>
        <v>2528</v>
      </c>
      <c r="G291" s="7">
        <f>INT((F291*Valores!$C$2*100*1.006901)+0.5)/100</f>
        <v>13304.54</v>
      </c>
      <c r="H291" s="131">
        <v>0</v>
      </c>
      <c r="I291" s="77">
        <f>INT((H291*Valores!$C$2*100*1.006901)+0.5)/100</f>
        <v>0</v>
      </c>
      <c r="J291" s="146">
        <v>0</v>
      </c>
      <c r="K291" s="77">
        <f>INT((J291*Valores!$C$2*100*1.006901)+0.5)/100</f>
        <v>0</v>
      </c>
      <c r="L291" s="121">
        <v>0</v>
      </c>
      <c r="M291" s="77">
        <f>INT((L291*Valores!$C$2*100*1.006901)+0.5)/100</f>
        <v>0</v>
      </c>
      <c r="N291" s="80">
        <f t="shared" si="54"/>
        <v>2373.0010686719997</v>
      </c>
      <c r="O291" s="80">
        <f t="shared" si="55"/>
        <v>0</v>
      </c>
      <c r="P291" s="85">
        <f>Valores!$C$14*D291</f>
        <v>3860.70009024</v>
      </c>
      <c r="Q291" s="85">
        <f>IF(D291&lt;15,(Valores!$E$4*D291),Valores!$D$4)</f>
        <v>2354.08</v>
      </c>
      <c r="R291" s="80">
        <v>0</v>
      </c>
      <c r="S291" s="82">
        <f>Valores!$C$45*D291</f>
        <v>1019.4671244800001</v>
      </c>
      <c r="T291" s="85">
        <f>Valores!$C$22*D291</f>
        <v>1496</v>
      </c>
      <c r="U291" s="80">
        <f t="shared" si="45"/>
        <v>1496</v>
      </c>
      <c r="V291" s="80">
        <v>0</v>
      </c>
      <c r="W291" s="80">
        <v>0</v>
      </c>
      <c r="X291" s="60">
        <v>0</v>
      </c>
      <c r="Y291" s="77">
        <f>X291*Valores!$C$2*1.006901</f>
        <v>0</v>
      </c>
      <c r="Z291" s="80">
        <v>0</v>
      </c>
      <c r="AA291" s="90">
        <f>(Valores!$C$32)*D291</f>
        <v>168.96</v>
      </c>
      <c r="AB291" s="80">
        <f t="shared" si="48"/>
        <v>0</v>
      </c>
      <c r="AC291" s="80">
        <v>131.68</v>
      </c>
      <c r="AD291" s="115">
        <v>0</v>
      </c>
      <c r="AE291" s="77">
        <f>AD291*Valores!$C$2*1.006901</f>
        <v>0</v>
      </c>
      <c r="AF291" s="80">
        <f t="shared" si="57"/>
        <v>543.15979745514778</v>
      </c>
      <c r="AG291" s="80">
        <f t="shared" si="58"/>
        <v>155.2001004114571</v>
      </c>
      <c r="AH291" s="80">
        <f>SUM(G291,I291,K291,M291,N291,O291,P291,Q291,R291,S291,U291,V291,W291,Y291,Z291,AA291,AB291,AC291,AE291,AF291,AG291)*Valores!$C$54</f>
        <v>0</v>
      </c>
      <c r="AI291" s="140">
        <f t="shared" si="52"/>
        <v>25406.788181258609</v>
      </c>
      <c r="AJ291" s="85">
        <f>(Valores!$C$36*$D$222)+0.04</f>
        <v>432.12</v>
      </c>
      <c r="AK291" s="82">
        <f>Valores!$C$11*D291</f>
        <v>274.19928032000001</v>
      </c>
      <c r="AL291" s="90">
        <v>226.04927450000002</v>
      </c>
      <c r="AM291" s="82">
        <f>IF($G$4="SI",SUM(AK291+AL291),AK291)*Valores!$C$54</f>
        <v>0</v>
      </c>
      <c r="AN291" s="184">
        <f t="shared" si="49"/>
        <v>932.36855481999999</v>
      </c>
      <c r="AO291" s="153">
        <f>AI291*-Valores!$C$56</f>
        <v>-3302.8824635636192</v>
      </c>
      <c r="AP291" s="153">
        <f>AI291*-Valores!$C$57</f>
        <v>-127.03394090629305</v>
      </c>
      <c r="AQ291" s="81">
        <f>AI291*-Valores!$C$58</f>
        <v>-1143.3054681566373</v>
      </c>
      <c r="AR291" s="81">
        <f>AI291*-Valores!$C$59</f>
        <v>-685.98328089398251</v>
      </c>
      <c r="AS291" s="81">
        <f>AI291*-Valores!$C$60</f>
        <v>-76.22036454377583</v>
      </c>
      <c r="AT291" s="54">
        <f t="shared" si="50"/>
        <v>21765.934863452057</v>
      </c>
      <c r="AU291" s="54">
        <f t="shared" si="51"/>
        <v>22147.036686170937</v>
      </c>
      <c r="AV291" s="81">
        <f>AI291*Valores!$C$61</f>
        <v>4065.0861090013777</v>
      </c>
      <c r="AW291" s="81">
        <f>AI291*Valores!$C$62</f>
        <v>1143.3054681566373</v>
      </c>
      <c r="AX291" s="81">
        <f>AI291*Valores!$C$64</f>
        <v>254.06788181258611</v>
      </c>
      <c r="AY291" s="81">
        <f>AI291*Valores!$C$65</f>
        <v>889.23758634405146</v>
      </c>
      <c r="AZ291" s="81">
        <f>AI291*Valores!$C$66</f>
        <v>152.44072908755166</v>
      </c>
      <c r="BA291" s="81">
        <f t="shared" si="53"/>
        <v>1371.9665617879648</v>
      </c>
      <c r="BB291" s="55"/>
      <c r="BC291" s="55">
        <f t="shared" si="56"/>
        <v>128</v>
      </c>
      <c r="BD291" s="52" t="s">
        <v>466</v>
      </c>
    </row>
    <row r="292" spans="1:56" s="9" customFormat="1" ht="11.25" customHeight="1" x14ac:dyDescent="0.15">
      <c r="A292" s="20">
        <v>291</v>
      </c>
      <c r="B292" s="20"/>
      <c r="C292" s="9" t="s">
        <v>355</v>
      </c>
      <c r="D292" s="9">
        <v>32</v>
      </c>
      <c r="E292" s="10" t="str">
        <f>CONCATENATE("Hora Cátedra Enseñanza Media ",D292," hs Esc Esp")</f>
        <v>Hora Cátedra Enseñanza Media 32 hs Esc Esp</v>
      </c>
      <c r="F292" s="123">
        <f t="shared" si="47"/>
        <v>2528</v>
      </c>
      <c r="G292" s="7">
        <f>INT((F292*Valores!$C$2*100*1.006901)+0.5)/100</f>
        <v>13304.54</v>
      </c>
      <c r="H292" s="132">
        <v>0</v>
      </c>
      <c r="I292" s="77">
        <f>INT((H292*Valores!$C$2*100*1.006901)+0.5)/100</f>
        <v>0</v>
      </c>
      <c r="J292" s="145">
        <v>0</v>
      </c>
      <c r="K292" s="77">
        <f>INT((J292*Valores!$C$2*100*1.006901)+0.5)/100</f>
        <v>0</v>
      </c>
      <c r="L292" s="120">
        <v>0</v>
      </c>
      <c r="M292" s="77">
        <f>INT((L292*Valores!$C$2*100*1.006901)+0.5)/100</f>
        <v>0</v>
      </c>
      <c r="N292" s="77">
        <f t="shared" si="54"/>
        <v>2373.0010686719997</v>
      </c>
      <c r="O292" s="77">
        <f t="shared" si="55"/>
        <v>0</v>
      </c>
      <c r="P292" s="61">
        <f>Valores!$C$14*D292</f>
        <v>3860.70009024</v>
      </c>
      <c r="Q292" s="61">
        <f>IF(D292&lt;15,(Valores!$E$4*D292),Valores!$D$4)</f>
        <v>2354.08</v>
      </c>
      <c r="R292" s="77">
        <v>0</v>
      </c>
      <c r="S292" s="79">
        <f>Valores!$C$45*D292</f>
        <v>1019.4671244800001</v>
      </c>
      <c r="T292" s="61">
        <f>Valores!$C$22*D292</f>
        <v>1496</v>
      </c>
      <c r="U292" s="77">
        <f t="shared" si="45"/>
        <v>1496</v>
      </c>
      <c r="V292" s="77">
        <v>0</v>
      </c>
      <c r="W292" s="77">
        <v>0</v>
      </c>
      <c r="X292" s="37">
        <v>0</v>
      </c>
      <c r="Y292" s="77">
        <f>X292*Valores!$C$2*1.006901</f>
        <v>0</v>
      </c>
      <c r="Z292" s="77">
        <v>0</v>
      </c>
      <c r="AA292" s="89">
        <f>(Valores!$C$32)*D292</f>
        <v>168.96</v>
      </c>
      <c r="AB292" s="77">
        <f t="shared" si="48"/>
        <v>0</v>
      </c>
      <c r="AC292" s="77">
        <v>131.68</v>
      </c>
      <c r="AD292" s="116">
        <v>94</v>
      </c>
      <c r="AE292" s="77">
        <f>AD292*Valores!$C$2*1.006901</f>
        <v>494.70979379919999</v>
      </c>
      <c r="AF292" s="77">
        <f t="shared" si="57"/>
        <v>543.15979745514778</v>
      </c>
      <c r="AG292" s="77">
        <f t="shared" si="58"/>
        <v>155.2001004114571</v>
      </c>
      <c r="AH292" s="77">
        <f>SUM(G292,I292,K292,M292,N292,O292,P292,Q292,R292,S292,U292,V292,W292,Y292,Z292,AA292,AB292,AC292,AE292,AF292,AG292)*Valores!$C$54</f>
        <v>0</v>
      </c>
      <c r="AI292" s="139">
        <f t="shared" si="52"/>
        <v>25901.49797505781</v>
      </c>
      <c r="AJ292" s="61">
        <f>(Valores!$C$36*$D$222)+0.04</f>
        <v>432.12</v>
      </c>
      <c r="AK292" s="79">
        <f>Valores!$C$11*D292</f>
        <v>274.19928032000001</v>
      </c>
      <c r="AL292" s="89">
        <v>226.04927450000002</v>
      </c>
      <c r="AM292" s="79">
        <f>IF($G$4="SI",SUM(AK292+AL292),AK292)*Valores!$C$54</f>
        <v>0</v>
      </c>
      <c r="AN292" s="12">
        <f t="shared" si="49"/>
        <v>932.36855481999999</v>
      </c>
      <c r="AO292" s="13">
        <f>AI292*-Valores!$C$56</f>
        <v>-3367.1947367575153</v>
      </c>
      <c r="AP292" s="13">
        <f>AI292*-Valores!$C$57</f>
        <v>-129.50748987528905</v>
      </c>
      <c r="AQ292" s="78">
        <f>AI292*-Valores!$C$58</f>
        <v>-1165.5674088776013</v>
      </c>
      <c r="AR292" s="78">
        <f>AI292*-Valores!$C$59</f>
        <v>-699.34044532656094</v>
      </c>
      <c r="AS292" s="78">
        <f>AI292*-Valores!$C$60</f>
        <v>-77.704493925173423</v>
      </c>
      <c r="AT292" s="15">
        <f t="shared" si="50"/>
        <v>22171.596894367405</v>
      </c>
      <c r="AU292" s="15">
        <f t="shared" si="51"/>
        <v>22560.119363993272</v>
      </c>
      <c r="AV292" s="78">
        <f>AI292*Valores!$C$61</f>
        <v>4144.2396760092497</v>
      </c>
      <c r="AW292" s="78">
        <f>AI292*Valores!$C$62</f>
        <v>1165.5674088776013</v>
      </c>
      <c r="AX292" s="78">
        <f>AI292*Valores!$C$64</f>
        <v>259.01497975057811</v>
      </c>
      <c r="AY292" s="78">
        <f>AI292*Valores!$C$65</f>
        <v>906.5524291270234</v>
      </c>
      <c r="AZ292" s="78">
        <f>AI292*Valores!$C$66</f>
        <v>155.40898785034685</v>
      </c>
      <c r="BA292" s="78">
        <f t="shared" si="53"/>
        <v>1398.6808906531217</v>
      </c>
      <c r="BB292" s="20"/>
      <c r="BC292" s="20">
        <f t="shared" si="56"/>
        <v>128</v>
      </c>
      <c r="BD292" s="9" t="s">
        <v>466</v>
      </c>
    </row>
    <row r="293" spans="1:56" s="9" customFormat="1" ht="11.25" customHeight="1" x14ac:dyDescent="0.15">
      <c r="A293" s="20">
        <v>292</v>
      </c>
      <c r="B293" s="20"/>
      <c r="C293" s="9" t="s">
        <v>355</v>
      </c>
      <c r="D293" s="9">
        <v>33</v>
      </c>
      <c r="E293" s="10" t="str">
        <f>CONCATENATE("Hora Cátedra Enseñanza Media ",D293," hs")</f>
        <v>Hora Cátedra Enseñanza Media 33 hs</v>
      </c>
      <c r="F293" s="123">
        <f t="shared" ref="F293:F300" si="59">79*D293</f>
        <v>2607</v>
      </c>
      <c r="G293" s="7">
        <f>INT((F293*Valores!$C$2*100*1.006901)+0.5)/100</f>
        <v>13720.3</v>
      </c>
      <c r="H293" s="132">
        <v>0</v>
      </c>
      <c r="I293" s="77">
        <f>INT((H293*Valores!$C$2*100*1.006901)+0.5)/100</f>
        <v>0</v>
      </c>
      <c r="J293" s="145">
        <v>0</v>
      </c>
      <c r="K293" s="77">
        <f>INT((J293*Valores!$C$2*100*1.006901)+0.5)/100</f>
        <v>0</v>
      </c>
      <c r="L293" s="120">
        <v>0</v>
      </c>
      <c r="M293" s="77">
        <f>INT((L293*Valores!$C$2*100*1.006901)+0.5)/100</f>
        <v>0</v>
      </c>
      <c r="N293" s="77">
        <f t="shared" si="54"/>
        <v>2447.1563208179996</v>
      </c>
      <c r="O293" s="77">
        <f t="shared" si="55"/>
        <v>0</v>
      </c>
      <c r="P293" s="61">
        <f>Valores!$C$14*D293</f>
        <v>3981.3469680600001</v>
      </c>
      <c r="Q293" s="61">
        <f>IF(D293&lt;15,(Valores!$E$4*D293),Valores!$D$4)</f>
        <v>2354.08</v>
      </c>
      <c r="R293" s="77">
        <v>0</v>
      </c>
      <c r="S293" s="79">
        <f>Valores!$C$45*D293</f>
        <v>1051.3254721200001</v>
      </c>
      <c r="T293" s="61">
        <f>Valores!$C$22*D293</f>
        <v>1542.75</v>
      </c>
      <c r="U293" s="77">
        <f t="shared" si="45"/>
        <v>1542.75</v>
      </c>
      <c r="V293" s="77">
        <v>0</v>
      </c>
      <c r="W293" s="77">
        <v>0</v>
      </c>
      <c r="X293" s="37">
        <v>0</v>
      </c>
      <c r="Y293" s="77">
        <f>X293*Valores!$C$2*1.006901</f>
        <v>0</v>
      </c>
      <c r="Z293" s="77">
        <v>0</v>
      </c>
      <c r="AA293" s="89">
        <f>(Valores!$C$32)*D293</f>
        <v>174.24</v>
      </c>
      <c r="AB293" s="77">
        <f t="shared" si="48"/>
        <v>0</v>
      </c>
      <c r="AC293" s="77">
        <v>131.68</v>
      </c>
      <c r="AD293" s="116">
        <v>0</v>
      </c>
      <c r="AE293" s="77">
        <f>AD293*Valores!$C$2*1.006901</f>
        <v>0</v>
      </c>
      <c r="AF293" s="77">
        <f t="shared" si="57"/>
        <v>543.15979745514778</v>
      </c>
      <c r="AG293" s="77">
        <f t="shared" si="58"/>
        <v>155.2001004114571</v>
      </c>
      <c r="AH293" s="77">
        <f>SUM(G293,I293,K293,M293,N293,O293,P293,Q293,R293,S293,U293,V293,W293,Y293,Z293,AA293,AB293,AC293,AE293,AF293,AG293)*Valores!$C$54</f>
        <v>0</v>
      </c>
      <c r="AI293" s="139">
        <f t="shared" si="52"/>
        <v>26101.238658864608</v>
      </c>
      <c r="AJ293" s="61">
        <f>(Valores!$C$36*$D$222)+0.04</f>
        <v>432.12</v>
      </c>
      <c r="AK293" s="79">
        <f>Valores!$C$11*D293</f>
        <v>282.76800782999999</v>
      </c>
      <c r="AL293" s="89">
        <v>226.04927450000002</v>
      </c>
      <c r="AM293" s="79">
        <f>IF($G$4="SI",SUM(AK293+AL293),AK293)*Valores!$C$54</f>
        <v>0</v>
      </c>
      <c r="AN293" s="12">
        <f t="shared" si="49"/>
        <v>940.93728233000002</v>
      </c>
      <c r="AO293" s="13">
        <f>AI293*-Valores!$C$56</f>
        <v>-3393.1610256523991</v>
      </c>
      <c r="AP293" s="13">
        <f>AI293*-Valores!$C$57</f>
        <v>-130.50619329432305</v>
      </c>
      <c r="AQ293" s="78">
        <f>AI293*-Valores!$C$58</f>
        <v>-1174.5557396489073</v>
      </c>
      <c r="AR293" s="78">
        <f>AI293*-Valores!$C$59</f>
        <v>-704.73344378934451</v>
      </c>
      <c r="AS293" s="78">
        <f>AI293*-Valores!$C$60</f>
        <v>-78.303715976593821</v>
      </c>
      <c r="AT293" s="15">
        <f t="shared" si="50"/>
        <v>22343.952982598978</v>
      </c>
      <c r="AU293" s="15">
        <f t="shared" si="51"/>
        <v>22735.471562481944</v>
      </c>
      <c r="AV293" s="78">
        <f>AI293*Valores!$C$61</f>
        <v>4176.1981854183377</v>
      </c>
      <c r="AW293" s="78">
        <f>AI293*Valores!$C$62</f>
        <v>1174.5557396489073</v>
      </c>
      <c r="AX293" s="78">
        <f>AI293*Valores!$C$64</f>
        <v>261.01238658864611</v>
      </c>
      <c r="AY293" s="78">
        <f>AI293*Valores!$C$65</f>
        <v>913.54335306026132</v>
      </c>
      <c r="AZ293" s="78">
        <f>AI293*Valores!$C$66</f>
        <v>156.60743195318764</v>
      </c>
      <c r="BA293" s="78">
        <f t="shared" si="53"/>
        <v>1409.466887578689</v>
      </c>
      <c r="BB293" s="20"/>
      <c r="BC293" s="20">
        <f t="shared" si="56"/>
        <v>132</v>
      </c>
      <c r="BD293" s="9" t="s">
        <v>466</v>
      </c>
    </row>
    <row r="294" spans="1:56" s="9" customFormat="1" ht="11.25" customHeight="1" x14ac:dyDescent="0.15">
      <c r="A294" s="20">
        <v>293</v>
      </c>
      <c r="B294" s="20"/>
      <c r="C294" s="9" t="s">
        <v>355</v>
      </c>
      <c r="D294" s="9">
        <v>33</v>
      </c>
      <c r="E294" s="9" t="str">
        <f>CONCATENATE("Hora Cátedra Enseñanza Media ",D294," hs Esc Esp")</f>
        <v>Hora Cátedra Enseñanza Media 33 hs Esc Esp</v>
      </c>
      <c r="F294" s="127">
        <f t="shared" si="59"/>
        <v>2607</v>
      </c>
      <c r="G294" s="7">
        <f>INT((F294*Valores!$C$2*100*1.006901)+0.5)/100</f>
        <v>13720.3</v>
      </c>
      <c r="H294" s="133">
        <v>0</v>
      </c>
      <c r="I294" s="77">
        <f>INT((H294*Valores!$C$2*100*1.006901)+0.5)/100</f>
        <v>0</v>
      </c>
      <c r="J294" s="147">
        <v>0</v>
      </c>
      <c r="K294" s="77">
        <f>INT((J294*Valores!$C$2*100*1.006901)+0.5)/100</f>
        <v>0</v>
      </c>
      <c r="L294" s="122">
        <v>0</v>
      </c>
      <c r="M294" s="77">
        <f>INT((L294*Valores!$C$2*100*1.006901)+0.5)/100</f>
        <v>0</v>
      </c>
      <c r="N294" s="61">
        <f t="shared" si="54"/>
        <v>2447.1563208179996</v>
      </c>
      <c r="O294" s="61">
        <f t="shared" si="55"/>
        <v>0</v>
      </c>
      <c r="P294" s="61">
        <f>Valores!$C$14*D294</f>
        <v>3981.3469680600001</v>
      </c>
      <c r="Q294" s="61">
        <f>IF(D294&lt;15,(Valores!$E$4*D294),Valores!$D$4)</f>
        <v>2354.08</v>
      </c>
      <c r="R294" s="61">
        <v>0</v>
      </c>
      <c r="S294" s="61">
        <f>Valores!$C$45*D294</f>
        <v>1051.3254721200001</v>
      </c>
      <c r="T294" s="61">
        <f>Valores!$C$22*D294</f>
        <v>1542.75</v>
      </c>
      <c r="U294" s="61">
        <f t="shared" si="45"/>
        <v>1542.75</v>
      </c>
      <c r="V294" s="61">
        <v>0</v>
      </c>
      <c r="W294" s="61">
        <v>0</v>
      </c>
      <c r="X294" s="61">
        <v>0</v>
      </c>
      <c r="Y294" s="77">
        <f>X294*Valores!$C$2*1.006901</f>
        <v>0</v>
      </c>
      <c r="Z294" s="61">
        <v>0</v>
      </c>
      <c r="AA294" s="61">
        <f>(Valores!$C$32)*D294</f>
        <v>174.24</v>
      </c>
      <c r="AB294" s="61">
        <f t="shared" si="48"/>
        <v>0</v>
      </c>
      <c r="AC294" s="61">
        <v>131.68</v>
      </c>
      <c r="AD294" s="117">
        <v>94</v>
      </c>
      <c r="AE294" s="77">
        <f>AD294*Valores!$C$2*1.006901</f>
        <v>494.70979379919999</v>
      </c>
      <c r="AF294" s="61">
        <f t="shared" si="57"/>
        <v>543.15979745514778</v>
      </c>
      <c r="AG294" s="61">
        <f t="shared" si="58"/>
        <v>155.2001004114571</v>
      </c>
      <c r="AH294" s="61">
        <f>SUM(G294,I294,K294,M294,N294,O294,P294,Q294,R294,S294,U294,V294,W294,Y294,Z294,AA294,AB294,AC294,AE294,AF294,AG294)*Valores!$C$54</f>
        <v>0</v>
      </c>
      <c r="AI294" s="13">
        <f t="shared" si="52"/>
        <v>26595.948452663808</v>
      </c>
      <c r="AJ294" s="13">
        <f>(Valores!$C$36*$D$222)+0.04</f>
        <v>432.12</v>
      </c>
      <c r="AK294" s="79">
        <f>Valores!$C$11*D294</f>
        <v>282.76800782999999</v>
      </c>
      <c r="AL294" s="89">
        <v>226.04927450000002</v>
      </c>
      <c r="AM294" s="79">
        <f>IF($G$4="SI",SUM(AK294+AL294),AK294)*Valores!$C$54</f>
        <v>0</v>
      </c>
      <c r="AN294" s="12">
        <f t="shared" si="49"/>
        <v>940.93728233000002</v>
      </c>
      <c r="AO294" s="13">
        <f>AI294*-Valores!$C$56</f>
        <v>-3457.4732988462952</v>
      </c>
      <c r="AP294" s="13">
        <f>AI294*-Valores!$C$57</f>
        <v>-132.97974226331905</v>
      </c>
      <c r="AQ294" s="61">
        <f>AI294*-Valores!$C$58</f>
        <v>-1196.8176803698714</v>
      </c>
      <c r="AR294" s="61">
        <f>AI294*-Valores!$C$59</f>
        <v>-718.09060822192293</v>
      </c>
      <c r="AS294" s="61">
        <f>AI294*-Valores!$C$60</f>
        <v>-79.787845357991429</v>
      </c>
      <c r="AT294" s="139">
        <f t="shared" si="50"/>
        <v>22749.615013514322</v>
      </c>
      <c r="AU294" s="139">
        <f t="shared" si="51"/>
        <v>23148.554240304278</v>
      </c>
      <c r="AV294" s="78">
        <f>AI294*Valores!$C$61</f>
        <v>4255.3517524262097</v>
      </c>
      <c r="AW294" s="78">
        <f>AI294*Valores!$C$62</f>
        <v>1196.8176803698714</v>
      </c>
      <c r="AX294" s="78">
        <f>AI294*Valores!$C$64</f>
        <v>265.95948452663811</v>
      </c>
      <c r="AY294" s="78">
        <f>AI294*Valores!$C$65</f>
        <v>930.85819584323337</v>
      </c>
      <c r="AZ294" s="78">
        <f>AI294*Valores!$C$66</f>
        <v>159.57569071598286</v>
      </c>
      <c r="BA294" s="78">
        <f t="shared" si="53"/>
        <v>1436.1812164438459</v>
      </c>
      <c r="BC294" s="52">
        <f t="shared" si="56"/>
        <v>132</v>
      </c>
      <c r="BD294" s="9" t="s">
        <v>466</v>
      </c>
    </row>
    <row r="295" spans="1:56" s="9" customFormat="1" ht="11.25" customHeight="1" x14ac:dyDescent="0.15">
      <c r="A295" s="20">
        <v>294</v>
      </c>
      <c r="B295" s="20"/>
      <c r="C295" s="9" t="s">
        <v>355</v>
      </c>
      <c r="D295" s="9">
        <v>34</v>
      </c>
      <c r="E295" s="10" t="str">
        <f>CONCATENATE("Hora Cátedra Enseñanza Media ",D295," hs")</f>
        <v>Hora Cátedra Enseñanza Media 34 hs</v>
      </c>
      <c r="F295" s="123">
        <f t="shared" si="59"/>
        <v>2686</v>
      </c>
      <c r="G295" s="7">
        <f>INT((F295*Valores!$C$2*100*1.006901)+0.5)/100</f>
        <v>14136.07</v>
      </c>
      <c r="H295" s="132">
        <v>0</v>
      </c>
      <c r="I295" s="77">
        <f>INT((H295*Valores!$C$2*100*1.006901)+0.5)/100</f>
        <v>0</v>
      </c>
      <c r="J295" s="145">
        <v>0</v>
      </c>
      <c r="K295" s="77">
        <f>INT((J295*Valores!$C$2*100*1.006901)+0.5)/100</f>
        <v>0</v>
      </c>
      <c r="L295" s="120">
        <v>0</v>
      </c>
      <c r="M295" s="77">
        <f>INT((L295*Valores!$C$2*100*1.006901)+0.5)/100</f>
        <v>0</v>
      </c>
      <c r="N295" s="77">
        <f t="shared" si="54"/>
        <v>2521.3130729640002</v>
      </c>
      <c r="O295" s="77">
        <f t="shared" si="55"/>
        <v>0</v>
      </c>
      <c r="P295" s="61">
        <f>Valores!$C$14*D295</f>
        <v>4101.9938458799998</v>
      </c>
      <c r="Q295" s="61">
        <f>IF(D295&lt;15,(Valores!$E$4*D295),Valores!$D$4)</f>
        <v>2354.08</v>
      </c>
      <c r="R295" s="77">
        <v>0</v>
      </c>
      <c r="S295" s="79">
        <f>Valores!$C$45*D295</f>
        <v>1083.18381976</v>
      </c>
      <c r="T295" s="61">
        <f>Valores!$C$22*D295</f>
        <v>1589.5</v>
      </c>
      <c r="U295" s="77">
        <f t="shared" si="45"/>
        <v>1589.5</v>
      </c>
      <c r="V295" s="77">
        <v>0</v>
      </c>
      <c r="W295" s="77">
        <v>0</v>
      </c>
      <c r="X295" s="37">
        <v>0</v>
      </c>
      <c r="Y295" s="77">
        <f>X295*Valores!$C$2*1.006901</f>
        <v>0</v>
      </c>
      <c r="Z295" s="77">
        <v>0</v>
      </c>
      <c r="AA295" s="89">
        <f>(Valores!$C$32)*D295</f>
        <v>179.52</v>
      </c>
      <c r="AB295" s="77">
        <f t="shared" si="48"/>
        <v>0</v>
      </c>
      <c r="AC295" s="77">
        <v>131.68</v>
      </c>
      <c r="AD295" s="116">
        <v>0</v>
      </c>
      <c r="AE295" s="77">
        <f>AD295*Valores!$C$2*1.006901</f>
        <v>0</v>
      </c>
      <c r="AF295" s="77">
        <f t="shared" si="57"/>
        <v>543.15979745514778</v>
      </c>
      <c r="AG295" s="77">
        <f t="shared" si="58"/>
        <v>155.2001004114571</v>
      </c>
      <c r="AH295" s="77">
        <f>SUM(G295,I295,K295,M295,N295,O295,P295,Q295,R295,S295,U295,V295,W295,Y295,Z295,AA295,AB295,AC295,AE295,AF295,AG295)*Valores!$C$54</f>
        <v>0</v>
      </c>
      <c r="AI295" s="139">
        <f t="shared" si="52"/>
        <v>26795.700636470607</v>
      </c>
      <c r="AJ295" s="61">
        <f>(Valores!$C$36*$D$222)+0.04</f>
        <v>432.12</v>
      </c>
      <c r="AK295" s="79">
        <f>Valores!$C$11*D295</f>
        <v>291.33673534000002</v>
      </c>
      <c r="AL295" s="89">
        <v>226.04927450000002</v>
      </c>
      <c r="AM295" s="79">
        <f>IF($G$4="SI",SUM(AK295+AL295),AK295)*Valores!$C$54</f>
        <v>0</v>
      </c>
      <c r="AN295" s="12">
        <f t="shared" si="49"/>
        <v>949.50600984000005</v>
      </c>
      <c r="AO295" s="13">
        <f>AI295*-Valores!$C$56</f>
        <v>-3483.4410827411789</v>
      </c>
      <c r="AP295" s="13">
        <f>AI295*-Valores!$C$57</f>
        <v>-133.97850318235302</v>
      </c>
      <c r="AQ295" s="78">
        <f>AI295*-Valores!$C$58</f>
        <v>-1205.8065286411772</v>
      </c>
      <c r="AR295" s="78">
        <f>AI295*-Valores!$C$59</f>
        <v>-723.48391718470646</v>
      </c>
      <c r="AS295" s="78">
        <f>AI295*-Valores!$C$60</f>
        <v>-80.387101909411825</v>
      </c>
      <c r="AT295" s="15">
        <f t="shared" si="50"/>
        <v>22921.980531745899</v>
      </c>
      <c r="AU295" s="15">
        <f t="shared" si="51"/>
        <v>23323.91604129296</v>
      </c>
      <c r="AV295" s="78">
        <f>AI295*Valores!$C$61</f>
        <v>4287.3121018352967</v>
      </c>
      <c r="AW295" s="78">
        <f>AI295*Valores!$C$62</f>
        <v>1205.8065286411772</v>
      </c>
      <c r="AX295" s="78">
        <f>AI295*Valores!$C$64</f>
        <v>267.95700636470605</v>
      </c>
      <c r="AY295" s="78">
        <f>AI295*Valores!$C$65</f>
        <v>937.84952227647136</v>
      </c>
      <c r="AZ295" s="78">
        <f>AI295*Valores!$C$66</f>
        <v>160.77420381882365</v>
      </c>
      <c r="BA295" s="78">
        <f t="shared" si="53"/>
        <v>1446.9678343694127</v>
      </c>
      <c r="BB295" s="20"/>
      <c r="BC295" s="20">
        <f t="shared" si="56"/>
        <v>136</v>
      </c>
      <c r="BD295" s="9" t="s">
        <v>466</v>
      </c>
    </row>
    <row r="296" spans="1:56" s="9" customFormat="1" ht="11.25" customHeight="1" x14ac:dyDescent="0.15">
      <c r="A296" s="55">
        <v>295</v>
      </c>
      <c r="B296" s="55" t="s">
        <v>462</v>
      </c>
      <c r="C296" s="52" t="s">
        <v>355</v>
      </c>
      <c r="D296" s="52">
        <v>34</v>
      </c>
      <c r="E296" s="53" t="str">
        <f>CONCATENATE("Hora Cátedra Enseñanza Media ",D296," hs Esc Esp")</f>
        <v>Hora Cátedra Enseñanza Media 34 hs Esc Esp</v>
      </c>
      <c r="F296" s="124">
        <f t="shared" si="59"/>
        <v>2686</v>
      </c>
      <c r="G296" s="7">
        <f>INT((F296*Valores!$C$2*100*1.006901)+0.5)/100</f>
        <v>14136.07</v>
      </c>
      <c r="H296" s="131">
        <v>0</v>
      </c>
      <c r="I296" s="77">
        <f>INT((H296*Valores!$C$2*100*1.006901)+0.5)/100</f>
        <v>0</v>
      </c>
      <c r="J296" s="146">
        <v>0</v>
      </c>
      <c r="K296" s="77">
        <f>INT((J296*Valores!$C$2*100*1.006901)+0.5)/100</f>
        <v>0</v>
      </c>
      <c r="L296" s="121">
        <v>0</v>
      </c>
      <c r="M296" s="77">
        <f>INT((L296*Valores!$C$2*100*1.006901)+0.5)/100</f>
        <v>0</v>
      </c>
      <c r="N296" s="80">
        <f t="shared" si="54"/>
        <v>2521.3130729640002</v>
      </c>
      <c r="O296" s="80">
        <f t="shared" si="55"/>
        <v>0</v>
      </c>
      <c r="P296" s="85">
        <f>Valores!$C$14*D296</f>
        <v>4101.9938458799998</v>
      </c>
      <c r="Q296" s="85">
        <f>IF(D296&lt;15,(Valores!$E$4*D296),Valores!$D$4)</f>
        <v>2354.08</v>
      </c>
      <c r="R296" s="80">
        <v>0</v>
      </c>
      <c r="S296" s="82">
        <f>Valores!$C$45*D296</f>
        <v>1083.18381976</v>
      </c>
      <c r="T296" s="85">
        <f>Valores!$C$22*D296</f>
        <v>1589.5</v>
      </c>
      <c r="U296" s="80">
        <f t="shared" si="45"/>
        <v>1589.5</v>
      </c>
      <c r="V296" s="80">
        <v>0</v>
      </c>
      <c r="W296" s="80">
        <v>0</v>
      </c>
      <c r="X296" s="60">
        <v>0</v>
      </c>
      <c r="Y296" s="77">
        <f>X296*Valores!$C$2*1.006901</f>
        <v>0</v>
      </c>
      <c r="Z296" s="80">
        <v>0</v>
      </c>
      <c r="AA296" s="90">
        <f>(Valores!$C$32)*D296</f>
        <v>179.52</v>
      </c>
      <c r="AB296" s="80">
        <f t="shared" si="48"/>
        <v>0</v>
      </c>
      <c r="AC296" s="80">
        <v>131.68</v>
      </c>
      <c r="AD296" s="115">
        <v>94</v>
      </c>
      <c r="AE296" s="77">
        <f>AD296*Valores!$C$2*1.006901</f>
        <v>494.70979379919999</v>
      </c>
      <c r="AF296" s="80">
        <f t="shared" si="57"/>
        <v>543.15979745514778</v>
      </c>
      <c r="AG296" s="80">
        <f t="shared" si="58"/>
        <v>155.2001004114571</v>
      </c>
      <c r="AH296" s="80">
        <f>SUM(G296,I296,K296,M296,N296,O296,P296,Q296,R296,S296,U296,V296,W296,Y296,Z296,AA296,AB296,AC296,AE296,AF296,AG296)*Valores!$C$54</f>
        <v>0</v>
      </c>
      <c r="AI296" s="140">
        <f t="shared" si="52"/>
        <v>27290.410430269807</v>
      </c>
      <c r="AJ296" s="85">
        <f>(Valores!$C$36*$D$222)+0.04</f>
        <v>432.12</v>
      </c>
      <c r="AK296" s="82">
        <f>Valores!$C$11*D296</f>
        <v>291.33673534000002</v>
      </c>
      <c r="AL296" s="90">
        <v>226.04927450000002</v>
      </c>
      <c r="AM296" s="82">
        <f>IF($G$4="SI",SUM(AK296+AL296),AK296)*Valores!$C$54</f>
        <v>0</v>
      </c>
      <c r="AN296" s="184">
        <f t="shared" si="49"/>
        <v>949.50600984000005</v>
      </c>
      <c r="AO296" s="153">
        <f>AI296*-Valores!$C$56</f>
        <v>-3547.753355935075</v>
      </c>
      <c r="AP296" s="153">
        <f>AI296*-Valores!$C$57</f>
        <v>-136.45205215134905</v>
      </c>
      <c r="AQ296" s="81">
        <f>AI296*-Valores!$C$58</f>
        <v>-1228.0684693621413</v>
      </c>
      <c r="AR296" s="81">
        <f>AI296*-Valores!$C$59</f>
        <v>-736.84108161728489</v>
      </c>
      <c r="AS296" s="81">
        <f>AI296*-Valores!$C$60</f>
        <v>-81.871231290809419</v>
      </c>
      <c r="AT296" s="54">
        <f t="shared" si="50"/>
        <v>23327.642562661244</v>
      </c>
      <c r="AU296" s="54">
        <f t="shared" si="51"/>
        <v>23736.99871911529</v>
      </c>
      <c r="AV296" s="81">
        <f>AI296*Valores!$C$61</f>
        <v>4366.4656688431696</v>
      </c>
      <c r="AW296" s="81">
        <f>AI296*Valores!$C$62</f>
        <v>1228.0684693621413</v>
      </c>
      <c r="AX296" s="81">
        <f>AI296*Valores!$C$64</f>
        <v>272.9041043026981</v>
      </c>
      <c r="AY296" s="81">
        <f>AI296*Valores!$C$65</f>
        <v>955.1643650594433</v>
      </c>
      <c r="AZ296" s="81">
        <f>AI296*Valores!$C$66</f>
        <v>163.74246258161884</v>
      </c>
      <c r="BA296" s="81">
        <f t="shared" si="53"/>
        <v>1473.6821632345695</v>
      </c>
      <c r="BB296" s="55"/>
      <c r="BC296" s="55">
        <f t="shared" si="56"/>
        <v>136</v>
      </c>
      <c r="BD296" s="52" t="s">
        <v>466</v>
      </c>
    </row>
    <row r="297" spans="1:56" s="9" customFormat="1" ht="11.25" customHeight="1" x14ac:dyDescent="0.15">
      <c r="A297" s="20">
        <v>296</v>
      </c>
      <c r="B297" s="20"/>
      <c r="C297" s="9" t="s">
        <v>355</v>
      </c>
      <c r="D297" s="9">
        <v>35</v>
      </c>
      <c r="E297" s="10" t="str">
        <f>CONCATENATE("Hora Cátedra Enseñanza Media ",D297," hs")</f>
        <v>Hora Cátedra Enseñanza Media 35 hs</v>
      </c>
      <c r="F297" s="123">
        <f t="shared" si="59"/>
        <v>2765</v>
      </c>
      <c r="G297" s="7">
        <f>INT((F297*Valores!$C$2*100*1.006901)+0.5)/100</f>
        <v>14551.84</v>
      </c>
      <c r="H297" s="132">
        <v>0</v>
      </c>
      <c r="I297" s="77">
        <f>INT((H297*Valores!$C$2*100*1.006901)+0.5)/100</f>
        <v>0</v>
      </c>
      <c r="J297" s="145">
        <v>0</v>
      </c>
      <c r="K297" s="77">
        <f>INT((J297*Valores!$C$2*100*1.006901)+0.5)/100</f>
        <v>0</v>
      </c>
      <c r="L297" s="120">
        <v>0</v>
      </c>
      <c r="M297" s="77">
        <f>INT((L297*Valores!$C$2*100*1.006901)+0.5)/100</f>
        <v>0</v>
      </c>
      <c r="N297" s="77">
        <f t="shared" si="54"/>
        <v>2595.4698251099999</v>
      </c>
      <c r="O297" s="77">
        <f t="shared" si="55"/>
        <v>0</v>
      </c>
      <c r="P297" s="61">
        <f>Valores!$C$14*D297</f>
        <v>4222.6407237000003</v>
      </c>
      <c r="Q297" s="61">
        <f>IF(D297&lt;15,(Valores!$E$4*D297),Valores!$D$4)</f>
        <v>2354.08</v>
      </c>
      <c r="R297" s="77">
        <v>0</v>
      </c>
      <c r="S297" s="79">
        <f>Valores!$C$45*D297</f>
        <v>1115.0421674000002</v>
      </c>
      <c r="T297" s="61">
        <f>Valores!$C$22*D297</f>
        <v>1636.25</v>
      </c>
      <c r="U297" s="77">
        <f t="shared" si="45"/>
        <v>1636.25</v>
      </c>
      <c r="V297" s="77">
        <v>0</v>
      </c>
      <c r="W297" s="77">
        <v>0</v>
      </c>
      <c r="X297" s="37">
        <v>0</v>
      </c>
      <c r="Y297" s="77">
        <f>X297*Valores!$C$2*1.006901</f>
        <v>0</v>
      </c>
      <c r="Z297" s="77">
        <v>0</v>
      </c>
      <c r="AA297" s="89">
        <f>(Valores!$C$32)*D297</f>
        <v>184.8</v>
      </c>
      <c r="AB297" s="77">
        <f t="shared" si="48"/>
        <v>0</v>
      </c>
      <c r="AC297" s="77">
        <v>131.68</v>
      </c>
      <c r="AD297" s="116">
        <v>0</v>
      </c>
      <c r="AE297" s="77">
        <f>AD297*Valores!$C$2*1.006901</f>
        <v>0</v>
      </c>
      <c r="AF297" s="77">
        <f t="shared" si="57"/>
        <v>543.15979745514778</v>
      </c>
      <c r="AG297" s="77">
        <f t="shared" si="58"/>
        <v>155.2001004114571</v>
      </c>
      <c r="AH297" s="77">
        <f>SUM(G297,I297,K297,M297,N297,O297,P297,Q297,R297,S297,U297,V297,W297,Y297,Z297,AA297,AB297,AC297,AE297,AF297,AG297)*Valores!$C$54</f>
        <v>0</v>
      </c>
      <c r="AI297" s="139">
        <f t="shared" si="52"/>
        <v>27490.162614076609</v>
      </c>
      <c r="AJ297" s="61">
        <f>(Valores!$C$36*$D$222)+0.04</f>
        <v>432.12</v>
      </c>
      <c r="AK297" s="79">
        <f>Valores!$C$11*D297</f>
        <v>299.90546284999999</v>
      </c>
      <c r="AL297" s="89">
        <v>226.04927450000002</v>
      </c>
      <c r="AM297" s="79">
        <f>IF($G$4="SI",SUM(AK297+AL297),AK297)*Valores!$C$54</f>
        <v>0</v>
      </c>
      <c r="AN297" s="12">
        <f t="shared" si="49"/>
        <v>958.07473734999996</v>
      </c>
      <c r="AO297" s="13">
        <f>AI297*-Valores!$C$56</f>
        <v>-3573.7211398299592</v>
      </c>
      <c r="AP297" s="13">
        <f>AI297*-Valores!$C$57</f>
        <v>-137.45081307038305</v>
      </c>
      <c r="AQ297" s="78">
        <f>AI297*-Valores!$C$58</f>
        <v>-1237.0573176334474</v>
      </c>
      <c r="AR297" s="78">
        <f>AI297*-Valores!$C$59</f>
        <v>-742.23439058006852</v>
      </c>
      <c r="AS297" s="78">
        <f>AI297*-Valores!$C$60</f>
        <v>-82.470487842229829</v>
      </c>
      <c r="AT297" s="15">
        <f t="shared" si="50"/>
        <v>23500.008080892821</v>
      </c>
      <c r="AU297" s="15">
        <f t="shared" si="51"/>
        <v>23912.360520103968</v>
      </c>
      <c r="AV297" s="78">
        <f>AI297*Valores!$C$61</f>
        <v>4398.4260182522576</v>
      </c>
      <c r="AW297" s="78">
        <f>AI297*Valores!$C$62</f>
        <v>1237.0573176334474</v>
      </c>
      <c r="AX297" s="78">
        <f>AI297*Valores!$C$64</f>
        <v>274.9016261407661</v>
      </c>
      <c r="AY297" s="78">
        <f>AI297*Valores!$C$65</f>
        <v>962.1556914926814</v>
      </c>
      <c r="AZ297" s="78">
        <f>AI297*Valores!$C$66</f>
        <v>164.94097568445966</v>
      </c>
      <c r="BA297" s="78">
        <f t="shared" si="53"/>
        <v>1484.4687811601368</v>
      </c>
      <c r="BB297" s="20"/>
      <c r="BC297" s="20">
        <f t="shared" si="56"/>
        <v>140</v>
      </c>
      <c r="BD297" s="9" t="s">
        <v>466</v>
      </c>
    </row>
    <row r="298" spans="1:56" s="9" customFormat="1" ht="11.25" customHeight="1" x14ac:dyDescent="0.15">
      <c r="A298" s="20">
        <v>297</v>
      </c>
      <c r="B298" s="20"/>
      <c r="C298" s="9" t="s">
        <v>355</v>
      </c>
      <c r="D298" s="9">
        <v>35</v>
      </c>
      <c r="E298" s="10" t="str">
        <f>CONCATENATE("Hora Cátedra Enseñanza Media ",D298," hs Esc Esp")</f>
        <v>Hora Cátedra Enseñanza Media 35 hs Esc Esp</v>
      </c>
      <c r="F298" s="123">
        <f t="shared" si="59"/>
        <v>2765</v>
      </c>
      <c r="G298" s="7">
        <f>INT((F298*Valores!$C$2*100*1.006901)+0.5)/100</f>
        <v>14551.84</v>
      </c>
      <c r="H298" s="132">
        <v>0</v>
      </c>
      <c r="I298" s="77">
        <f>INT((H298*Valores!$C$2*100*1.006901)+0.5)/100</f>
        <v>0</v>
      </c>
      <c r="J298" s="145">
        <v>0</v>
      </c>
      <c r="K298" s="77">
        <f>INT((J298*Valores!$C$2*100*1.006901)+0.5)/100</f>
        <v>0</v>
      </c>
      <c r="L298" s="120">
        <v>0</v>
      </c>
      <c r="M298" s="77">
        <f>INT((L298*Valores!$C$2*100*1.006901)+0.5)/100</f>
        <v>0</v>
      </c>
      <c r="N298" s="77">
        <f t="shared" si="54"/>
        <v>2595.4698251099999</v>
      </c>
      <c r="O298" s="77">
        <f t="shared" si="55"/>
        <v>0</v>
      </c>
      <c r="P298" s="61">
        <f>Valores!$C$14*D298</f>
        <v>4222.6407237000003</v>
      </c>
      <c r="Q298" s="61">
        <f>IF(D298&lt;15,(Valores!$E$4*D298),Valores!$D$4)</f>
        <v>2354.08</v>
      </c>
      <c r="R298" s="77">
        <v>0</v>
      </c>
      <c r="S298" s="79">
        <f>Valores!$C$45*D298</f>
        <v>1115.0421674000002</v>
      </c>
      <c r="T298" s="61">
        <f>Valores!$C$22*D298</f>
        <v>1636.25</v>
      </c>
      <c r="U298" s="77">
        <f t="shared" si="45"/>
        <v>1636.25</v>
      </c>
      <c r="V298" s="77">
        <v>0</v>
      </c>
      <c r="W298" s="77">
        <v>0</v>
      </c>
      <c r="X298" s="37">
        <v>0</v>
      </c>
      <c r="Y298" s="77">
        <f>X298*Valores!$C$2*1.006901</f>
        <v>0</v>
      </c>
      <c r="Z298" s="77">
        <v>0</v>
      </c>
      <c r="AA298" s="89">
        <f>(Valores!$C$32)*D298</f>
        <v>184.8</v>
      </c>
      <c r="AB298" s="77">
        <f t="shared" si="48"/>
        <v>0</v>
      </c>
      <c r="AC298" s="77">
        <v>131.68</v>
      </c>
      <c r="AD298" s="116">
        <v>94</v>
      </c>
      <c r="AE298" s="77">
        <f>AD298*Valores!$C$2*1.006901</f>
        <v>494.70979379919999</v>
      </c>
      <c r="AF298" s="77">
        <f t="shared" si="57"/>
        <v>543.15979745514778</v>
      </c>
      <c r="AG298" s="77">
        <f t="shared" si="58"/>
        <v>155.2001004114571</v>
      </c>
      <c r="AH298" s="77">
        <f>SUM(G298,I298,K298,M298,N298,O298,P298,Q298,R298,S298,U298,V298,W298,Y298,Z298,AA298,AB298,AC298,AE298,AF298,AG298)*Valores!$C$54</f>
        <v>0</v>
      </c>
      <c r="AI298" s="139">
        <f t="shared" si="52"/>
        <v>27984.87240787581</v>
      </c>
      <c r="AJ298" s="61">
        <f>(Valores!$C$36*$D$222)+0.04</f>
        <v>432.12</v>
      </c>
      <c r="AK298" s="79">
        <f>Valores!$C$11*D298</f>
        <v>299.90546284999999</v>
      </c>
      <c r="AL298" s="89">
        <v>226.04927450000002</v>
      </c>
      <c r="AM298" s="79">
        <f>IF($G$4="SI",SUM(AK298+AL298),AK298)*Valores!$C$54</f>
        <v>0</v>
      </c>
      <c r="AN298" s="12">
        <f t="shared" si="49"/>
        <v>958.07473734999996</v>
      </c>
      <c r="AO298" s="13">
        <f>AI298*-Valores!$C$56</f>
        <v>-3638.0334130238552</v>
      </c>
      <c r="AP298" s="13">
        <f>AI298*-Valores!$C$57</f>
        <v>-139.92436203937905</v>
      </c>
      <c r="AQ298" s="78">
        <f>AI298*-Valores!$C$58</f>
        <v>-1259.3192583544114</v>
      </c>
      <c r="AR298" s="78">
        <f>AI298*-Valores!$C$59</f>
        <v>-755.59155501264695</v>
      </c>
      <c r="AS298" s="78">
        <f>AI298*-Valores!$C$60</f>
        <v>-83.954617223627437</v>
      </c>
      <c r="AT298" s="15">
        <f t="shared" si="50"/>
        <v>23905.670111808166</v>
      </c>
      <c r="AU298" s="15">
        <f t="shared" si="51"/>
        <v>24325.443197926303</v>
      </c>
      <c r="AV298" s="78">
        <f>AI298*Valores!$C$61</f>
        <v>4477.5795852601295</v>
      </c>
      <c r="AW298" s="78">
        <f>AI298*Valores!$C$62</f>
        <v>1259.3192583544114</v>
      </c>
      <c r="AX298" s="78">
        <f>AI298*Valores!$C$64</f>
        <v>279.8487240787581</v>
      </c>
      <c r="AY298" s="78">
        <f>AI298*Valores!$C$65</f>
        <v>979.47053427565345</v>
      </c>
      <c r="AZ298" s="78">
        <f>AI298*Valores!$C$66</f>
        <v>167.90923444725487</v>
      </c>
      <c r="BA298" s="78">
        <f t="shared" si="53"/>
        <v>1511.1831100252937</v>
      </c>
      <c r="BB298" s="20"/>
      <c r="BC298" s="20">
        <f t="shared" si="56"/>
        <v>140</v>
      </c>
      <c r="BD298" s="9" t="s">
        <v>466</v>
      </c>
    </row>
    <row r="299" spans="1:56" s="9" customFormat="1" ht="11.25" customHeight="1" x14ac:dyDescent="0.15">
      <c r="A299" s="20">
        <v>298</v>
      </c>
      <c r="B299" s="20"/>
      <c r="C299" s="9" t="s">
        <v>355</v>
      </c>
      <c r="D299" s="9">
        <v>36</v>
      </c>
      <c r="E299" s="10" t="str">
        <f>CONCATENATE("Hora Cátedra Enseñanza Media ",D299," hs")</f>
        <v>Hora Cátedra Enseñanza Media 36 hs</v>
      </c>
      <c r="F299" s="123">
        <f t="shared" si="59"/>
        <v>2844</v>
      </c>
      <c r="G299" s="7">
        <f>INT((F299*Valores!$C$2*100*1.006901)+0.5)/100</f>
        <v>14967.6</v>
      </c>
      <c r="H299" s="132">
        <v>0</v>
      </c>
      <c r="I299" s="77">
        <f>INT((H299*Valores!$C$2*100*1.006901)+0.5)/100</f>
        <v>0</v>
      </c>
      <c r="J299" s="145">
        <v>0</v>
      </c>
      <c r="K299" s="77">
        <f>INT((J299*Valores!$C$2*100*1.006901)+0.5)/100</f>
        <v>0</v>
      </c>
      <c r="L299" s="120">
        <v>0</v>
      </c>
      <c r="M299" s="77">
        <f>INT((L299*Valores!$C$2*100*1.006901)+0.5)/100</f>
        <v>0</v>
      </c>
      <c r="N299" s="77">
        <f t="shared" si="54"/>
        <v>2669.6250772559997</v>
      </c>
      <c r="O299" s="77">
        <f t="shared" si="55"/>
        <v>0</v>
      </c>
      <c r="P299" s="61">
        <f>Valores!$C$14*D299</f>
        <v>4343.28760152</v>
      </c>
      <c r="Q299" s="61">
        <f>IF(D299&lt;15,(Valores!$E$4*D299),Valores!$D$4)</f>
        <v>2354.08</v>
      </c>
      <c r="R299" s="77">
        <v>0</v>
      </c>
      <c r="S299" s="79">
        <f>Valores!$C$45*D299</f>
        <v>1146.9005150400001</v>
      </c>
      <c r="T299" s="61">
        <f>Valores!$C$22*D299</f>
        <v>1683</v>
      </c>
      <c r="U299" s="77">
        <f t="shared" si="45"/>
        <v>1683</v>
      </c>
      <c r="V299" s="77">
        <v>0</v>
      </c>
      <c r="W299" s="77">
        <v>0</v>
      </c>
      <c r="X299" s="37">
        <v>0</v>
      </c>
      <c r="Y299" s="77">
        <f>X299*Valores!$C$2*1.006901</f>
        <v>0</v>
      </c>
      <c r="Z299" s="77">
        <v>0</v>
      </c>
      <c r="AA299" s="89">
        <f>(Valores!$C$32)*D299</f>
        <v>190.08</v>
      </c>
      <c r="AB299" s="77">
        <f t="shared" si="48"/>
        <v>0</v>
      </c>
      <c r="AC299" s="77">
        <v>131.68</v>
      </c>
      <c r="AD299" s="116">
        <v>0</v>
      </c>
      <c r="AE299" s="77">
        <f>AD299*Valores!$C$2*1.006901</f>
        <v>0</v>
      </c>
      <c r="AF299" s="77">
        <f t="shared" si="57"/>
        <v>543.15979745514778</v>
      </c>
      <c r="AG299" s="77">
        <f t="shared" si="58"/>
        <v>155.2001004114571</v>
      </c>
      <c r="AH299" s="77">
        <f>SUM(G299,I299,K299,M299,N299,O299,P299,Q299,R299,S299,U299,V299,W299,Y299,Z299,AA299,AB299,AC299,AE299,AF299,AG299)*Valores!$C$54</f>
        <v>0</v>
      </c>
      <c r="AI299" s="139">
        <f t="shared" si="52"/>
        <v>28184.613091682611</v>
      </c>
      <c r="AJ299" s="61">
        <f>(Valores!$C$36*$D$222)+0.04</f>
        <v>432.12</v>
      </c>
      <c r="AK299" s="79">
        <f>(Valores!$C$11*D299)-0.22</f>
        <v>308.25419036</v>
      </c>
      <c r="AL299" s="89">
        <v>226.04927450000002</v>
      </c>
      <c r="AM299" s="79">
        <f>IF($G$4="SI",SUM(AK299+AL299),AK299)*Valores!$C$54</f>
        <v>0</v>
      </c>
      <c r="AN299" s="12">
        <f t="shared" si="49"/>
        <v>966.42346486000008</v>
      </c>
      <c r="AO299" s="13">
        <f>AI299*-Valores!$C$56</f>
        <v>-3663.9997019187394</v>
      </c>
      <c r="AP299" s="13">
        <f>AI299*-Valores!$C$57</f>
        <v>-140.92306545841305</v>
      </c>
      <c r="AQ299" s="78">
        <f>AI299*-Valores!$C$58</f>
        <v>-1268.3075891257174</v>
      </c>
      <c r="AR299" s="78">
        <f>AI299*-Valores!$C$59</f>
        <v>-760.98455347543063</v>
      </c>
      <c r="AS299" s="78">
        <f>AI299*-Valores!$C$60</f>
        <v>-84.553839275047835</v>
      </c>
      <c r="AT299" s="15">
        <f t="shared" si="50"/>
        <v>24077.80620003974</v>
      </c>
      <c r="AU299" s="15">
        <f t="shared" si="51"/>
        <v>24500.575396414977</v>
      </c>
      <c r="AV299" s="78">
        <f>AI299*Valores!$C$61</f>
        <v>4509.5380946692176</v>
      </c>
      <c r="AW299" s="78">
        <f>AI299*Valores!$C$62</f>
        <v>1268.3075891257174</v>
      </c>
      <c r="AX299" s="78">
        <f>AI299*Valores!$C$64</f>
        <v>281.8461309168261</v>
      </c>
      <c r="AY299" s="78">
        <f>AI299*Valores!$C$65</f>
        <v>986.46145820889149</v>
      </c>
      <c r="AZ299" s="78">
        <f>AI299*Valores!$C$66</f>
        <v>169.10767855009567</v>
      </c>
      <c r="BA299" s="78">
        <f t="shared" si="53"/>
        <v>1521.9691069508613</v>
      </c>
      <c r="BB299" s="20"/>
      <c r="BC299" s="55">
        <f t="shared" si="56"/>
        <v>144</v>
      </c>
      <c r="BD299" s="9" t="s">
        <v>466</v>
      </c>
    </row>
    <row r="300" spans="1:56" s="9" customFormat="1" ht="11.25" customHeight="1" x14ac:dyDescent="0.15">
      <c r="A300" s="20">
        <v>299</v>
      </c>
      <c r="B300" s="20"/>
      <c r="C300" s="9" t="s">
        <v>355</v>
      </c>
      <c r="D300" s="9">
        <v>36</v>
      </c>
      <c r="E300" s="10" t="str">
        <f>CONCATENATE("Hora Cátedra Enseñanza Media ",D300," hs Esc Esp")</f>
        <v>Hora Cátedra Enseñanza Media 36 hs Esc Esp</v>
      </c>
      <c r="F300" s="123">
        <f t="shared" si="59"/>
        <v>2844</v>
      </c>
      <c r="G300" s="7">
        <f>INT((F300*Valores!$C$2*100*1.006901)+0.5)/100</f>
        <v>14967.6</v>
      </c>
      <c r="H300" s="132">
        <v>0</v>
      </c>
      <c r="I300" s="77">
        <f>INT((H300*Valores!$C$2*100*1.006901)+0.5)/100</f>
        <v>0</v>
      </c>
      <c r="J300" s="145">
        <v>0</v>
      </c>
      <c r="K300" s="77">
        <f>INT((J300*Valores!$C$2*100*1.006901)+0.5)/100</f>
        <v>0</v>
      </c>
      <c r="L300" s="120">
        <v>0</v>
      </c>
      <c r="M300" s="77">
        <f>INT((L300*Valores!$C$2*100*1.006901)+0.5)/100</f>
        <v>0</v>
      </c>
      <c r="N300" s="77">
        <f t="shared" si="54"/>
        <v>2669.6250772559997</v>
      </c>
      <c r="O300" s="77">
        <f t="shared" si="55"/>
        <v>0</v>
      </c>
      <c r="P300" s="61">
        <f>Valores!$C$14*D300</f>
        <v>4343.28760152</v>
      </c>
      <c r="Q300" s="61">
        <f>IF(D300&lt;15,(Valores!$E$4*D300),Valores!$D$4)</f>
        <v>2354.08</v>
      </c>
      <c r="R300" s="77">
        <v>0</v>
      </c>
      <c r="S300" s="79">
        <f>Valores!$C$45*D300</f>
        <v>1146.9005150400001</v>
      </c>
      <c r="T300" s="61">
        <f>Valores!$C$22*D300</f>
        <v>1683</v>
      </c>
      <c r="U300" s="77">
        <f t="shared" si="45"/>
        <v>1683</v>
      </c>
      <c r="V300" s="77">
        <v>0</v>
      </c>
      <c r="W300" s="77">
        <v>0</v>
      </c>
      <c r="X300" s="37">
        <v>0</v>
      </c>
      <c r="Y300" s="77">
        <f>X300*Valores!$C$2*1.006901</f>
        <v>0</v>
      </c>
      <c r="Z300" s="77">
        <v>0</v>
      </c>
      <c r="AA300" s="89">
        <f>(Valores!$C$32)*D300</f>
        <v>190.08</v>
      </c>
      <c r="AB300" s="77">
        <f t="shared" si="48"/>
        <v>0</v>
      </c>
      <c r="AC300" s="77">
        <v>131.68</v>
      </c>
      <c r="AD300" s="116">
        <v>94</v>
      </c>
      <c r="AE300" s="77">
        <f>AD300*Valores!$C$2*1.006901</f>
        <v>494.70979379919999</v>
      </c>
      <c r="AF300" s="77">
        <f t="shared" si="57"/>
        <v>543.15979745514778</v>
      </c>
      <c r="AG300" s="77">
        <f t="shared" si="58"/>
        <v>155.2001004114571</v>
      </c>
      <c r="AH300" s="77">
        <f>SUM(G300,I300,K300,M300,N300,O300,P300,Q300,R300,S300,U300,V300,W300,Y300,Z300,AA300,AB300,AC300,AE300,AF300,AG300)*Valores!$C$54</f>
        <v>0</v>
      </c>
      <c r="AI300" s="139">
        <f t="shared" si="52"/>
        <v>28679.322885481812</v>
      </c>
      <c r="AJ300" s="61">
        <f>(Valores!$C$36*$D$222)+0.04</f>
        <v>432.12</v>
      </c>
      <c r="AK300" s="79">
        <f>(Valores!$C$11*D300)-0.22</f>
        <v>308.25419036</v>
      </c>
      <c r="AL300" s="89">
        <v>226.04927450000002</v>
      </c>
      <c r="AM300" s="79">
        <f>IF($G$4="SI",SUM(AK300+AL300),AK300)*Valores!$C$54</f>
        <v>0</v>
      </c>
      <c r="AN300" s="12">
        <f t="shared" si="49"/>
        <v>966.42346486000008</v>
      </c>
      <c r="AO300" s="13">
        <f>AI300*-Valores!$C$56</f>
        <v>-3728.3119751126355</v>
      </c>
      <c r="AP300" s="13">
        <f>AI300*-Valores!$C$57</f>
        <v>-143.39661442740905</v>
      </c>
      <c r="AQ300" s="78">
        <f>AI300*-Valores!$C$58</f>
        <v>-1290.5695298466815</v>
      </c>
      <c r="AR300" s="78">
        <f>AI300*-Valores!$C$59</f>
        <v>-774.34171790800906</v>
      </c>
      <c r="AS300" s="78">
        <f>AI300*-Valores!$C$60</f>
        <v>-86.037968656445443</v>
      </c>
      <c r="AT300" s="15">
        <f t="shared" si="50"/>
        <v>24483.468230955084</v>
      </c>
      <c r="AU300" s="15">
        <f t="shared" si="51"/>
        <v>24913.658074237312</v>
      </c>
      <c r="AV300" s="78">
        <f>AI300*Valores!$C$61</f>
        <v>4588.6916616770895</v>
      </c>
      <c r="AW300" s="78">
        <f>AI300*Valores!$C$62</f>
        <v>1290.5695298466815</v>
      </c>
      <c r="AX300" s="78">
        <f>AI300*Valores!$C$64</f>
        <v>286.7932288548181</v>
      </c>
      <c r="AY300" s="78">
        <f>AI300*Valores!$C$65</f>
        <v>1003.7763009918635</v>
      </c>
      <c r="AZ300" s="78">
        <f>AI300*Valores!$C$66</f>
        <v>172.07593731289089</v>
      </c>
      <c r="BA300" s="78">
        <f t="shared" si="53"/>
        <v>1548.6834358160181</v>
      </c>
      <c r="BB300" s="20"/>
      <c r="BC300" s="20">
        <f t="shared" si="56"/>
        <v>144</v>
      </c>
      <c r="BD300" s="9" t="s">
        <v>466</v>
      </c>
    </row>
    <row r="301" spans="1:56" s="9" customFormat="1" ht="11.25" customHeight="1" x14ac:dyDescent="0.15">
      <c r="A301" s="55">
        <v>300</v>
      </c>
      <c r="B301" s="55" t="s">
        <v>462</v>
      </c>
      <c r="C301" s="52" t="s">
        <v>356</v>
      </c>
      <c r="D301" s="52">
        <v>1</v>
      </c>
      <c r="E301" s="53" t="s">
        <v>357</v>
      </c>
      <c r="F301" s="124">
        <v>79</v>
      </c>
      <c r="G301" s="7">
        <f>INT((F301*Valores!$C$2*100*1.006901)+0.5)/100</f>
        <v>415.77</v>
      </c>
      <c r="H301" s="131">
        <v>0</v>
      </c>
      <c r="I301" s="77">
        <f>INT((H301*Valores!$C$2*100*1.006901)+0.5)/100</f>
        <v>0</v>
      </c>
      <c r="J301" s="146">
        <v>0</v>
      </c>
      <c r="K301" s="77">
        <f>INT((J301*Valores!$C$2*100*1.006901)+0.5)/100</f>
        <v>0</v>
      </c>
      <c r="L301" s="121">
        <v>0</v>
      </c>
      <c r="M301" s="77">
        <f>INT((L301*Valores!$C$2*100*1.006901)+0.5)/100</f>
        <v>0</v>
      </c>
      <c r="N301" s="80">
        <f t="shared" si="54"/>
        <v>74.156752145999988</v>
      </c>
      <c r="O301" s="80">
        <f t="shared" si="55"/>
        <v>0</v>
      </c>
      <c r="P301" s="85">
        <f>Valores!$C$14*D301</f>
        <v>120.64687782</v>
      </c>
      <c r="Q301" s="85">
        <f>IF(D301&lt;15,(Valores!$E$4*D301),Valores!$D$4)</f>
        <v>156.94</v>
      </c>
      <c r="R301" s="80">
        <v>0</v>
      </c>
      <c r="S301" s="82">
        <f>Valores!$C$45*D301</f>
        <v>31.858347640000002</v>
      </c>
      <c r="T301" s="85">
        <f>Valores!$C$22*D301</f>
        <v>46.75</v>
      </c>
      <c r="U301" s="80">
        <f t="shared" si="45"/>
        <v>46.75</v>
      </c>
      <c r="V301" s="80">
        <v>0</v>
      </c>
      <c r="W301" s="80">
        <v>0</v>
      </c>
      <c r="X301" s="60">
        <v>0</v>
      </c>
      <c r="Y301" s="77">
        <f>X301*Valores!$C$2*1.006901</f>
        <v>0</v>
      </c>
      <c r="Z301" s="80">
        <v>0</v>
      </c>
      <c r="AA301" s="90">
        <f>(Valores!$C$32)*D301</f>
        <v>5.28</v>
      </c>
      <c r="AB301" s="80">
        <f t="shared" si="48"/>
        <v>0</v>
      </c>
      <c r="AC301" s="80">
        <f>Valores!$C$33*D301</f>
        <v>4.42</v>
      </c>
      <c r="AD301" s="115">
        <v>0</v>
      </c>
      <c r="AE301" s="77">
        <f>AD301*Valores!$C$2*1.006901</f>
        <v>0</v>
      </c>
      <c r="AF301" s="80">
        <f>Valores!$D$51*D301</f>
        <v>18.105326581838259</v>
      </c>
      <c r="AG301" s="80">
        <f>Valores!$D$52*D301</f>
        <v>5.1733366803819036</v>
      </c>
      <c r="AH301" s="80">
        <f>SUM(G301,I301,K301,M301,N301,O301,P301,Q301,R301,S301,U301,V301,W301,Y301,Z301,AA301,AB301,AC301,AE301,AF301,AG301)*Valores!$C$54</f>
        <v>0</v>
      </c>
      <c r="AI301" s="140">
        <f t="shared" si="52"/>
        <v>879.10064086822024</v>
      </c>
      <c r="AJ301" s="85">
        <f>Valores!$C$36*D301</f>
        <v>14.402666666666667</v>
      </c>
      <c r="AK301" s="82">
        <f>Valores!$C$11*D301</f>
        <v>8.5687275100000004</v>
      </c>
      <c r="AL301" s="90">
        <v>7.5316194800000007</v>
      </c>
      <c r="AM301" s="82">
        <f>IF($G$4="SI",SUM(AK301+AL301),AK301)*Valores!$C$54</f>
        <v>0</v>
      </c>
      <c r="AN301" s="184">
        <f t="shared" si="49"/>
        <v>30.503013656666667</v>
      </c>
      <c r="AO301" s="153">
        <f>AI301*-Valores!$C$56</f>
        <v>-114.28308331286864</v>
      </c>
      <c r="AP301" s="153">
        <f>AI301*-Valores!$C$57</f>
        <v>-4.3955032043411011</v>
      </c>
      <c r="AQ301" s="81">
        <f>AI301*-Valores!$C$58</f>
        <v>-39.559528839069912</v>
      </c>
      <c r="AR301" s="81">
        <f>AI301*-Valores!$C$59</f>
        <v>-23.735717303441948</v>
      </c>
      <c r="AS301" s="81">
        <f>AI301*-Valores!$C$60</f>
        <v>-2.6373019226046606</v>
      </c>
      <c r="AT301" s="54">
        <f t="shared" si="50"/>
        <v>751.36553916860726</v>
      </c>
      <c r="AU301" s="54">
        <f t="shared" si="51"/>
        <v>764.55204878163056</v>
      </c>
      <c r="AV301" s="81">
        <f>AI301*Valores!$C$61</f>
        <v>140.65610253891523</v>
      </c>
      <c r="AW301" s="81">
        <f>AI301*Valores!$C$62</f>
        <v>39.559528839069912</v>
      </c>
      <c r="AX301" s="81">
        <f>AI301*Valores!$C$64</f>
        <v>8.7910064086822022</v>
      </c>
      <c r="AY301" s="81">
        <f>AI301*Valores!$C$65</f>
        <v>30.768522430387712</v>
      </c>
      <c r="AZ301" s="81">
        <f>AI301*Valores!$C$66</f>
        <v>5.2746038452093211</v>
      </c>
      <c r="BA301" s="81">
        <f t="shared" si="53"/>
        <v>47.471434606883896</v>
      </c>
      <c r="BB301" s="55"/>
      <c r="BC301" s="55">
        <f t="shared" si="56"/>
        <v>4</v>
      </c>
      <c r="BD301" s="52" t="s">
        <v>467</v>
      </c>
    </row>
    <row r="302" spans="1:56" s="9" customFormat="1" ht="11.25" customHeight="1" x14ac:dyDescent="0.15">
      <c r="A302" s="20">
        <v>301</v>
      </c>
      <c r="B302" s="20"/>
      <c r="C302" s="9" t="s">
        <v>443</v>
      </c>
      <c r="E302" s="10" t="s">
        <v>447</v>
      </c>
      <c r="F302" s="36">
        <v>192</v>
      </c>
      <c r="G302" s="7">
        <f>INT((F302*Valores!$C$2*100*1.006901)+0.5)/100</f>
        <v>1010.47</v>
      </c>
      <c r="H302" s="132">
        <v>0</v>
      </c>
      <c r="I302" s="77">
        <f>INT((H302*Valores!$C$2*100*1.006901)+0.5)/100</f>
        <v>0</v>
      </c>
      <c r="J302" s="145">
        <v>0</v>
      </c>
      <c r="K302" s="77">
        <f>INT((J302*Valores!$C$2*100*1.006901)+0.5)/100</f>
        <v>0</v>
      </c>
      <c r="L302" s="120">
        <v>0</v>
      </c>
      <c r="M302" s="77">
        <f>INT((L302*Valores!$C$2*100*1.006901)+0.5)/100</f>
        <v>0</v>
      </c>
      <c r="N302" s="77">
        <f t="shared" si="54"/>
        <v>0</v>
      </c>
      <c r="O302" s="77">
        <f t="shared" si="55"/>
        <v>0</v>
      </c>
      <c r="P302" s="61">
        <v>0</v>
      </c>
      <c r="Q302" s="61">
        <v>0</v>
      </c>
      <c r="R302" s="77">
        <v>0</v>
      </c>
      <c r="S302" s="79">
        <f>Valores!C46</f>
        <v>76.423785900000013</v>
      </c>
      <c r="T302" s="61">
        <v>0</v>
      </c>
      <c r="U302" s="77">
        <f t="shared" si="45"/>
        <v>0</v>
      </c>
      <c r="V302" s="77">
        <v>0</v>
      </c>
      <c r="W302" s="77">
        <v>0</v>
      </c>
      <c r="X302" s="37">
        <v>0</v>
      </c>
      <c r="Y302" s="77">
        <f>X302*Valores!$C$2*1.006901</f>
        <v>0</v>
      </c>
      <c r="Z302" s="77">
        <v>0</v>
      </c>
      <c r="AA302" s="89">
        <v>0</v>
      </c>
      <c r="AB302" s="77">
        <f t="shared" si="48"/>
        <v>0</v>
      </c>
      <c r="AC302" s="77">
        <v>0</v>
      </c>
      <c r="AD302" s="116">
        <v>0</v>
      </c>
      <c r="AE302" s="77">
        <f>AD302*Valores!$C$2*1.006901</f>
        <v>0</v>
      </c>
      <c r="AF302" s="77">
        <f>Valores!E51</f>
        <v>36.210653163676518</v>
      </c>
      <c r="AG302" s="77">
        <f>Valores!E52</f>
        <v>10.346673360763807</v>
      </c>
      <c r="AH302" s="77">
        <f>SUM(G302,I302,K302,M302,N302,O302,P302,Q302,R302,S302,U302,V302,W302,Y302,Z302,AA302,AB302,AC302,AE302,AF302,AG302)*Valores!$C$54</f>
        <v>0</v>
      </c>
      <c r="AI302" s="139">
        <f t="shared" si="52"/>
        <v>1133.4511124244405</v>
      </c>
      <c r="AJ302" s="139"/>
      <c r="AK302" s="79">
        <f>Valores!C12</f>
        <v>20.560918420000004</v>
      </c>
      <c r="AL302" s="89">
        <v>0</v>
      </c>
      <c r="AM302" s="79">
        <f>IF($G$4="SI",SUM(AK302+AL302),AK302)*Valores!$C$54</f>
        <v>0</v>
      </c>
      <c r="AN302" s="12">
        <f t="shared" si="49"/>
        <v>20.560918420000004</v>
      </c>
      <c r="AO302" s="13">
        <f>AI302*-Valores!$C$56</f>
        <v>-147.34864461517725</v>
      </c>
      <c r="AP302" s="13">
        <f>AI302*-Valores!$C$57</f>
        <v>-5.6672555621222021</v>
      </c>
      <c r="AQ302" s="78">
        <f>AI302*-Valores!$C$58</f>
        <v>-51.005300059099817</v>
      </c>
      <c r="AR302" s="78">
        <f>AI302*-Valores!$C$59</f>
        <v>-30.603180035459896</v>
      </c>
      <c r="AS302" s="78">
        <f>AI302*-Valores!$C$60</f>
        <v>-3.4003533372733212</v>
      </c>
      <c r="AT302" s="15">
        <f t="shared" si="50"/>
        <v>949.99083060804116</v>
      </c>
      <c r="AU302" s="15">
        <f t="shared" si="51"/>
        <v>966.9925972944078</v>
      </c>
      <c r="AV302" s="78">
        <f>AI302*Valores!$C$61</f>
        <v>181.35217798791047</v>
      </c>
      <c r="AW302" s="78">
        <f>AI302*Valores!$C$62</f>
        <v>51.005300059099817</v>
      </c>
      <c r="AX302" s="78">
        <f>AI302*Valores!$C$64</f>
        <v>11.334511124244404</v>
      </c>
      <c r="AY302" s="78">
        <f>AI302*Valores!$C$65</f>
        <v>39.670788934855416</v>
      </c>
      <c r="AZ302" s="78">
        <f>AI302*Valores!$C$66</f>
        <v>6.8007066745466425</v>
      </c>
      <c r="BA302" s="78">
        <f t="shared" si="53"/>
        <v>61.206360070919793</v>
      </c>
      <c r="BB302" s="20"/>
      <c r="BC302" s="20"/>
      <c r="BD302" s="9" t="s">
        <v>467</v>
      </c>
    </row>
    <row r="303" spans="1:56" ht="11.25" customHeight="1" x14ac:dyDescent="0.2">
      <c r="A303" s="20">
        <v>302</v>
      </c>
      <c r="B303" s="20"/>
      <c r="C303" s="23"/>
      <c r="D303" s="24">
        <v>1</v>
      </c>
      <c r="E303" s="8" t="s">
        <v>415</v>
      </c>
      <c r="F303" s="36">
        <v>700</v>
      </c>
      <c r="G303" s="7">
        <f>INT((F303*Valores!$C$2*100*1.006901)+0.5)/100</f>
        <v>3684.01</v>
      </c>
      <c r="H303" s="132">
        <v>0</v>
      </c>
      <c r="I303" s="77">
        <f>INT((H303*Valores!$C$2*100*1.006901)+0.5)/100</f>
        <v>0</v>
      </c>
      <c r="J303" s="145">
        <v>0</v>
      </c>
      <c r="K303" s="77">
        <f>INT((J303*Valores!$C$2*100*1.006901)+0.5)/100</f>
        <v>0</v>
      </c>
      <c r="L303" s="120">
        <v>0</v>
      </c>
      <c r="M303" s="77">
        <f>INT((L303*Valores!$C$2*100*1.006901)+0.5)/100</f>
        <v>0</v>
      </c>
      <c r="N303" s="77">
        <f t="shared" ref="N303:N327" si="60">IF($I$2=0,IF(C303&lt;&gt;"13-930",(SUM(G303,I303,K303,M303,Y303,T303,S303)*$N$2),0),0)</f>
        <v>624.28278218999992</v>
      </c>
      <c r="O303" s="77">
        <f t="shared" ref="O303:O327" si="61">SUM(G303,I303,K303,M303,Y303,S303)*$I$2</f>
        <v>0</v>
      </c>
      <c r="P303" s="61">
        <v>0</v>
      </c>
      <c r="Q303" s="61">
        <v>0</v>
      </c>
      <c r="R303" s="77">
        <v>0</v>
      </c>
      <c r="S303" s="79">
        <f>Valores!$C$45*15</f>
        <v>477.87521460000005</v>
      </c>
      <c r="T303" s="61">
        <v>0</v>
      </c>
      <c r="U303" s="77">
        <f t="shared" ref="U303:U327" si="62">T303*(1+$I$2)</f>
        <v>0</v>
      </c>
      <c r="V303" s="77">
        <v>0</v>
      </c>
      <c r="W303" s="77">
        <v>0</v>
      </c>
      <c r="X303" s="37">
        <v>0</v>
      </c>
      <c r="Y303" s="77">
        <f>X303*Valores!$C$2*1.006901</f>
        <v>0</v>
      </c>
      <c r="Z303" s="77">
        <v>0</v>
      </c>
      <c r="AA303" s="89">
        <v>0</v>
      </c>
      <c r="AB303" s="77">
        <f t="shared" si="48"/>
        <v>0</v>
      </c>
      <c r="AC303" s="77">
        <v>0</v>
      </c>
      <c r="AD303" s="116">
        <v>0</v>
      </c>
      <c r="AE303" s="77">
        <f>AD303*Valores!$C$2*1.006901</f>
        <v>0</v>
      </c>
      <c r="AF303" s="77"/>
      <c r="AG303" s="77"/>
      <c r="AH303" s="77">
        <f>SUM(G303,I303,K303,M303,N303,O303,P303,Q303,R303,S303,U303,V303,W303,Y303,Z303,AA303,AB303,AC303,AE303,AF303,AG303)*Valores!$C$54</f>
        <v>0</v>
      </c>
      <c r="AI303" s="139">
        <f t="shared" si="52"/>
        <v>4786.16799679</v>
      </c>
      <c r="AJ303" s="139"/>
      <c r="AK303" s="79">
        <f>Valores!$C$11*15</f>
        <v>128.53091265</v>
      </c>
      <c r="AL303" s="89">
        <v>0</v>
      </c>
      <c r="AM303" s="79">
        <f>IF($G$4="SI",SUM(AK303+AL303),AK303)*Valores!$C$54</f>
        <v>0</v>
      </c>
      <c r="AN303" s="12">
        <f t="shared" si="49"/>
        <v>128.53091265</v>
      </c>
      <c r="AO303" s="13">
        <f>AI303*-Valores!$C$56</f>
        <v>-622.20183958270002</v>
      </c>
      <c r="AP303" s="13">
        <f>AI303*-Valores!$C$57</f>
        <v>-23.930839983950001</v>
      </c>
      <c r="AQ303" s="78">
        <f>AI303*-Valores!$C$58</f>
        <v>-215.37755985555</v>
      </c>
      <c r="AR303" s="78">
        <f>AI303*-Valores!$C$59</f>
        <v>-129.22653591333003</v>
      </c>
      <c r="AS303" s="78">
        <f>AI303*-Valores!$C$60</f>
        <v>-14.35850399037</v>
      </c>
      <c r="AT303" s="15">
        <f t="shared" si="50"/>
        <v>4053.1886700177993</v>
      </c>
      <c r="AU303" s="15">
        <f t="shared" si="51"/>
        <v>4124.9811899696497</v>
      </c>
      <c r="AV303" s="78">
        <f>AI303*Valores!$C$61</f>
        <v>765.78687948640004</v>
      </c>
      <c r="AW303" s="78">
        <f>AI303*Valores!$C$62</f>
        <v>215.37755985555</v>
      </c>
      <c r="AX303" s="78">
        <f>AI303*Valores!$C$64</f>
        <v>47.861679967900002</v>
      </c>
      <c r="AY303" s="78">
        <f>AI303*Valores!$C$65</f>
        <v>167.51587988765002</v>
      </c>
      <c r="AZ303" s="78">
        <f>AI303*Valores!$C$66</f>
        <v>28.71700798074</v>
      </c>
      <c r="BA303" s="78">
        <f t="shared" si="53"/>
        <v>258.45307182665999</v>
      </c>
      <c r="BD303" s="9" t="s">
        <v>467</v>
      </c>
    </row>
    <row r="304" spans="1:56" ht="11.25" customHeight="1" x14ac:dyDescent="0.2">
      <c r="A304" s="20">
        <v>303</v>
      </c>
      <c r="B304" s="20"/>
      <c r="C304" s="11"/>
      <c r="D304" s="24">
        <v>1</v>
      </c>
      <c r="E304" s="8" t="s">
        <v>416</v>
      </c>
      <c r="F304" s="36">
        <v>500</v>
      </c>
      <c r="G304" s="7">
        <f>INT((F304*Valores!$C$2*100*1.006901)+0.5)/100</f>
        <v>2631.44</v>
      </c>
      <c r="H304" s="132">
        <v>0</v>
      </c>
      <c r="I304" s="77">
        <f>INT((H304*Valores!$C$2*100*1.006901)+0.5)/100</f>
        <v>0</v>
      </c>
      <c r="J304" s="145">
        <v>0</v>
      </c>
      <c r="K304" s="77">
        <f>INT((J304*Valores!$C$2*100*1.006901)+0.5)/100</f>
        <v>0</v>
      </c>
      <c r="L304" s="120">
        <v>0</v>
      </c>
      <c r="M304" s="77">
        <f>INT((L304*Valores!$C$2*100*1.006901)+0.5)/100</f>
        <v>0</v>
      </c>
      <c r="N304" s="77">
        <f t="shared" si="60"/>
        <v>442.50352146</v>
      </c>
      <c r="O304" s="77">
        <f t="shared" si="61"/>
        <v>0</v>
      </c>
      <c r="P304" s="61">
        <v>0</v>
      </c>
      <c r="Q304" s="61">
        <v>0</v>
      </c>
      <c r="R304" s="77">
        <v>0</v>
      </c>
      <c r="S304" s="79">
        <f>Valores!$C$45*10</f>
        <v>318.5834764</v>
      </c>
      <c r="T304" s="79">
        <v>0</v>
      </c>
      <c r="U304" s="77">
        <f t="shared" si="62"/>
        <v>0</v>
      </c>
      <c r="V304" s="77">
        <v>0</v>
      </c>
      <c r="W304" s="77">
        <v>0</v>
      </c>
      <c r="X304" s="37">
        <v>0</v>
      </c>
      <c r="Y304" s="77">
        <f>X304*Valores!$C$2*1.006901</f>
        <v>0</v>
      </c>
      <c r="Z304" s="77">
        <v>0</v>
      </c>
      <c r="AA304" s="89">
        <v>0</v>
      </c>
      <c r="AB304" s="77">
        <f t="shared" si="48"/>
        <v>0</v>
      </c>
      <c r="AC304" s="77">
        <v>0</v>
      </c>
      <c r="AD304" s="116">
        <v>0</v>
      </c>
      <c r="AE304" s="77">
        <f>AD304*Valores!$C$2*1.006901</f>
        <v>0</v>
      </c>
      <c r="AF304" s="77"/>
      <c r="AG304" s="77"/>
      <c r="AH304" s="77">
        <f>SUM(G304,I304,K304,M304,N304,O304,P304,Q304,R304,S304,U304,V304,W304,Y304,Z304,AA304,AB304,AC304,AE304,AF304,AG304)*Valores!$C$54</f>
        <v>0</v>
      </c>
      <c r="AI304" s="139">
        <f t="shared" si="52"/>
        <v>3392.5269978599999</v>
      </c>
      <c r="AJ304" s="139"/>
      <c r="AK304" s="79">
        <f>Valores!$C$11*10</f>
        <v>85.687275100000008</v>
      </c>
      <c r="AL304" s="89">
        <v>0</v>
      </c>
      <c r="AM304" s="79">
        <f>IF($G$4="SI",SUM(AK304+AL304),AK304)*Valores!$C$54</f>
        <v>0</v>
      </c>
      <c r="AN304" s="12">
        <f t="shared" si="49"/>
        <v>85.687275100000008</v>
      </c>
      <c r="AO304" s="13">
        <f>AI304*-Valores!$C$56</f>
        <v>-441.02850972179999</v>
      </c>
      <c r="AP304" s="13">
        <f>AI304*-Valores!$C$57</f>
        <v>-16.9626349893</v>
      </c>
      <c r="AQ304" s="78">
        <f>AI304*-Valores!$C$58</f>
        <v>-152.6637149037</v>
      </c>
      <c r="AR304" s="78">
        <f>AI304*-Valores!$C$59</f>
        <v>-91.598228942220004</v>
      </c>
      <c r="AS304" s="78">
        <f>AI304*-Valores!$C$60</f>
        <v>-10.177580993579999</v>
      </c>
      <c r="AT304" s="15">
        <f t="shared" si="50"/>
        <v>2867.5594133451996</v>
      </c>
      <c r="AU304" s="15">
        <f t="shared" si="51"/>
        <v>2918.4473183131004</v>
      </c>
      <c r="AV304" s="78">
        <f>AI304*Valores!$C$61</f>
        <v>542.80431965759999</v>
      </c>
      <c r="AW304" s="78">
        <f>AI304*Valores!$C$62</f>
        <v>152.6637149037</v>
      </c>
      <c r="AX304" s="78">
        <f>AI304*Valores!$C$64</f>
        <v>33.925269978599999</v>
      </c>
      <c r="AY304" s="78">
        <f>AI304*Valores!$C$65</f>
        <v>118.73844492510001</v>
      </c>
      <c r="AZ304" s="78">
        <f>AI304*Valores!$C$66</f>
        <v>20.355161987159999</v>
      </c>
      <c r="BA304" s="78">
        <f t="shared" si="53"/>
        <v>183.19645788444004</v>
      </c>
      <c r="BC304" s="56"/>
      <c r="BD304" s="9" t="s">
        <v>467</v>
      </c>
    </row>
    <row r="305" spans="1:56" ht="11.25" customHeight="1" x14ac:dyDescent="0.2">
      <c r="A305" s="20">
        <v>304</v>
      </c>
      <c r="B305" s="20"/>
      <c r="D305" s="24">
        <v>1</v>
      </c>
      <c r="E305" s="8" t="s">
        <v>417</v>
      </c>
      <c r="F305" s="36">
        <v>300</v>
      </c>
      <c r="G305" s="7">
        <f>INT((F305*Valores!$C$2*100*1.006901)+0.5)/100</f>
        <v>1578.86</v>
      </c>
      <c r="H305" s="132">
        <v>0</v>
      </c>
      <c r="I305" s="77">
        <f>INT((H305*Valores!$C$2*100*1.006901)+0.5)/100</f>
        <v>0</v>
      </c>
      <c r="J305" s="145">
        <v>0</v>
      </c>
      <c r="K305" s="77">
        <f>INT((J305*Valores!$C$2*100*1.006901)+0.5)/100</f>
        <v>0</v>
      </c>
      <c r="L305" s="120">
        <v>0</v>
      </c>
      <c r="M305" s="77">
        <f>INT((L305*Valores!$C$2*100*1.006901)+0.5)/100</f>
        <v>0</v>
      </c>
      <c r="N305" s="77">
        <f t="shared" si="60"/>
        <v>260.72276073</v>
      </c>
      <c r="O305" s="77">
        <f t="shared" si="61"/>
        <v>0</v>
      </c>
      <c r="P305" s="61">
        <v>0</v>
      </c>
      <c r="Q305" s="61">
        <v>0</v>
      </c>
      <c r="R305" s="77">
        <v>0</v>
      </c>
      <c r="S305" s="79">
        <f>Valores!$C$45*5</f>
        <v>159.2917382</v>
      </c>
      <c r="T305" s="61">
        <v>0</v>
      </c>
      <c r="U305" s="77">
        <f t="shared" si="62"/>
        <v>0</v>
      </c>
      <c r="V305" s="77">
        <v>0</v>
      </c>
      <c r="W305" s="77">
        <v>0</v>
      </c>
      <c r="X305" s="37">
        <v>0</v>
      </c>
      <c r="Y305" s="77">
        <f>X305*Valores!$C$2*1.006901</f>
        <v>0</v>
      </c>
      <c r="Z305" s="77">
        <v>0</v>
      </c>
      <c r="AA305" s="89">
        <v>0</v>
      </c>
      <c r="AB305" s="77">
        <f t="shared" si="48"/>
        <v>0</v>
      </c>
      <c r="AC305" s="77">
        <v>0</v>
      </c>
      <c r="AD305" s="116">
        <v>0</v>
      </c>
      <c r="AE305" s="77">
        <f>AD305*Valores!$C$2*1.006901</f>
        <v>0</v>
      </c>
      <c r="AF305" s="77"/>
      <c r="AG305" s="77"/>
      <c r="AH305" s="77">
        <f>SUM(G305,I305,K305,M305,N305,O305,P305,Q305,R305,S305,U305,V305,W305,Y305,Z305,AA305,AB305,AC305,AE305,AF305,AG305)*Valores!$C$54</f>
        <v>0</v>
      </c>
      <c r="AI305" s="139">
        <f t="shared" si="52"/>
        <v>1998.8744989299998</v>
      </c>
      <c r="AJ305" s="139"/>
      <c r="AK305" s="79">
        <f>Valores!$C$11*5</f>
        <v>42.843637550000004</v>
      </c>
      <c r="AL305" s="89">
        <v>0</v>
      </c>
      <c r="AM305" s="79">
        <f>IF($G$4="SI",SUM(AK305+AL305),AK305)*Valores!$C$54</f>
        <v>0</v>
      </c>
      <c r="AN305" s="12">
        <f t="shared" si="49"/>
        <v>42.843637550000004</v>
      </c>
      <c r="AO305" s="13">
        <f>AI305*-Valores!$C$56</f>
        <v>-259.85368486089999</v>
      </c>
      <c r="AP305" s="13">
        <f>AI305*-Valores!$C$57</f>
        <v>-9.9943724946499994</v>
      </c>
      <c r="AQ305" s="78">
        <f>AI305*-Valores!$C$58</f>
        <v>-89.94935245184999</v>
      </c>
      <c r="AR305" s="78">
        <f>AI305*-Valores!$C$59</f>
        <v>-53.969611471109999</v>
      </c>
      <c r="AS305" s="78">
        <f>AI305*-Valores!$C$60</f>
        <v>-5.9966234967899998</v>
      </c>
      <c r="AT305" s="15">
        <f t="shared" si="50"/>
        <v>1681.9207266725998</v>
      </c>
      <c r="AU305" s="15">
        <f t="shared" si="51"/>
        <v>1711.9038441565499</v>
      </c>
      <c r="AV305" s="78">
        <f>AI305*Valores!$C$61</f>
        <v>319.81991982879998</v>
      </c>
      <c r="AW305" s="78">
        <f>AI305*Valores!$C$62</f>
        <v>89.94935245184999</v>
      </c>
      <c r="AX305" s="78">
        <f>AI305*Valores!$C$64</f>
        <v>19.988744989299999</v>
      </c>
      <c r="AY305" s="78">
        <f>AI305*Valores!$C$65</f>
        <v>69.960607462550001</v>
      </c>
      <c r="AZ305" s="78">
        <f>AI305*Valores!$C$66</f>
        <v>11.99324699358</v>
      </c>
      <c r="BA305" s="78">
        <f t="shared" si="53"/>
        <v>107.93922294222</v>
      </c>
      <c r="BD305" s="9" t="s">
        <v>467</v>
      </c>
    </row>
    <row r="306" spans="1:56" ht="11.25" customHeight="1" x14ac:dyDescent="0.2">
      <c r="A306" s="55">
        <v>305</v>
      </c>
      <c r="B306" s="55" t="s">
        <v>462</v>
      </c>
      <c r="C306" s="56"/>
      <c r="D306" s="57">
        <v>1</v>
      </c>
      <c r="E306" s="58" t="s">
        <v>418</v>
      </c>
      <c r="F306" s="67">
        <v>155</v>
      </c>
      <c r="G306" s="7">
        <f>INT((F306*Valores!$C$2*100*1.006901)+0.5)/100</f>
        <v>815.74</v>
      </c>
      <c r="H306" s="131">
        <v>0</v>
      </c>
      <c r="I306" s="77">
        <f>INT((H306*Valores!$C$2*100*1.006901)+0.5)/100</f>
        <v>0</v>
      </c>
      <c r="J306" s="146">
        <v>0</v>
      </c>
      <c r="K306" s="77">
        <f>INT((J306*Valores!$C$2*100*1.006901)+0.5)/100</f>
        <v>0</v>
      </c>
      <c r="L306" s="121">
        <v>0</v>
      </c>
      <c r="M306" s="77">
        <f>INT((L306*Valores!$C$2*100*1.006901)+0.5)/100</f>
        <v>0</v>
      </c>
      <c r="N306" s="80">
        <f t="shared" si="60"/>
        <v>127.13975214600001</v>
      </c>
      <c r="O306" s="80">
        <f t="shared" si="61"/>
        <v>0</v>
      </c>
      <c r="P306" s="85">
        <v>0</v>
      </c>
      <c r="Q306" s="85">
        <v>0</v>
      </c>
      <c r="R306" s="80">
        <v>0</v>
      </c>
      <c r="S306" s="82">
        <f>Valores!$C$45</f>
        <v>31.858347640000002</v>
      </c>
      <c r="T306" s="85">
        <v>0</v>
      </c>
      <c r="U306" s="80">
        <f t="shared" si="62"/>
        <v>0</v>
      </c>
      <c r="V306" s="80">
        <v>0</v>
      </c>
      <c r="W306" s="80">
        <v>0</v>
      </c>
      <c r="X306" s="60">
        <v>0</v>
      </c>
      <c r="Y306" s="77">
        <f>X306*Valores!$C$2*1.006901</f>
        <v>0</v>
      </c>
      <c r="Z306" s="80">
        <v>0</v>
      </c>
      <c r="AA306" s="90">
        <v>0</v>
      </c>
      <c r="AB306" s="80">
        <f t="shared" si="48"/>
        <v>0</v>
      </c>
      <c r="AC306" s="80">
        <v>0</v>
      </c>
      <c r="AD306" s="115">
        <v>0</v>
      </c>
      <c r="AE306" s="77">
        <f>AD306*Valores!$C$2*1.006901</f>
        <v>0</v>
      </c>
      <c r="AF306" s="80"/>
      <c r="AG306" s="80"/>
      <c r="AH306" s="80">
        <f>SUM(G306,I306,K306,M306,N306,O306,P306,Q306,R306,S306,U306,V306,W306,Y306,Z306,AA306,AB306,AC306,AE306,AF306,AG306)*Valores!$C$54</f>
        <v>0</v>
      </c>
      <c r="AI306" s="140">
        <f t="shared" si="52"/>
        <v>974.73809978600002</v>
      </c>
      <c r="AJ306" s="140"/>
      <c r="AK306" s="82">
        <f>Valores!$C$11*1</f>
        <v>8.5687275100000004</v>
      </c>
      <c r="AL306" s="90">
        <v>0</v>
      </c>
      <c r="AM306" s="82">
        <f>IF($G$4="SI",SUM(AK306+AL306),AK306)*Valores!$C$54</f>
        <v>0</v>
      </c>
      <c r="AN306" s="184">
        <f t="shared" si="49"/>
        <v>8.5687275100000004</v>
      </c>
      <c r="AO306" s="153">
        <f>AI306*-Valores!$C$56</f>
        <v>-126.71595297218001</v>
      </c>
      <c r="AP306" s="153">
        <f>AI306*-Valores!$C$57</f>
        <v>-4.8736904989300003</v>
      </c>
      <c r="AQ306" s="81">
        <f>AI306*-Valores!$C$58</f>
        <v>-43.863214490369998</v>
      </c>
      <c r="AR306" s="81">
        <f>AI306*-Valores!$C$59</f>
        <v>-26.317928694222005</v>
      </c>
      <c r="AS306" s="81">
        <f>AI306*-Valores!$C$60</f>
        <v>-2.9242142993580003</v>
      </c>
      <c r="AT306" s="54">
        <f t="shared" si="50"/>
        <v>807.85396933452</v>
      </c>
      <c r="AU306" s="54">
        <f t="shared" si="51"/>
        <v>822.47504083130991</v>
      </c>
      <c r="AV306" s="81">
        <f>AI306*Valores!$C$61</f>
        <v>155.95809596576001</v>
      </c>
      <c r="AW306" s="81">
        <f>AI306*Valores!$C$62</f>
        <v>43.863214490369998</v>
      </c>
      <c r="AX306" s="81">
        <f>AI306*Valores!$C$64</f>
        <v>9.7473809978600006</v>
      </c>
      <c r="AY306" s="81">
        <f>AI306*Valores!$C$65</f>
        <v>34.115833492510006</v>
      </c>
      <c r="AZ306" s="81">
        <f>AI306*Valores!$C$66</f>
        <v>5.8484285987160005</v>
      </c>
      <c r="BA306" s="81">
        <f t="shared" si="53"/>
        <v>52.635857388444002</v>
      </c>
      <c r="BB306" s="56"/>
      <c r="BC306" s="56"/>
      <c r="BD306" s="52"/>
    </row>
    <row r="307" spans="1:56" ht="11.25" customHeight="1" x14ac:dyDescent="0.2">
      <c r="A307" s="20">
        <v>306</v>
      </c>
      <c r="B307" s="20"/>
      <c r="D307" s="24">
        <v>1</v>
      </c>
      <c r="E307" s="8" t="s">
        <v>419</v>
      </c>
      <c r="F307" s="36">
        <f>155+F306</f>
        <v>310</v>
      </c>
      <c r="G307" s="7">
        <f>INT((F307*Valores!$C$2*100*1.006901)+0.5)/100</f>
        <v>1631.49</v>
      </c>
      <c r="H307" s="132">
        <v>0</v>
      </c>
      <c r="I307" s="77">
        <f>INT((H307*Valores!$C$2*100*1.006901)+0.5)/100</f>
        <v>0</v>
      </c>
      <c r="J307" s="145">
        <v>0</v>
      </c>
      <c r="K307" s="77">
        <f>INT((J307*Valores!$C$2*100*1.006901)+0.5)/100</f>
        <v>0</v>
      </c>
      <c r="L307" s="120">
        <v>0</v>
      </c>
      <c r="M307" s="77">
        <f>INT((L307*Valores!$C$2*100*1.006901)+0.5)/100</f>
        <v>0</v>
      </c>
      <c r="N307" s="77">
        <f t="shared" si="60"/>
        <v>254.28100429200001</v>
      </c>
      <c r="O307" s="77">
        <f t="shared" si="61"/>
        <v>0</v>
      </c>
      <c r="P307" s="61">
        <v>0</v>
      </c>
      <c r="Q307" s="61">
        <v>0</v>
      </c>
      <c r="R307" s="77">
        <v>0</v>
      </c>
      <c r="S307" s="79">
        <f>Valores!$C$45+S306</f>
        <v>63.716695280000003</v>
      </c>
      <c r="T307" s="61">
        <v>0</v>
      </c>
      <c r="U307" s="77">
        <f t="shared" si="62"/>
        <v>0</v>
      </c>
      <c r="V307" s="77">
        <v>0</v>
      </c>
      <c r="W307" s="77">
        <v>0</v>
      </c>
      <c r="X307" s="37">
        <v>0</v>
      </c>
      <c r="Y307" s="77">
        <f>X307*Valores!$C$2*1.006901</f>
        <v>0</v>
      </c>
      <c r="Z307" s="77">
        <v>0</v>
      </c>
      <c r="AA307" s="89">
        <v>0</v>
      </c>
      <c r="AB307" s="77">
        <f t="shared" si="48"/>
        <v>0</v>
      </c>
      <c r="AC307" s="77">
        <v>0</v>
      </c>
      <c r="AD307" s="116">
        <v>0</v>
      </c>
      <c r="AE307" s="77">
        <f>AD307*Valores!$C$2*1.006901</f>
        <v>0</v>
      </c>
      <c r="AF307" s="77"/>
      <c r="AG307" s="77"/>
      <c r="AH307" s="77">
        <f>SUM(G307,I307,K307,M307,N307,O307,P307,Q307,R307,S307,U307,V307,W307,Y307,Z307,AA307,AB307,AC307,AE307,AF307,AG307)*Valores!$C$54</f>
        <v>0</v>
      </c>
      <c r="AI307" s="139">
        <f t="shared" si="52"/>
        <v>1949.4876995720001</v>
      </c>
      <c r="AJ307" s="139"/>
      <c r="AK307" s="79">
        <f>Valores!$C$11+AK306</f>
        <v>17.137455020000001</v>
      </c>
      <c r="AL307" s="89">
        <v>0</v>
      </c>
      <c r="AM307" s="79">
        <f>IF($G$4="SI",SUM(AK307+AL307),AK307)*Valores!$C$54</f>
        <v>0</v>
      </c>
      <c r="AN307" s="12">
        <f t="shared" si="49"/>
        <v>17.137455020000001</v>
      </c>
      <c r="AO307" s="13">
        <f>AI307*-Valores!$C$56</f>
        <v>-253.43340094436002</v>
      </c>
      <c r="AP307" s="13">
        <f>AI307*-Valores!$C$57</f>
        <v>-9.747438497860001</v>
      </c>
      <c r="AQ307" s="78">
        <f>AI307*-Valores!$C$58</f>
        <v>-87.726946480739997</v>
      </c>
      <c r="AR307" s="78">
        <f>AI307*-Valores!$C$59</f>
        <v>-52.636167888444007</v>
      </c>
      <c r="AS307" s="78">
        <f>AI307*-Valores!$C$60</f>
        <v>-5.8484630987160005</v>
      </c>
      <c r="AT307" s="15">
        <f t="shared" si="50"/>
        <v>1615.7173686690401</v>
      </c>
      <c r="AU307" s="15">
        <f t="shared" si="51"/>
        <v>1644.9596841626201</v>
      </c>
      <c r="AV307" s="78">
        <f>AI307*Valores!$C$61</f>
        <v>311.91803193152003</v>
      </c>
      <c r="AW307" s="78">
        <f>AI307*Valores!$C$62</f>
        <v>87.726946480739997</v>
      </c>
      <c r="AX307" s="78">
        <f>AI307*Valores!$C$64</f>
        <v>19.494876995720002</v>
      </c>
      <c r="AY307" s="78">
        <f>AI307*Valores!$C$65</f>
        <v>68.232069485020006</v>
      </c>
      <c r="AZ307" s="78">
        <f>AI307*Valores!$C$66</f>
        <v>11.696926197432001</v>
      </c>
      <c r="BA307" s="78">
        <f t="shared" si="53"/>
        <v>105.27233577688801</v>
      </c>
    </row>
    <row r="308" spans="1:56" ht="11.25" customHeight="1" x14ac:dyDescent="0.2">
      <c r="A308" s="20">
        <v>307</v>
      </c>
      <c r="B308" s="20"/>
      <c r="D308" s="24">
        <v>1</v>
      </c>
      <c r="E308" s="8" t="s">
        <v>420</v>
      </c>
      <c r="F308" s="36">
        <f>155+F307</f>
        <v>465</v>
      </c>
      <c r="G308" s="7">
        <f>INT((F308*Valores!$C$2*100*1.006901)+0.5)/100</f>
        <v>2447.23</v>
      </c>
      <c r="H308" s="132">
        <v>0</v>
      </c>
      <c r="I308" s="77">
        <f>INT((H308*Valores!$C$2*100*1.006901)+0.5)/100</f>
        <v>0</v>
      </c>
      <c r="J308" s="145">
        <v>0</v>
      </c>
      <c r="K308" s="77">
        <f>INT((J308*Valores!$C$2*100*1.006901)+0.5)/100</f>
        <v>0</v>
      </c>
      <c r="L308" s="120">
        <v>0</v>
      </c>
      <c r="M308" s="77">
        <f>INT((L308*Valores!$C$2*100*1.006901)+0.5)/100</f>
        <v>0</v>
      </c>
      <c r="N308" s="77">
        <f t="shared" si="60"/>
        <v>381.42075643800001</v>
      </c>
      <c r="O308" s="77">
        <f t="shared" si="61"/>
        <v>0</v>
      </c>
      <c r="P308" s="61">
        <v>0</v>
      </c>
      <c r="Q308" s="61">
        <v>0</v>
      </c>
      <c r="R308" s="77">
        <v>0</v>
      </c>
      <c r="S308" s="79">
        <f>Valores!$C$45+S307</f>
        <v>95.575042920000001</v>
      </c>
      <c r="T308" s="61">
        <v>0</v>
      </c>
      <c r="U308" s="77">
        <f t="shared" si="62"/>
        <v>0</v>
      </c>
      <c r="V308" s="77">
        <v>0</v>
      </c>
      <c r="W308" s="77">
        <v>0</v>
      </c>
      <c r="X308" s="37">
        <v>0</v>
      </c>
      <c r="Y308" s="77">
        <f>X308*Valores!$C$2*1.006901</f>
        <v>0</v>
      </c>
      <c r="Z308" s="77">
        <v>0</v>
      </c>
      <c r="AA308" s="89">
        <v>0</v>
      </c>
      <c r="AB308" s="77">
        <f t="shared" si="48"/>
        <v>0</v>
      </c>
      <c r="AC308" s="77">
        <v>0</v>
      </c>
      <c r="AD308" s="116">
        <v>0</v>
      </c>
      <c r="AE308" s="77">
        <f>AD308*Valores!$C$2*1.006901</f>
        <v>0</v>
      </c>
      <c r="AF308" s="77"/>
      <c r="AG308" s="77"/>
      <c r="AH308" s="77">
        <f>SUM(G308,I308,K308,M308,N308,O308,P308,Q308,R308,S308,U308,V308,W308,Y308,Z308,AA308,AB308,AC308,AE308,AF308,AG308)*Valores!$C$54</f>
        <v>0</v>
      </c>
      <c r="AI308" s="139">
        <f t="shared" si="52"/>
        <v>2924.2257993580001</v>
      </c>
      <c r="AJ308" s="139"/>
      <c r="AK308" s="79">
        <f>Valores!$C$11+AK307</f>
        <v>25.70618253</v>
      </c>
      <c r="AL308" s="89">
        <v>0</v>
      </c>
      <c r="AM308" s="79">
        <f>IF($G$4="SI",SUM(AK308+AL308),AK308)*Valores!$C$54</f>
        <v>0</v>
      </c>
      <c r="AN308" s="12">
        <f t="shared" si="49"/>
        <v>25.70618253</v>
      </c>
      <c r="AO308" s="13">
        <f>AI308*-Valores!$C$56</f>
        <v>-380.14935391654001</v>
      </c>
      <c r="AP308" s="13">
        <f>AI308*-Valores!$C$57</f>
        <v>-14.62112899679</v>
      </c>
      <c r="AQ308" s="78">
        <f>AI308*-Valores!$C$58</f>
        <v>-131.59016097111001</v>
      </c>
      <c r="AR308" s="78">
        <f>AI308*-Valores!$C$59</f>
        <v>-78.954096582666011</v>
      </c>
      <c r="AS308" s="78">
        <f>AI308*-Valores!$C$60</f>
        <v>-8.7726773980740003</v>
      </c>
      <c r="AT308" s="15">
        <f t="shared" si="50"/>
        <v>2423.5713380035604</v>
      </c>
      <c r="AU308" s="15">
        <f t="shared" si="51"/>
        <v>2467.4347249939306</v>
      </c>
      <c r="AV308" s="78">
        <f>AI308*Valores!$C$61</f>
        <v>467.87612789728001</v>
      </c>
      <c r="AW308" s="78">
        <f>AI308*Valores!$C$62</f>
        <v>131.59016097111001</v>
      </c>
      <c r="AX308" s="78">
        <f>AI308*Valores!$C$64</f>
        <v>29.242257993580001</v>
      </c>
      <c r="AY308" s="78">
        <f>AI308*Valores!$C$65</f>
        <v>102.34790297753001</v>
      </c>
      <c r="AZ308" s="78">
        <f>AI308*Valores!$C$66</f>
        <v>17.545354796148001</v>
      </c>
      <c r="BA308" s="78">
        <f t="shared" si="53"/>
        <v>157.90819316533202</v>
      </c>
    </row>
    <row r="309" spans="1:56" ht="11.25" customHeight="1" x14ac:dyDescent="0.2">
      <c r="A309" s="20">
        <v>308</v>
      </c>
      <c r="B309" s="20"/>
      <c r="D309" s="24">
        <v>1</v>
      </c>
      <c r="E309" s="8" t="s">
        <v>421</v>
      </c>
      <c r="F309" s="36">
        <f t="shared" ref="F309:F320" si="63">155+F308</f>
        <v>620</v>
      </c>
      <c r="G309" s="7">
        <f>INT((F309*Valores!$C$2*100*1.006901)+0.5)/100</f>
        <v>3262.98</v>
      </c>
      <c r="H309" s="132">
        <v>0</v>
      </c>
      <c r="I309" s="77">
        <f>INT((H309*Valores!$C$2*100*1.006901)+0.5)/100</f>
        <v>0</v>
      </c>
      <c r="J309" s="145">
        <v>0</v>
      </c>
      <c r="K309" s="77">
        <f>INT((J309*Valores!$C$2*100*1.006901)+0.5)/100</f>
        <v>0</v>
      </c>
      <c r="L309" s="120">
        <v>0</v>
      </c>
      <c r="M309" s="77">
        <f>INT((L309*Valores!$C$2*100*1.006901)+0.5)/100</f>
        <v>0</v>
      </c>
      <c r="N309" s="77">
        <f t="shared" si="60"/>
        <v>508.56200858400001</v>
      </c>
      <c r="O309" s="77">
        <f t="shared" si="61"/>
        <v>0</v>
      </c>
      <c r="P309" s="61">
        <v>0</v>
      </c>
      <c r="Q309" s="61">
        <v>0</v>
      </c>
      <c r="R309" s="77">
        <v>0</v>
      </c>
      <c r="S309" s="79">
        <f>Valores!$C$45+S308</f>
        <v>127.43339056000001</v>
      </c>
      <c r="T309" s="79">
        <v>0</v>
      </c>
      <c r="U309" s="77">
        <f t="shared" si="62"/>
        <v>0</v>
      </c>
      <c r="V309" s="77">
        <v>0</v>
      </c>
      <c r="W309" s="77">
        <v>0</v>
      </c>
      <c r="X309" s="37">
        <v>0</v>
      </c>
      <c r="Y309" s="77">
        <f>X309*Valores!$C$2*1.006901</f>
        <v>0</v>
      </c>
      <c r="Z309" s="77">
        <v>0</v>
      </c>
      <c r="AA309" s="89">
        <v>0</v>
      </c>
      <c r="AB309" s="77">
        <f t="shared" si="48"/>
        <v>0</v>
      </c>
      <c r="AC309" s="77">
        <v>0</v>
      </c>
      <c r="AD309" s="116">
        <v>0</v>
      </c>
      <c r="AE309" s="77">
        <f>AD309*Valores!$C$2*1.006901</f>
        <v>0</v>
      </c>
      <c r="AF309" s="77"/>
      <c r="AG309" s="77"/>
      <c r="AH309" s="77">
        <f>SUM(G309,I309,K309,M309,N309,O309,P309,Q309,R309,S309,U309,V309,W309,Y309,Z309,AA309,AB309,AC309,AE309,AF309,AG309)*Valores!$C$54</f>
        <v>0</v>
      </c>
      <c r="AI309" s="139">
        <f t="shared" si="52"/>
        <v>3898.9753991440002</v>
      </c>
      <c r="AJ309" s="139"/>
      <c r="AK309" s="79">
        <f>Valores!$C$11+AK308</f>
        <v>34.274910040000002</v>
      </c>
      <c r="AL309" s="89">
        <v>0</v>
      </c>
      <c r="AM309" s="79">
        <f>IF($G$4="SI",SUM(AK309+AL309),AK309)*Valores!$C$54</f>
        <v>0</v>
      </c>
      <c r="AN309" s="12">
        <f t="shared" si="49"/>
        <v>34.274910040000002</v>
      </c>
      <c r="AO309" s="13">
        <f>AI309*-Valores!$C$56</f>
        <v>-506.86680188872003</v>
      </c>
      <c r="AP309" s="13">
        <f>AI309*-Valores!$C$57</f>
        <v>-19.494876995720002</v>
      </c>
      <c r="AQ309" s="78">
        <f>AI309*-Valores!$C$58</f>
        <v>-175.45389296147999</v>
      </c>
      <c r="AR309" s="78">
        <f>AI309*-Valores!$C$59</f>
        <v>-105.27233577688801</v>
      </c>
      <c r="AS309" s="78">
        <f>AI309*-Valores!$C$60</f>
        <v>-11.696926197432001</v>
      </c>
      <c r="AT309" s="15">
        <f t="shared" si="50"/>
        <v>3231.4347373380801</v>
      </c>
      <c r="AU309" s="15">
        <f t="shared" si="51"/>
        <v>3289.9193683252402</v>
      </c>
      <c r="AV309" s="78">
        <f>AI309*Valores!$C$61</f>
        <v>623.83606386304007</v>
      </c>
      <c r="AW309" s="78">
        <f>AI309*Valores!$C$62</f>
        <v>175.45389296147999</v>
      </c>
      <c r="AX309" s="78">
        <f>AI309*Valores!$C$64</f>
        <v>38.989753991440004</v>
      </c>
      <c r="AY309" s="78">
        <f>AI309*Valores!$C$65</f>
        <v>136.46413897004001</v>
      </c>
      <c r="AZ309" s="78">
        <f>AI309*Valores!$C$66</f>
        <v>23.393852394864002</v>
      </c>
      <c r="BA309" s="78">
        <f t="shared" si="53"/>
        <v>210.54467155377603</v>
      </c>
      <c r="BC309" s="56"/>
    </row>
    <row r="310" spans="1:56" ht="11.25" customHeight="1" x14ac:dyDescent="0.2">
      <c r="A310" s="20">
        <v>309</v>
      </c>
      <c r="B310" s="20"/>
      <c r="D310" s="24">
        <v>1</v>
      </c>
      <c r="E310" s="8" t="s">
        <v>422</v>
      </c>
      <c r="F310" s="36">
        <f t="shared" si="63"/>
        <v>775</v>
      </c>
      <c r="G310" s="7">
        <f>INT((F310*Valores!$C$2*100*1.006901)+0.5)/100</f>
        <v>4078.72</v>
      </c>
      <c r="H310" s="132">
        <v>0</v>
      </c>
      <c r="I310" s="77">
        <f>INT((H310*Valores!$C$2*100*1.006901)+0.5)/100</f>
        <v>0</v>
      </c>
      <c r="J310" s="145">
        <v>0</v>
      </c>
      <c r="K310" s="77">
        <f>INT((J310*Valores!$C$2*100*1.006901)+0.5)/100</f>
        <v>0</v>
      </c>
      <c r="L310" s="120">
        <v>0</v>
      </c>
      <c r="M310" s="77">
        <f>INT((L310*Valores!$C$2*100*1.006901)+0.5)/100</f>
        <v>0</v>
      </c>
      <c r="N310" s="77">
        <f t="shared" si="60"/>
        <v>635.70176072999993</v>
      </c>
      <c r="O310" s="77">
        <f t="shared" si="61"/>
        <v>0</v>
      </c>
      <c r="P310" s="61">
        <v>0</v>
      </c>
      <c r="Q310" s="61">
        <v>0</v>
      </c>
      <c r="R310" s="77">
        <v>0</v>
      </c>
      <c r="S310" s="79">
        <f>Valores!$C$45+S309</f>
        <v>159.2917382</v>
      </c>
      <c r="T310" s="61">
        <v>0</v>
      </c>
      <c r="U310" s="77">
        <f t="shared" si="62"/>
        <v>0</v>
      </c>
      <c r="V310" s="77">
        <v>0</v>
      </c>
      <c r="W310" s="77">
        <v>0</v>
      </c>
      <c r="X310" s="37">
        <v>0</v>
      </c>
      <c r="Y310" s="77">
        <f>X310*Valores!$C$2*1.006901</f>
        <v>0</v>
      </c>
      <c r="Z310" s="77">
        <v>0</v>
      </c>
      <c r="AA310" s="89">
        <v>0</v>
      </c>
      <c r="AB310" s="77">
        <f t="shared" si="48"/>
        <v>0</v>
      </c>
      <c r="AC310" s="77">
        <v>0</v>
      </c>
      <c r="AD310" s="116">
        <v>0</v>
      </c>
      <c r="AE310" s="77">
        <f>AD310*Valores!$C$2*1.006901</f>
        <v>0</v>
      </c>
      <c r="AF310" s="77"/>
      <c r="AG310" s="77"/>
      <c r="AH310" s="77">
        <f>SUM(G310,I310,K310,M310,N310,O310,P310,Q310,R310,S310,U310,V310,W310,Y310,Z310,AA310,AB310,AC310,AE310,AF310,AG310)*Valores!$C$54</f>
        <v>0</v>
      </c>
      <c r="AI310" s="139">
        <f t="shared" si="52"/>
        <v>4873.7134989299993</v>
      </c>
      <c r="AJ310" s="139"/>
      <c r="AK310" s="79">
        <f>Valores!$C$11+AK309</f>
        <v>42.843637550000004</v>
      </c>
      <c r="AL310" s="89">
        <v>0</v>
      </c>
      <c r="AM310" s="79">
        <f>IF($G$4="SI",SUM(AK310+AL310),AK310)*Valores!$C$54</f>
        <v>0</v>
      </c>
      <c r="AN310" s="12">
        <f t="shared" si="49"/>
        <v>42.843637550000004</v>
      </c>
      <c r="AO310" s="13">
        <f>AI310*-Valores!$C$56</f>
        <v>-633.58275486089997</v>
      </c>
      <c r="AP310" s="13">
        <f>AI310*-Valores!$C$57</f>
        <v>-24.368567494649998</v>
      </c>
      <c r="AQ310" s="78">
        <f>AI310*-Valores!$C$58</f>
        <v>-219.31710745184995</v>
      </c>
      <c r="AR310" s="78">
        <f>AI310*-Valores!$C$59</f>
        <v>-131.59026447111</v>
      </c>
      <c r="AS310" s="78">
        <f>AI310*-Valores!$C$60</f>
        <v>-14.621140496789998</v>
      </c>
      <c r="AT310" s="15">
        <f t="shared" si="50"/>
        <v>4039.2887066725993</v>
      </c>
      <c r="AU310" s="15">
        <f t="shared" si="51"/>
        <v>4112.394409156549</v>
      </c>
      <c r="AV310" s="78">
        <f>AI310*Valores!$C$61</f>
        <v>779.79415982879993</v>
      </c>
      <c r="AW310" s="78">
        <f>AI310*Valores!$C$62</f>
        <v>219.31710745184995</v>
      </c>
      <c r="AX310" s="78">
        <f>AI310*Valores!$C$64</f>
        <v>48.737134989299996</v>
      </c>
      <c r="AY310" s="78">
        <f>AI310*Valores!$C$65</f>
        <v>170.57997246254999</v>
      </c>
      <c r="AZ310" s="78">
        <f>AI310*Valores!$C$66</f>
        <v>29.242280993579996</v>
      </c>
      <c r="BA310" s="78">
        <f t="shared" si="53"/>
        <v>263.18052894221995</v>
      </c>
    </row>
    <row r="311" spans="1:56" ht="11.25" customHeight="1" x14ac:dyDescent="0.2">
      <c r="A311" s="55">
        <v>310</v>
      </c>
      <c r="B311" s="55" t="s">
        <v>462</v>
      </c>
      <c r="C311" s="59"/>
      <c r="D311" s="57">
        <v>1</v>
      </c>
      <c r="E311" s="58" t="s">
        <v>423</v>
      </c>
      <c r="F311" s="67">
        <f t="shared" si="63"/>
        <v>930</v>
      </c>
      <c r="G311" s="7">
        <f>INT((F311*Valores!$C$2*100*1.006901)+0.5)/100</f>
        <v>4894.47</v>
      </c>
      <c r="H311" s="131">
        <v>0</v>
      </c>
      <c r="I311" s="77">
        <f>INT((H311*Valores!$C$2*100*1.006901)+0.5)/100</f>
        <v>0</v>
      </c>
      <c r="J311" s="146">
        <v>0</v>
      </c>
      <c r="K311" s="77">
        <f>INT((J311*Valores!$C$2*100*1.006901)+0.5)/100</f>
        <v>0</v>
      </c>
      <c r="L311" s="121">
        <v>0</v>
      </c>
      <c r="M311" s="77">
        <f>INT((L311*Valores!$C$2*100*1.006901)+0.5)/100</f>
        <v>0</v>
      </c>
      <c r="N311" s="80">
        <f t="shared" si="60"/>
        <v>762.8430128760001</v>
      </c>
      <c r="O311" s="80">
        <f t="shared" si="61"/>
        <v>0</v>
      </c>
      <c r="P311" s="85">
        <v>0</v>
      </c>
      <c r="Q311" s="85">
        <v>0</v>
      </c>
      <c r="R311" s="80">
        <v>0</v>
      </c>
      <c r="S311" s="82">
        <f>Valores!$C$45+S310</f>
        <v>191.15008584</v>
      </c>
      <c r="T311" s="85">
        <v>0</v>
      </c>
      <c r="U311" s="80">
        <f t="shared" si="62"/>
        <v>0</v>
      </c>
      <c r="V311" s="80">
        <v>0</v>
      </c>
      <c r="W311" s="80">
        <v>0</v>
      </c>
      <c r="X311" s="60">
        <v>0</v>
      </c>
      <c r="Y311" s="77">
        <f>X311*Valores!$C$2*1.006901</f>
        <v>0</v>
      </c>
      <c r="Z311" s="80">
        <v>0</v>
      </c>
      <c r="AA311" s="90">
        <v>0</v>
      </c>
      <c r="AB311" s="80">
        <f t="shared" si="48"/>
        <v>0</v>
      </c>
      <c r="AC311" s="80">
        <v>0</v>
      </c>
      <c r="AD311" s="115">
        <v>0</v>
      </c>
      <c r="AE311" s="77">
        <f>AD311*Valores!$C$2*1.006901</f>
        <v>0</v>
      </c>
      <c r="AF311" s="80"/>
      <c r="AG311" s="80"/>
      <c r="AH311" s="80">
        <f>SUM(G311,I311,K311,M311,N311,O311,P311,Q311,R311,S311,U311,V311,W311,Y311,Z311,AA311,AB311,AC311,AE311,AF311,AG311)*Valores!$C$54</f>
        <v>0</v>
      </c>
      <c r="AI311" s="140">
        <f t="shared" si="52"/>
        <v>5848.4630987160008</v>
      </c>
      <c r="AJ311" s="140"/>
      <c r="AK311" s="82">
        <f>Valores!$C$11+AK310</f>
        <v>51.412365060000006</v>
      </c>
      <c r="AL311" s="90">
        <v>0</v>
      </c>
      <c r="AM311" s="82">
        <f>IF($G$4="SI",SUM(AK311+AL311),AK311)*Valores!$C$54</f>
        <v>0</v>
      </c>
      <c r="AN311" s="184">
        <f t="shared" si="49"/>
        <v>51.412365060000006</v>
      </c>
      <c r="AO311" s="153">
        <f>AI311*-Valores!$C$56</f>
        <v>-760.30020283308011</v>
      </c>
      <c r="AP311" s="153">
        <f>AI311*-Valores!$C$57</f>
        <v>-29.242315493580005</v>
      </c>
      <c r="AQ311" s="81">
        <f>AI311*-Valores!$C$58</f>
        <v>-263.18083944222002</v>
      </c>
      <c r="AR311" s="81">
        <f>AI311*-Valores!$C$59</f>
        <v>-157.90850366533203</v>
      </c>
      <c r="AS311" s="81">
        <f>AI311*-Valores!$C$60</f>
        <v>-17.545389296148002</v>
      </c>
      <c r="AT311" s="54">
        <f t="shared" si="50"/>
        <v>4847.1521060071218</v>
      </c>
      <c r="AU311" s="54">
        <f t="shared" si="51"/>
        <v>4934.8790524878614</v>
      </c>
      <c r="AV311" s="81">
        <f>AI311*Valores!$C$61</f>
        <v>935.75409579456016</v>
      </c>
      <c r="AW311" s="81">
        <f>AI311*Valores!$C$62</f>
        <v>263.18083944222002</v>
      </c>
      <c r="AX311" s="81">
        <f>AI311*Valores!$C$64</f>
        <v>58.48463098716001</v>
      </c>
      <c r="AY311" s="81">
        <f>AI311*Valores!$C$65</f>
        <v>204.69620845506006</v>
      </c>
      <c r="AZ311" s="81">
        <f>AI311*Valores!$C$66</f>
        <v>35.090778592296004</v>
      </c>
      <c r="BA311" s="81">
        <f t="shared" si="53"/>
        <v>315.81700733066407</v>
      </c>
      <c r="BB311" s="56"/>
      <c r="BC311" s="56"/>
      <c r="BD311" s="52"/>
    </row>
    <row r="312" spans="1:56" ht="11.25" customHeight="1" x14ac:dyDescent="0.2">
      <c r="A312" s="20">
        <v>311</v>
      </c>
      <c r="B312" s="20"/>
      <c r="D312" s="24">
        <v>1</v>
      </c>
      <c r="E312" s="8" t="s">
        <v>424</v>
      </c>
      <c r="F312" s="36">
        <f t="shared" si="63"/>
        <v>1085</v>
      </c>
      <c r="G312" s="7">
        <f>INT((F312*Valores!$C$2*100*1.006901)+0.5)/100</f>
        <v>5710.21</v>
      </c>
      <c r="H312" s="132">
        <v>0</v>
      </c>
      <c r="I312" s="77">
        <f>INT((H312*Valores!$C$2*100*1.006901)+0.5)/100</f>
        <v>0</v>
      </c>
      <c r="J312" s="145">
        <v>0</v>
      </c>
      <c r="K312" s="77">
        <f>INT((J312*Valores!$C$2*100*1.006901)+0.5)/100</f>
        <v>0</v>
      </c>
      <c r="L312" s="120">
        <v>0</v>
      </c>
      <c r="M312" s="77">
        <f>INT((L312*Valores!$C$2*100*1.006901)+0.5)/100</f>
        <v>0</v>
      </c>
      <c r="N312" s="77">
        <f t="shared" si="60"/>
        <v>889.98276502200008</v>
      </c>
      <c r="O312" s="77">
        <f t="shared" si="61"/>
        <v>0</v>
      </c>
      <c r="P312" s="61">
        <v>0</v>
      </c>
      <c r="Q312" s="61">
        <v>0</v>
      </c>
      <c r="R312" s="77">
        <v>0</v>
      </c>
      <c r="S312" s="79">
        <f>Valores!$C$45+S311</f>
        <v>223.00843348000001</v>
      </c>
      <c r="T312" s="61">
        <v>0</v>
      </c>
      <c r="U312" s="77">
        <f t="shared" si="62"/>
        <v>0</v>
      </c>
      <c r="V312" s="77">
        <v>0</v>
      </c>
      <c r="W312" s="77">
        <v>0</v>
      </c>
      <c r="X312" s="37">
        <v>0</v>
      </c>
      <c r="Y312" s="77">
        <f>X312*Valores!$C$2*1.006901</f>
        <v>0</v>
      </c>
      <c r="Z312" s="77">
        <v>0</v>
      </c>
      <c r="AA312" s="89">
        <v>0</v>
      </c>
      <c r="AB312" s="77">
        <f t="shared" si="48"/>
        <v>0</v>
      </c>
      <c r="AC312" s="77">
        <v>0</v>
      </c>
      <c r="AD312" s="116">
        <v>0</v>
      </c>
      <c r="AE312" s="77">
        <f>AD312*Valores!$C$2*1.006901</f>
        <v>0</v>
      </c>
      <c r="AF312" s="77"/>
      <c r="AG312" s="77"/>
      <c r="AH312" s="77">
        <f>SUM(G312,I312,K312,M312,N312,O312,P312,Q312,R312,S312,U312,V312,W312,Y312,Z312,AA312,AB312,AC312,AE312,AF312,AG312)*Valores!$C$54</f>
        <v>0</v>
      </c>
      <c r="AI312" s="139">
        <f t="shared" si="52"/>
        <v>6823.2011985020008</v>
      </c>
      <c r="AJ312" s="139"/>
      <c r="AK312" s="79">
        <f>Valores!$C$11+AK311</f>
        <v>59.981092570000008</v>
      </c>
      <c r="AL312" s="89">
        <v>0</v>
      </c>
      <c r="AM312" s="79">
        <f>IF($G$4="SI",SUM(AK312+AL312),AK312)*Valores!$C$54</f>
        <v>0</v>
      </c>
      <c r="AN312" s="12">
        <f t="shared" si="49"/>
        <v>59.981092570000008</v>
      </c>
      <c r="AO312" s="13">
        <f>AI312*-Valores!$C$56</f>
        <v>-887.01615580526015</v>
      </c>
      <c r="AP312" s="13">
        <f>AI312*-Valores!$C$57</f>
        <v>-34.116005992510004</v>
      </c>
      <c r="AQ312" s="78">
        <f>AI312*-Valores!$C$58</f>
        <v>-307.04405393259003</v>
      </c>
      <c r="AR312" s="78">
        <f>AI312*-Valores!$C$59</f>
        <v>-184.22643235955405</v>
      </c>
      <c r="AS312" s="78">
        <f>AI312*-Valores!$C$60</f>
        <v>-20.469603595506001</v>
      </c>
      <c r="AT312" s="15">
        <f t="shared" si="50"/>
        <v>5655.006075341641</v>
      </c>
      <c r="AU312" s="15">
        <f t="shared" si="51"/>
        <v>5757.3540933191716</v>
      </c>
      <c r="AV312" s="78">
        <f>AI312*Valores!$C$61</f>
        <v>1091.7121917603201</v>
      </c>
      <c r="AW312" s="78">
        <f>AI312*Valores!$C$62</f>
        <v>307.04405393259003</v>
      </c>
      <c r="AX312" s="78">
        <f>AI312*Valores!$C$64</f>
        <v>68.232011985020009</v>
      </c>
      <c r="AY312" s="78">
        <f>AI312*Valores!$C$65</f>
        <v>238.81204194757004</v>
      </c>
      <c r="AZ312" s="78">
        <f>AI312*Valores!$C$66</f>
        <v>40.939207191012002</v>
      </c>
      <c r="BA312" s="78">
        <f t="shared" si="53"/>
        <v>368.45286471910805</v>
      </c>
    </row>
    <row r="313" spans="1:56" ht="11.25" customHeight="1" x14ac:dyDescent="0.2">
      <c r="A313" s="20">
        <v>312</v>
      </c>
      <c r="B313" s="20"/>
      <c r="D313" s="24">
        <v>1</v>
      </c>
      <c r="E313" s="8" t="s">
        <v>425</v>
      </c>
      <c r="F313" s="36">
        <f t="shared" si="63"/>
        <v>1240</v>
      </c>
      <c r="G313" s="7">
        <f>INT((F313*Valores!$C$2*100*1.006901)+0.5)/100</f>
        <v>6525.96</v>
      </c>
      <c r="H313" s="132">
        <v>0</v>
      </c>
      <c r="I313" s="77">
        <f>INT((H313*Valores!$C$2*100*1.006901)+0.5)/100</f>
        <v>0</v>
      </c>
      <c r="J313" s="145">
        <v>0</v>
      </c>
      <c r="K313" s="77">
        <f>INT((J313*Valores!$C$2*100*1.006901)+0.5)/100</f>
        <v>0</v>
      </c>
      <c r="L313" s="120">
        <v>0</v>
      </c>
      <c r="M313" s="77">
        <f>INT((L313*Valores!$C$2*100*1.006901)+0.5)/100</f>
        <v>0</v>
      </c>
      <c r="N313" s="77">
        <f t="shared" si="60"/>
        <v>1017.124017168</v>
      </c>
      <c r="O313" s="77">
        <f t="shared" si="61"/>
        <v>0</v>
      </c>
      <c r="P313" s="61">
        <v>0</v>
      </c>
      <c r="Q313" s="61">
        <v>0</v>
      </c>
      <c r="R313" s="77">
        <v>0</v>
      </c>
      <c r="S313" s="79">
        <f>Valores!$C$45+S312</f>
        <v>254.86678112000001</v>
      </c>
      <c r="T313" s="61">
        <v>0</v>
      </c>
      <c r="U313" s="77">
        <f t="shared" si="62"/>
        <v>0</v>
      </c>
      <c r="V313" s="77">
        <v>0</v>
      </c>
      <c r="W313" s="77">
        <v>0</v>
      </c>
      <c r="X313" s="37">
        <v>0</v>
      </c>
      <c r="Y313" s="77">
        <f>X313*Valores!$C$2*1.006901</f>
        <v>0</v>
      </c>
      <c r="Z313" s="77">
        <v>0</v>
      </c>
      <c r="AA313" s="89">
        <v>0</v>
      </c>
      <c r="AB313" s="77">
        <f t="shared" si="48"/>
        <v>0</v>
      </c>
      <c r="AC313" s="77">
        <v>0</v>
      </c>
      <c r="AD313" s="116">
        <v>0</v>
      </c>
      <c r="AE313" s="77">
        <f>AD313*Valores!$C$2*1.006901</f>
        <v>0</v>
      </c>
      <c r="AF313" s="77"/>
      <c r="AG313" s="77"/>
      <c r="AH313" s="77">
        <f>SUM(G313,I313,K313,M313,N313,O313,P313,Q313,R313,S313,U313,V313,W313,Y313,Z313,AA313,AB313,AC313,AE313,AF313,AG313)*Valores!$C$54</f>
        <v>0</v>
      </c>
      <c r="AI313" s="139">
        <f t="shared" si="52"/>
        <v>7797.9507982880004</v>
      </c>
      <c r="AJ313" s="139"/>
      <c r="AK313" s="79">
        <f>Valores!$C$11+AK312</f>
        <v>68.549820080000003</v>
      </c>
      <c r="AL313" s="89">
        <v>0</v>
      </c>
      <c r="AM313" s="79">
        <f>IF($G$4="SI",SUM(AK313+AL313),AK313)*Valores!$C$54</f>
        <v>0</v>
      </c>
      <c r="AN313" s="12">
        <f t="shared" si="49"/>
        <v>68.549820080000003</v>
      </c>
      <c r="AO313" s="13">
        <f>AI313*-Valores!$C$56</f>
        <v>-1013.7336037774401</v>
      </c>
      <c r="AP313" s="13">
        <f>AI313*-Valores!$C$57</f>
        <v>-38.989753991440004</v>
      </c>
      <c r="AQ313" s="78">
        <f>AI313*-Valores!$C$58</f>
        <v>-350.90778592295999</v>
      </c>
      <c r="AR313" s="78">
        <f>AI313*-Valores!$C$59</f>
        <v>-210.54467155377603</v>
      </c>
      <c r="AS313" s="78">
        <f>AI313*-Valores!$C$60</f>
        <v>-23.393852394864002</v>
      </c>
      <c r="AT313" s="15">
        <f t="shared" si="50"/>
        <v>6462.8694746761603</v>
      </c>
      <c r="AU313" s="15">
        <f t="shared" si="51"/>
        <v>6579.8387366504803</v>
      </c>
      <c r="AV313" s="78">
        <f>AI313*Valores!$C$61</f>
        <v>1247.6721277260801</v>
      </c>
      <c r="AW313" s="78">
        <f>AI313*Valores!$C$62</f>
        <v>350.90778592295999</v>
      </c>
      <c r="AX313" s="78">
        <f>AI313*Valores!$C$64</f>
        <v>77.979507982880008</v>
      </c>
      <c r="AY313" s="78">
        <f>AI313*Valores!$C$65</f>
        <v>272.92827794008002</v>
      </c>
      <c r="AZ313" s="78">
        <f>AI313*Valores!$C$66</f>
        <v>46.787704789728004</v>
      </c>
      <c r="BA313" s="78">
        <f t="shared" si="53"/>
        <v>421.08934310755205</v>
      </c>
    </row>
    <row r="314" spans="1:56" ht="11.25" customHeight="1" x14ac:dyDescent="0.2">
      <c r="A314" s="20">
        <v>313</v>
      </c>
      <c r="B314" s="20"/>
      <c r="D314" s="24">
        <v>1</v>
      </c>
      <c r="E314" s="8" t="s">
        <v>426</v>
      </c>
      <c r="F314" s="36">
        <f t="shared" si="63"/>
        <v>1395</v>
      </c>
      <c r="G314" s="7">
        <f>INT((F314*Valores!$C$2*100*1.006901)+0.5)/100</f>
        <v>7341.7</v>
      </c>
      <c r="H314" s="132">
        <v>0</v>
      </c>
      <c r="I314" s="77">
        <f>INT((H314*Valores!$C$2*100*1.006901)+0.5)/100</f>
        <v>0</v>
      </c>
      <c r="J314" s="145">
        <v>0</v>
      </c>
      <c r="K314" s="77">
        <f>INT((J314*Valores!$C$2*100*1.006901)+0.5)/100</f>
        <v>0</v>
      </c>
      <c r="L314" s="120">
        <v>0</v>
      </c>
      <c r="M314" s="77">
        <f>INT((L314*Valores!$C$2*100*1.006901)+0.5)/100</f>
        <v>0</v>
      </c>
      <c r="N314" s="77">
        <f t="shared" si="60"/>
        <v>1144.263769314</v>
      </c>
      <c r="O314" s="77">
        <f t="shared" si="61"/>
        <v>0</v>
      </c>
      <c r="P314" s="61">
        <v>0</v>
      </c>
      <c r="Q314" s="61">
        <v>0</v>
      </c>
      <c r="R314" s="77">
        <v>0</v>
      </c>
      <c r="S314" s="79">
        <f>Valores!$C$45+S313</f>
        <v>286.72512876000002</v>
      </c>
      <c r="T314" s="79">
        <v>0</v>
      </c>
      <c r="U314" s="77">
        <f t="shared" si="62"/>
        <v>0</v>
      </c>
      <c r="V314" s="77">
        <v>0</v>
      </c>
      <c r="W314" s="77">
        <v>0</v>
      </c>
      <c r="X314" s="37">
        <v>0</v>
      </c>
      <c r="Y314" s="77">
        <f>X314*Valores!$C$2*1.006901</f>
        <v>0</v>
      </c>
      <c r="Z314" s="77">
        <v>0</v>
      </c>
      <c r="AA314" s="89">
        <v>0</v>
      </c>
      <c r="AB314" s="77">
        <f t="shared" si="48"/>
        <v>0</v>
      </c>
      <c r="AC314" s="77">
        <v>0</v>
      </c>
      <c r="AD314" s="116">
        <v>0</v>
      </c>
      <c r="AE314" s="77">
        <f>AD314*Valores!$C$2*1.006901</f>
        <v>0</v>
      </c>
      <c r="AF314" s="77"/>
      <c r="AG314" s="77"/>
      <c r="AH314" s="77">
        <f>SUM(G314,I314,K314,M314,N314,O314,P314,Q314,R314,S314,U314,V314,W314,Y314,Z314,AA314,AB314,AC314,AE314,AF314,AG314)*Valores!$C$54</f>
        <v>0</v>
      </c>
      <c r="AI314" s="139">
        <f t="shared" si="52"/>
        <v>8772.6888980739986</v>
      </c>
      <c r="AJ314" s="139"/>
      <c r="AK314" s="79">
        <f>Valores!$C$11+AK313</f>
        <v>77.118547590000006</v>
      </c>
      <c r="AL314" s="89">
        <v>0</v>
      </c>
      <c r="AM314" s="79">
        <f>IF($G$4="SI",SUM(AK314+AL314),AK314)*Valores!$C$54</f>
        <v>0</v>
      </c>
      <c r="AN314" s="12">
        <f t="shared" si="49"/>
        <v>77.118547590000006</v>
      </c>
      <c r="AO314" s="13">
        <f>AI314*-Valores!$C$56</f>
        <v>-1140.4495567496199</v>
      </c>
      <c r="AP314" s="13">
        <f>AI314*-Valores!$C$57</f>
        <v>-43.863444490369993</v>
      </c>
      <c r="AQ314" s="78">
        <f>AI314*-Valores!$C$58</f>
        <v>-394.77100041332994</v>
      </c>
      <c r="AR314" s="78">
        <f>AI314*-Valores!$C$59</f>
        <v>-236.86260024799799</v>
      </c>
      <c r="AS314" s="78">
        <f>AI314*-Valores!$C$60</f>
        <v>-26.318066694221997</v>
      </c>
      <c r="AT314" s="15">
        <f t="shared" si="50"/>
        <v>7270.7234440106804</v>
      </c>
      <c r="AU314" s="15">
        <f t="shared" si="51"/>
        <v>7402.3137774817906</v>
      </c>
      <c r="AV314" s="78">
        <f>AI314*Valores!$C$61</f>
        <v>1403.6302236918398</v>
      </c>
      <c r="AW314" s="78">
        <f>AI314*Valores!$C$62</f>
        <v>394.77100041332994</v>
      </c>
      <c r="AX314" s="78">
        <f>AI314*Valores!$C$64</f>
        <v>87.726888980739986</v>
      </c>
      <c r="AY314" s="78">
        <f>AI314*Valores!$C$65</f>
        <v>307.04411143259</v>
      </c>
      <c r="AZ314" s="78">
        <f>AI314*Valores!$C$66</f>
        <v>52.636133388443994</v>
      </c>
      <c r="BA314" s="78">
        <f t="shared" si="53"/>
        <v>473.72520049599598</v>
      </c>
      <c r="BC314" s="56"/>
    </row>
    <row r="315" spans="1:56" ht="11.25" customHeight="1" x14ac:dyDescent="0.2">
      <c r="A315" s="20">
        <v>314</v>
      </c>
      <c r="B315" s="20"/>
      <c r="D315" s="24">
        <v>1</v>
      </c>
      <c r="E315" s="8" t="s">
        <v>427</v>
      </c>
      <c r="F315" s="36">
        <f t="shared" si="63"/>
        <v>1550</v>
      </c>
      <c r="G315" s="7">
        <f>INT((F315*Valores!$C$2*100*1.006901)+0.5)/100</f>
        <v>8157.45</v>
      </c>
      <c r="H315" s="132">
        <v>0</v>
      </c>
      <c r="I315" s="77">
        <f>INT((H315*Valores!$C$2*100*1.006901)+0.5)/100</f>
        <v>0</v>
      </c>
      <c r="J315" s="145">
        <v>0</v>
      </c>
      <c r="K315" s="77">
        <f>INT((J315*Valores!$C$2*100*1.006901)+0.5)/100</f>
        <v>0</v>
      </c>
      <c r="L315" s="120">
        <v>0</v>
      </c>
      <c r="M315" s="77">
        <f>INT((L315*Valores!$C$2*100*1.006901)+0.5)/100</f>
        <v>0</v>
      </c>
      <c r="N315" s="77">
        <f t="shared" si="60"/>
        <v>1271.4050214599999</v>
      </c>
      <c r="O315" s="77">
        <f t="shared" si="61"/>
        <v>0</v>
      </c>
      <c r="P315" s="61">
        <v>0</v>
      </c>
      <c r="Q315" s="61">
        <v>0</v>
      </c>
      <c r="R315" s="77">
        <v>0</v>
      </c>
      <c r="S315" s="79">
        <f>Valores!$C$45+S314</f>
        <v>318.5834764</v>
      </c>
      <c r="T315" s="61">
        <v>0</v>
      </c>
      <c r="U315" s="77">
        <f t="shared" si="62"/>
        <v>0</v>
      </c>
      <c r="V315" s="77">
        <v>0</v>
      </c>
      <c r="W315" s="77">
        <v>0</v>
      </c>
      <c r="X315" s="37">
        <v>0</v>
      </c>
      <c r="Y315" s="77">
        <f>X315*Valores!$C$2*1.006901</f>
        <v>0</v>
      </c>
      <c r="Z315" s="77">
        <v>0</v>
      </c>
      <c r="AA315" s="89">
        <v>0</v>
      </c>
      <c r="AB315" s="77">
        <f t="shared" si="48"/>
        <v>0</v>
      </c>
      <c r="AC315" s="77">
        <v>0</v>
      </c>
      <c r="AD315" s="116">
        <v>0</v>
      </c>
      <c r="AE315" s="77">
        <f>AD315*Valores!$C$2*1.006901</f>
        <v>0</v>
      </c>
      <c r="AF315" s="77"/>
      <c r="AG315" s="77"/>
      <c r="AH315" s="77">
        <f>SUM(G315,I315,K315,M315,N315,O315,P315,Q315,R315,S315,U315,V315,W315,Y315,Z315,AA315,AB315,AC315,AE315,AF315,AG315)*Valores!$C$54</f>
        <v>0</v>
      </c>
      <c r="AI315" s="139">
        <f t="shared" si="52"/>
        <v>9747.4384978599992</v>
      </c>
      <c r="AJ315" s="139"/>
      <c r="AK315" s="79">
        <f>Valores!$C$11+AK314</f>
        <v>85.687275100000008</v>
      </c>
      <c r="AL315" s="89">
        <v>0</v>
      </c>
      <c r="AM315" s="79">
        <f>IF($G$4="SI",SUM(AK315+AL315),AK315)*Valores!$C$54</f>
        <v>0</v>
      </c>
      <c r="AN315" s="12">
        <f t="shared" si="49"/>
        <v>85.687275100000008</v>
      </c>
      <c r="AO315" s="13">
        <f>AI315*-Valores!$C$56</f>
        <v>-1267.1670047217999</v>
      </c>
      <c r="AP315" s="13">
        <f>AI315*-Valores!$C$57</f>
        <v>-48.7371924893</v>
      </c>
      <c r="AQ315" s="78">
        <f>AI315*-Valores!$C$58</f>
        <v>-438.63473240369996</v>
      </c>
      <c r="AR315" s="78">
        <f>AI315*-Valores!$C$59</f>
        <v>-263.18083944222002</v>
      </c>
      <c r="AS315" s="78">
        <f>AI315*-Valores!$C$60</f>
        <v>-29.242315493579998</v>
      </c>
      <c r="AT315" s="15">
        <f t="shared" si="50"/>
        <v>8078.5868433451997</v>
      </c>
      <c r="AU315" s="15">
        <f t="shared" si="51"/>
        <v>8224.7984208130983</v>
      </c>
      <c r="AV315" s="78">
        <f>AI315*Valores!$C$61</f>
        <v>1559.5901596576</v>
      </c>
      <c r="AW315" s="78">
        <f>AI315*Valores!$C$62</f>
        <v>438.63473240369996</v>
      </c>
      <c r="AX315" s="78">
        <f>AI315*Valores!$C$64</f>
        <v>97.4743849786</v>
      </c>
      <c r="AY315" s="78">
        <f>AI315*Valores!$C$65</f>
        <v>341.16034742509999</v>
      </c>
      <c r="AZ315" s="78">
        <f>AI315*Valores!$C$66</f>
        <v>58.484630987159996</v>
      </c>
      <c r="BA315" s="78">
        <f t="shared" si="53"/>
        <v>526.36167888443993</v>
      </c>
    </row>
    <row r="316" spans="1:56" ht="11.25" customHeight="1" x14ac:dyDescent="0.2">
      <c r="A316" s="55">
        <v>315</v>
      </c>
      <c r="B316" s="55" t="s">
        <v>462</v>
      </c>
      <c r="C316" s="59"/>
      <c r="D316" s="57">
        <v>1</v>
      </c>
      <c r="E316" s="58" t="s">
        <v>428</v>
      </c>
      <c r="F316" s="67">
        <f t="shared" si="63"/>
        <v>1705</v>
      </c>
      <c r="G316" s="7">
        <f>INT((F316*Valores!$C$2*100*1.006901)+0.5)/100</f>
        <v>8973.19</v>
      </c>
      <c r="H316" s="131">
        <v>0</v>
      </c>
      <c r="I316" s="77">
        <f>INT((H316*Valores!$C$2*100*1.006901)+0.5)/100</f>
        <v>0</v>
      </c>
      <c r="J316" s="146">
        <v>0</v>
      </c>
      <c r="K316" s="77">
        <f>INT((J316*Valores!$C$2*100*1.006901)+0.5)/100</f>
        <v>0</v>
      </c>
      <c r="L316" s="121">
        <v>0</v>
      </c>
      <c r="M316" s="77">
        <f>INT((L316*Valores!$C$2*100*1.006901)+0.5)/100</f>
        <v>0</v>
      </c>
      <c r="N316" s="80">
        <f t="shared" si="60"/>
        <v>1398.5447736059998</v>
      </c>
      <c r="O316" s="80">
        <f t="shared" si="61"/>
        <v>0</v>
      </c>
      <c r="P316" s="85">
        <v>0</v>
      </c>
      <c r="Q316" s="85">
        <v>0</v>
      </c>
      <c r="R316" s="80">
        <v>0</v>
      </c>
      <c r="S316" s="82">
        <f>Valores!$C$45+S315</f>
        <v>350.44182403999997</v>
      </c>
      <c r="T316" s="85">
        <v>0</v>
      </c>
      <c r="U316" s="80">
        <f t="shared" si="62"/>
        <v>0</v>
      </c>
      <c r="V316" s="80">
        <v>0</v>
      </c>
      <c r="W316" s="80">
        <v>0</v>
      </c>
      <c r="X316" s="60">
        <v>0</v>
      </c>
      <c r="Y316" s="77">
        <f>X316*Valores!$C$2*1.006901</f>
        <v>0</v>
      </c>
      <c r="Z316" s="80">
        <v>0</v>
      </c>
      <c r="AA316" s="90">
        <v>0</v>
      </c>
      <c r="AB316" s="80">
        <f t="shared" si="48"/>
        <v>0</v>
      </c>
      <c r="AC316" s="80">
        <v>0</v>
      </c>
      <c r="AD316" s="115">
        <v>0</v>
      </c>
      <c r="AE316" s="77">
        <f>AD316*Valores!$C$2*1.006901</f>
        <v>0</v>
      </c>
      <c r="AF316" s="80"/>
      <c r="AG316" s="80"/>
      <c r="AH316" s="80">
        <f>SUM(G316,I316,K316,M316,N316,O316,P316,Q316,R316,S316,U316,V316,W316,Y316,Z316,AA316,AB316,AC316,AE316,AF316,AG316)*Valores!$C$54</f>
        <v>0</v>
      </c>
      <c r="AI316" s="140">
        <f t="shared" si="52"/>
        <v>10722.176597645999</v>
      </c>
      <c r="AJ316" s="140"/>
      <c r="AK316" s="82">
        <f>Valores!$C$11+AK315</f>
        <v>94.25600261000001</v>
      </c>
      <c r="AL316" s="90">
        <v>0</v>
      </c>
      <c r="AM316" s="82">
        <f>IF($G$4="SI",SUM(AK316+AL316),AK316)*Valores!$C$54</f>
        <v>0</v>
      </c>
      <c r="AN316" s="184">
        <f t="shared" si="49"/>
        <v>94.25600261000001</v>
      </c>
      <c r="AO316" s="153">
        <f>AI316*-Valores!$C$56</f>
        <v>-1393.88295769398</v>
      </c>
      <c r="AP316" s="153">
        <f>AI316*-Valores!$C$57</f>
        <v>-53.610882988229996</v>
      </c>
      <c r="AQ316" s="81">
        <f>AI316*-Valores!$C$58</f>
        <v>-482.49794689406997</v>
      </c>
      <c r="AR316" s="81">
        <f>AI316*-Valores!$C$59</f>
        <v>-289.49876813644204</v>
      </c>
      <c r="AS316" s="81">
        <f>AI316*-Valores!$C$60</f>
        <v>-32.166529792938</v>
      </c>
      <c r="AT316" s="54">
        <f t="shared" si="50"/>
        <v>8886.4408126797189</v>
      </c>
      <c r="AU316" s="54">
        <f t="shared" si="51"/>
        <v>9047.2734616444086</v>
      </c>
      <c r="AV316" s="81">
        <f>AI316*Valores!$C$61</f>
        <v>1715.5482556233599</v>
      </c>
      <c r="AW316" s="81">
        <f>AI316*Valores!$C$62</f>
        <v>482.49794689406997</v>
      </c>
      <c r="AX316" s="81">
        <f>AI316*Valores!$C$64</f>
        <v>107.22176597645999</v>
      </c>
      <c r="AY316" s="81">
        <f>AI316*Valores!$C$65</f>
        <v>375.27618091761002</v>
      </c>
      <c r="AZ316" s="81">
        <f>AI316*Valores!$C$66</f>
        <v>64.333059585876001</v>
      </c>
      <c r="BA316" s="81">
        <f t="shared" si="53"/>
        <v>578.99753627288408</v>
      </c>
      <c r="BB316" s="56"/>
      <c r="BC316" s="56"/>
      <c r="BD316" s="52"/>
    </row>
    <row r="317" spans="1:56" ht="11.25" customHeight="1" x14ac:dyDescent="0.2">
      <c r="A317" s="20">
        <v>316</v>
      </c>
      <c r="B317" s="20"/>
      <c r="D317" s="24">
        <v>1</v>
      </c>
      <c r="E317" s="8" t="s">
        <v>429</v>
      </c>
      <c r="F317" s="36">
        <f t="shared" si="63"/>
        <v>1860</v>
      </c>
      <c r="G317" s="7">
        <f>INT((F317*Valores!$C$2*100*1.006901)+0.5)/100</f>
        <v>9788.94</v>
      </c>
      <c r="H317" s="132">
        <v>0</v>
      </c>
      <c r="I317" s="77">
        <f>INT((H317*Valores!$C$2*100*1.006901)+0.5)/100</f>
        <v>0</v>
      </c>
      <c r="J317" s="145">
        <v>0</v>
      </c>
      <c r="K317" s="77">
        <f>INT((J317*Valores!$C$2*100*1.006901)+0.5)/100</f>
        <v>0</v>
      </c>
      <c r="L317" s="120">
        <v>0</v>
      </c>
      <c r="M317" s="77">
        <f>INT((L317*Valores!$C$2*100*1.006901)+0.5)/100</f>
        <v>0</v>
      </c>
      <c r="N317" s="77">
        <f t="shared" si="60"/>
        <v>1525.6860257520002</v>
      </c>
      <c r="O317" s="77">
        <f t="shared" si="61"/>
        <v>0</v>
      </c>
      <c r="P317" s="61">
        <v>0</v>
      </c>
      <c r="Q317" s="61">
        <v>0</v>
      </c>
      <c r="R317" s="77">
        <v>0</v>
      </c>
      <c r="S317" s="79">
        <f>Valores!$C$45+S316</f>
        <v>382.30017167999995</v>
      </c>
      <c r="T317" s="61">
        <v>0</v>
      </c>
      <c r="U317" s="77">
        <f t="shared" si="62"/>
        <v>0</v>
      </c>
      <c r="V317" s="77">
        <v>0</v>
      </c>
      <c r="W317" s="77">
        <v>0</v>
      </c>
      <c r="X317" s="37">
        <v>0</v>
      </c>
      <c r="Y317" s="77">
        <f>X317*Valores!$C$2*1.006901</f>
        <v>0</v>
      </c>
      <c r="Z317" s="77">
        <v>0</v>
      </c>
      <c r="AA317" s="89">
        <v>0</v>
      </c>
      <c r="AB317" s="77">
        <f t="shared" si="48"/>
        <v>0</v>
      </c>
      <c r="AC317" s="77">
        <v>0</v>
      </c>
      <c r="AD317" s="116">
        <v>0</v>
      </c>
      <c r="AE317" s="77">
        <f>AD317*Valores!$C$2*1.006901</f>
        <v>0</v>
      </c>
      <c r="AF317" s="77"/>
      <c r="AG317" s="77"/>
      <c r="AH317" s="77">
        <f>SUM(G317,I317,K317,M317,N317,O317,P317,Q317,R317,S317,U317,V317,W317,Y317,Z317,AA317,AB317,AC317,AE317,AF317,AG317)*Valores!$C$54</f>
        <v>0</v>
      </c>
      <c r="AI317" s="139">
        <f t="shared" si="52"/>
        <v>11696.926197432</v>
      </c>
      <c r="AJ317" s="139"/>
      <c r="AK317" s="79">
        <f>Valores!$C$11+AK316</f>
        <v>102.82473012000001</v>
      </c>
      <c r="AL317" s="89">
        <v>0</v>
      </c>
      <c r="AM317" s="79">
        <f>IF($G$4="SI",SUM(AK317+AL317),AK317)*Valores!$C$54</f>
        <v>0</v>
      </c>
      <c r="AN317" s="12">
        <f t="shared" si="49"/>
        <v>102.82473012000001</v>
      </c>
      <c r="AO317" s="13">
        <f>AI317*-Valores!$C$56</f>
        <v>-1520.60040566616</v>
      </c>
      <c r="AP317" s="13">
        <f>AI317*-Valores!$C$57</f>
        <v>-58.484630987160003</v>
      </c>
      <c r="AQ317" s="78">
        <f>AI317*-Valores!$C$58</f>
        <v>-526.36167888443993</v>
      </c>
      <c r="AR317" s="78">
        <f>AI317*-Valores!$C$59</f>
        <v>-315.81700733066401</v>
      </c>
      <c r="AS317" s="78">
        <f>AI317*-Valores!$C$60</f>
        <v>-35.090778592295997</v>
      </c>
      <c r="AT317" s="15">
        <f t="shared" si="50"/>
        <v>9694.3042120142418</v>
      </c>
      <c r="AU317" s="15">
        <f t="shared" si="51"/>
        <v>9869.7581049757209</v>
      </c>
      <c r="AV317" s="78">
        <f>AI317*Valores!$C$61</f>
        <v>1871.5081915891201</v>
      </c>
      <c r="AW317" s="78">
        <f>AI317*Valores!$C$62</f>
        <v>526.36167888443993</v>
      </c>
      <c r="AX317" s="78">
        <f>AI317*Valores!$C$64</f>
        <v>116.96926197432001</v>
      </c>
      <c r="AY317" s="78">
        <f>AI317*Valores!$C$65</f>
        <v>409.39241691012001</v>
      </c>
      <c r="AZ317" s="78">
        <f>AI317*Valores!$C$66</f>
        <v>70.181557184591995</v>
      </c>
      <c r="BA317" s="78">
        <f t="shared" si="53"/>
        <v>631.63401466132802</v>
      </c>
    </row>
    <row r="318" spans="1:56" ht="11.25" customHeight="1" x14ac:dyDescent="0.2">
      <c r="A318" s="20">
        <v>317</v>
      </c>
      <c r="B318" s="20"/>
      <c r="D318" s="24">
        <v>1</v>
      </c>
      <c r="E318" s="8" t="s">
        <v>430</v>
      </c>
      <c r="F318" s="36">
        <f t="shared" si="63"/>
        <v>2015</v>
      </c>
      <c r="G318" s="7">
        <f>INT((F318*Valores!$C$2*100*1.006901)+0.5)/100</f>
        <v>10604.68</v>
      </c>
      <c r="H318" s="132">
        <v>0</v>
      </c>
      <c r="I318" s="77">
        <f>INT((H318*Valores!$C$2*100*1.006901)+0.5)/100</f>
        <v>0</v>
      </c>
      <c r="J318" s="145">
        <v>0</v>
      </c>
      <c r="K318" s="77">
        <f>INT((J318*Valores!$C$2*100*1.006901)+0.5)/100</f>
        <v>0</v>
      </c>
      <c r="L318" s="120">
        <v>0</v>
      </c>
      <c r="M318" s="77">
        <f>INT((L318*Valores!$C$2*100*1.006901)+0.5)/100</f>
        <v>0</v>
      </c>
      <c r="N318" s="77">
        <f t="shared" si="60"/>
        <v>1652.8257778980001</v>
      </c>
      <c r="O318" s="77">
        <f t="shared" si="61"/>
        <v>0</v>
      </c>
      <c r="P318" s="61">
        <v>0</v>
      </c>
      <c r="Q318" s="61">
        <v>0</v>
      </c>
      <c r="R318" s="77">
        <v>0</v>
      </c>
      <c r="S318" s="79">
        <f>Valores!$C$45+S317</f>
        <v>414.15851931999993</v>
      </c>
      <c r="T318" s="61">
        <v>0</v>
      </c>
      <c r="U318" s="77">
        <f t="shared" si="62"/>
        <v>0</v>
      </c>
      <c r="V318" s="77">
        <v>0</v>
      </c>
      <c r="W318" s="77">
        <v>0</v>
      </c>
      <c r="X318" s="37">
        <v>0</v>
      </c>
      <c r="Y318" s="77">
        <f>X318*Valores!$C$2*1.006901</f>
        <v>0</v>
      </c>
      <c r="Z318" s="77">
        <v>0</v>
      </c>
      <c r="AA318" s="89">
        <v>0</v>
      </c>
      <c r="AB318" s="77">
        <f t="shared" si="48"/>
        <v>0</v>
      </c>
      <c r="AC318" s="77">
        <v>0</v>
      </c>
      <c r="AD318" s="116">
        <v>0</v>
      </c>
      <c r="AE318" s="77">
        <f>AD318*Valores!$C$2*1.006901</f>
        <v>0</v>
      </c>
      <c r="AF318" s="77"/>
      <c r="AG318" s="77"/>
      <c r="AH318" s="77">
        <f>SUM(G318,I318,K318,M318,N318,O318,P318,Q318,R318,S318,U318,V318,W318,Y318,Z318,AA318,AB318,AC318,AE318,AF318,AG318)*Valores!$C$54</f>
        <v>0</v>
      </c>
      <c r="AI318" s="139">
        <f t="shared" si="52"/>
        <v>12671.664297218002</v>
      </c>
      <c r="AJ318" s="139"/>
      <c r="AK318" s="79">
        <f>Valores!$C$11+AK317</f>
        <v>111.39345763000001</v>
      </c>
      <c r="AL318" s="89">
        <v>0</v>
      </c>
      <c r="AM318" s="79">
        <f>IF($G$4="SI",SUM(AK318+AL318),AK318)*Valores!$C$54</f>
        <v>0</v>
      </c>
      <c r="AN318" s="12">
        <f t="shared" si="49"/>
        <v>111.39345763000001</v>
      </c>
      <c r="AO318" s="13">
        <f>AI318*-Valores!$C$56</f>
        <v>-1647.3163586383403</v>
      </c>
      <c r="AP318" s="13">
        <f>AI318*-Valores!$C$57</f>
        <v>-63.358321486090013</v>
      </c>
      <c r="AQ318" s="78">
        <f>AI318*-Valores!$C$58</f>
        <v>-570.22489337480999</v>
      </c>
      <c r="AR318" s="78">
        <f>AI318*-Valores!$C$59</f>
        <v>-342.13493602488609</v>
      </c>
      <c r="AS318" s="78">
        <f>AI318*-Valores!$C$60</f>
        <v>-38.014992891654003</v>
      </c>
      <c r="AT318" s="15">
        <f t="shared" si="50"/>
        <v>10502.158181348761</v>
      </c>
      <c r="AU318" s="15">
        <f t="shared" si="51"/>
        <v>10692.233145807031</v>
      </c>
      <c r="AV318" s="78">
        <f>AI318*Valores!$C$61</f>
        <v>2027.4662875548804</v>
      </c>
      <c r="AW318" s="78">
        <f>AI318*Valores!$C$62</f>
        <v>570.22489337480999</v>
      </c>
      <c r="AX318" s="78">
        <f>AI318*Valores!$C$64</f>
        <v>126.71664297218003</v>
      </c>
      <c r="AY318" s="78">
        <f>AI318*Valores!$C$65</f>
        <v>443.5082504026301</v>
      </c>
      <c r="AZ318" s="78">
        <f>AI318*Valores!$C$66</f>
        <v>76.029985783308007</v>
      </c>
      <c r="BA318" s="78">
        <f t="shared" si="53"/>
        <v>684.26987204977206</v>
      </c>
    </row>
    <row r="319" spans="1:56" ht="11.25" customHeight="1" x14ac:dyDescent="0.2">
      <c r="A319" s="20">
        <v>318</v>
      </c>
      <c r="B319" s="20"/>
      <c r="D319" s="24">
        <v>1</v>
      </c>
      <c r="E319" s="8" t="s">
        <v>431</v>
      </c>
      <c r="F319" s="36">
        <f t="shared" si="63"/>
        <v>2170</v>
      </c>
      <c r="G319" s="7">
        <f>INT((F319*Valores!$C$2*100*1.006901)+0.5)/100</f>
        <v>11420.43</v>
      </c>
      <c r="H319" s="132">
        <v>0</v>
      </c>
      <c r="I319" s="77">
        <f>INT((H319*Valores!$C$2*100*1.006901)+0.5)/100</f>
        <v>0</v>
      </c>
      <c r="J319" s="145">
        <v>0</v>
      </c>
      <c r="K319" s="77">
        <f>INT((J319*Valores!$C$2*100*1.006901)+0.5)/100</f>
        <v>0</v>
      </c>
      <c r="L319" s="120">
        <v>0</v>
      </c>
      <c r="M319" s="77">
        <f>INT((L319*Valores!$C$2*100*1.006901)+0.5)/100</f>
        <v>0</v>
      </c>
      <c r="N319" s="77">
        <f t="shared" si="60"/>
        <v>1779.967030044</v>
      </c>
      <c r="O319" s="77">
        <f t="shared" si="61"/>
        <v>0</v>
      </c>
      <c r="P319" s="61">
        <v>0</v>
      </c>
      <c r="Q319" s="61">
        <v>0</v>
      </c>
      <c r="R319" s="77">
        <v>0</v>
      </c>
      <c r="S319" s="79">
        <f>Valores!$C$45+S318</f>
        <v>446.0168669599999</v>
      </c>
      <c r="T319" s="79">
        <v>0</v>
      </c>
      <c r="U319" s="77">
        <f t="shared" si="62"/>
        <v>0</v>
      </c>
      <c r="V319" s="77">
        <v>0</v>
      </c>
      <c r="W319" s="77">
        <v>0</v>
      </c>
      <c r="X319" s="37">
        <v>0</v>
      </c>
      <c r="Y319" s="77">
        <f>X319*Valores!$C$2*1.006901</f>
        <v>0</v>
      </c>
      <c r="Z319" s="77">
        <v>0</v>
      </c>
      <c r="AA319" s="89">
        <v>0</v>
      </c>
      <c r="AB319" s="77">
        <f t="shared" si="48"/>
        <v>0</v>
      </c>
      <c r="AC319" s="77">
        <v>0</v>
      </c>
      <c r="AD319" s="116">
        <v>0</v>
      </c>
      <c r="AE319" s="77">
        <f>AD319*Valores!$C$2*1.006901</f>
        <v>0</v>
      </c>
      <c r="AF319" s="77"/>
      <c r="AG319" s="77"/>
      <c r="AH319" s="77">
        <f>SUM(G319,I319,K319,M319,N319,O319,P319,Q319,R319,S319,U319,V319,W319,Y319,Z319,AA319,AB319,AC319,AE319,AF319,AG319)*Valores!$C$54</f>
        <v>0</v>
      </c>
      <c r="AI319" s="139">
        <f t="shared" si="52"/>
        <v>13646.413897004</v>
      </c>
      <c r="AJ319" s="139"/>
      <c r="AK319" s="79">
        <f>Valores!$C$11+AK318</f>
        <v>119.96218514000002</v>
      </c>
      <c r="AL319" s="89">
        <v>0</v>
      </c>
      <c r="AM319" s="79">
        <f>IF($G$4="SI",SUM(AK319+AL319),AK319)*Valores!$C$54</f>
        <v>0</v>
      </c>
      <c r="AN319" s="12">
        <f t="shared" si="49"/>
        <v>119.96218514000002</v>
      </c>
      <c r="AO319" s="13">
        <f>AI319*-Valores!$C$56</f>
        <v>-1774.0338066105201</v>
      </c>
      <c r="AP319" s="13">
        <f>AI319*-Valores!$C$57</f>
        <v>-68.232069485020006</v>
      </c>
      <c r="AQ319" s="78">
        <f>AI319*-Valores!$C$58</f>
        <v>-614.08862536517995</v>
      </c>
      <c r="AR319" s="78">
        <f>AI319*-Valores!$C$59</f>
        <v>-368.45317521910806</v>
      </c>
      <c r="AS319" s="78">
        <f>AI319*-Valores!$C$60</f>
        <v>-40.939241691012001</v>
      </c>
      <c r="AT319" s="15">
        <f t="shared" si="50"/>
        <v>11310.02158068328</v>
      </c>
      <c r="AU319" s="15">
        <f t="shared" si="51"/>
        <v>11514.71778913834</v>
      </c>
      <c r="AV319" s="78">
        <f>AI319*Valores!$C$61</f>
        <v>2183.4262235206402</v>
      </c>
      <c r="AW319" s="78">
        <f>AI319*Valores!$C$62</f>
        <v>614.08862536517995</v>
      </c>
      <c r="AX319" s="78">
        <f>AI319*Valores!$C$64</f>
        <v>136.46413897004001</v>
      </c>
      <c r="AY319" s="78">
        <f>AI319*Valores!$C$65</f>
        <v>477.62448639514008</v>
      </c>
      <c r="AZ319" s="78">
        <f>AI319*Valores!$C$66</f>
        <v>81.878483382024001</v>
      </c>
      <c r="BA319" s="78">
        <f t="shared" si="53"/>
        <v>736.90635043821601</v>
      </c>
      <c r="BC319" s="56"/>
    </row>
    <row r="320" spans="1:56" ht="11.25" customHeight="1" x14ac:dyDescent="0.2">
      <c r="A320" s="20">
        <v>319</v>
      </c>
      <c r="B320" s="20"/>
      <c r="D320" s="24">
        <v>1</v>
      </c>
      <c r="E320" s="8" t="s">
        <v>432</v>
      </c>
      <c r="F320" s="36">
        <f t="shared" si="63"/>
        <v>2325</v>
      </c>
      <c r="G320" s="7">
        <f>INT((F320*Valores!$C$2*100*1.006901)+0.5)/100</f>
        <v>12236.17</v>
      </c>
      <c r="H320" s="132">
        <v>0</v>
      </c>
      <c r="I320" s="77">
        <f>INT((H320*Valores!$C$2*100*1.006901)+0.5)/100</f>
        <v>0</v>
      </c>
      <c r="J320" s="145">
        <v>0</v>
      </c>
      <c r="K320" s="77">
        <f>INT((J320*Valores!$C$2*100*1.006901)+0.5)/100</f>
        <v>0</v>
      </c>
      <c r="L320" s="120">
        <v>0</v>
      </c>
      <c r="M320" s="77">
        <f>INT((L320*Valores!$C$2*100*1.006901)+0.5)/100</f>
        <v>0</v>
      </c>
      <c r="N320" s="77">
        <f t="shared" si="60"/>
        <v>1907.1067821900001</v>
      </c>
      <c r="O320" s="77">
        <f t="shared" si="61"/>
        <v>0</v>
      </c>
      <c r="P320" s="61">
        <v>0</v>
      </c>
      <c r="Q320" s="61">
        <v>0</v>
      </c>
      <c r="R320" s="77">
        <v>0</v>
      </c>
      <c r="S320" s="79">
        <f>Valores!$C$45+S319</f>
        <v>477.87521459999988</v>
      </c>
      <c r="T320" s="61">
        <v>0</v>
      </c>
      <c r="U320" s="77">
        <f t="shared" si="62"/>
        <v>0</v>
      </c>
      <c r="V320" s="77">
        <v>0</v>
      </c>
      <c r="W320" s="77">
        <v>0</v>
      </c>
      <c r="X320" s="37">
        <v>0</v>
      </c>
      <c r="Y320" s="77">
        <f>X320*Valores!$C$2*1.006901</f>
        <v>0</v>
      </c>
      <c r="Z320" s="77">
        <v>0</v>
      </c>
      <c r="AA320" s="89">
        <v>0</v>
      </c>
      <c r="AB320" s="77">
        <f t="shared" si="48"/>
        <v>0</v>
      </c>
      <c r="AC320" s="77">
        <v>0</v>
      </c>
      <c r="AD320" s="116">
        <v>0</v>
      </c>
      <c r="AE320" s="77">
        <f>AD320*Valores!$C$2*1.006901</f>
        <v>0</v>
      </c>
      <c r="AF320" s="77"/>
      <c r="AG320" s="77"/>
      <c r="AH320" s="77">
        <f>SUM(G320,I320,K320,M320,N320,O320,P320,Q320,R320,S320,U320,V320,W320,Y320,Z320,AA320,AB320,AC320,AE320,AF320,AG320)*Valores!$C$54</f>
        <v>0</v>
      </c>
      <c r="AI320" s="139">
        <f t="shared" si="52"/>
        <v>14621.15199679</v>
      </c>
      <c r="AJ320" s="139"/>
      <c r="AK320" s="79">
        <f>Valores!$C$11+AK319</f>
        <v>128.53091265</v>
      </c>
      <c r="AL320" s="89">
        <v>0</v>
      </c>
      <c r="AM320" s="79">
        <f>IF($G$4="SI",SUM(AK320+AL320),AK320)*Valores!$C$54</f>
        <v>0</v>
      </c>
      <c r="AN320" s="12">
        <f t="shared" si="49"/>
        <v>128.53091265</v>
      </c>
      <c r="AO320" s="13">
        <f>AI320*-Valores!$C$56</f>
        <v>-1900.7497595827001</v>
      </c>
      <c r="AP320" s="13">
        <f>AI320*-Valores!$C$57</f>
        <v>-73.105759983950009</v>
      </c>
      <c r="AQ320" s="78">
        <f>AI320*-Valores!$C$58</f>
        <v>-657.95183985555002</v>
      </c>
      <c r="AR320" s="78">
        <f>AI320*-Valores!$C$59</f>
        <v>-394.77110391333008</v>
      </c>
      <c r="AS320" s="78">
        <f>AI320*-Valores!$C$60</f>
        <v>-43.863455990369999</v>
      </c>
      <c r="AT320" s="15">
        <f t="shared" si="50"/>
        <v>12117.875550017799</v>
      </c>
      <c r="AU320" s="15">
        <f t="shared" si="51"/>
        <v>12337.19282996965</v>
      </c>
      <c r="AV320" s="78">
        <f>AI320*Valores!$C$61</f>
        <v>2339.3843194864003</v>
      </c>
      <c r="AW320" s="78">
        <f>AI320*Valores!$C$62</f>
        <v>657.95183985555002</v>
      </c>
      <c r="AX320" s="78">
        <f>AI320*Valores!$C$64</f>
        <v>146.21151996790002</v>
      </c>
      <c r="AY320" s="78">
        <f>AI320*Valores!$C$65</f>
        <v>511.74031988765006</v>
      </c>
      <c r="AZ320" s="78">
        <f>AI320*Valores!$C$66</f>
        <v>87.726911980739999</v>
      </c>
      <c r="BA320" s="78">
        <f t="shared" si="53"/>
        <v>789.54220782666005</v>
      </c>
    </row>
    <row r="321" spans="1:56" ht="11.25" customHeight="1" x14ac:dyDescent="0.2">
      <c r="A321" s="55">
        <v>320</v>
      </c>
      <c r="B321" s="55" t="s">
        <v>462</v>
      </c>
      <c r="C321" s="59"/>
      <c r="D321" s="24">
        <v>1</v>
      </c>
      <c r="E321" s="58" t="s">
        <v>433</v>
      </c>
      <c r="F321" s="67">
        <f>155+F320</f>
        <v>2480</v>
      </c>
      <c r="G321" s="7">
        <f>INT((F321*Valores!$C$2*100*1.006901)+0.5)/100</f>
        <v>13051.92</v>
      </c>
      <c r="H321" s="131">
        <v>0</v>
      </c>
      <c r="I321" s="77">
        <f>INT((H321*Valores!$C$2*100*1.006901)+0.5)/100</f>
        <v>0</v>
      </c>
      <c r="J321" s="146">
        <v>0</v>
      </c>
      <c r="K321" s="77">
        <f>INT((J321*Valores!$C$2*100*1.006901)+0.5)/100</f>
        <v>0</v>
      </c>
      <c r="L321" s="121">
        <v>0</v>
      </c>
      <c r="M321" s="77">
        <f>INT((L321*Valores!$C$2*100*1.006901)+0.5)/100</f>
        <v>0</v>
      </c>
      <c r="N321" s="80">
        <f t="shared" si="60"/>
        <v>2034.248034336</v>
      </c>
      <c r="O321" s="80">
        <f t="shared" si="61"/>
        <v>0</v>
      </c>
      <c r="P321" s="85">
        <v>0</v>
      </c>
      <c r="Q321" s="85">
        <v>0</v>
      </c>
      <c r="R321" s="80">
        <v>0</v>
      </c>
      <c r="S321" s="82">
        <f>Valores!$C$45+S320</f>
        <v>509.73356223999986</v>
      </c>
      <c r="T321" s="85">
        <v>0</v>
      </c>
      <c r="U321" s="80">
        <f t="shared" si="62"/>
        <v>0</v>
      </c>
      <c r="V321" s="80">
        <v>0</v>
      </c>
      <c r="W321" s="80">
        <v>0</v>
      </c>
      <c r="X321" s="60">
        <v>0</v>
      </c>
      <c r="Y321" s="77">
        <f>X321*Valores!$C$2*1.006901</f>
        <v>0</v>
      </c>
      <c r="Z321" s="80">
        <v>0</v>
      </c>
      <c r="AA321" s="90">
        <v>0</v>
      </c>
      <c r="AB321" s="80">
        <f t="shared" si="48"/>
        <v>0</v>
      </c>
      <c r="AC321" s="80">
        <v>0</v>
      </c>
      <c r="AD321" s="115">
        <v>0</v>
      </c>
      <c r="AE321" s="77">
        <f>AD321*Valores!$C$2*1.006901</f>
        <v>0</v>
      </c>
      <c r="AF321" s="80"/>
      <c r="AG321" s="80"/>
      <c r="AH321" s="80">
        <f>SUM(G321,I321,K321,M321,N321,O321,P321,Q321,R321,S321,U321,V321,W321,Y321,Z321,AA321,AB321,AC321,AE321,AF321,AG321)*Valores!$C$54</f>
        <v>0</v>
      </c>
      <c r="AI321" s="140">
        <f t="shared" si="52"/>
        <v>15595.901596576001</v>
      </c>
      <c r="AJ321" s="140"/>
      <c r="AK321" s="82">
        <f>Valores!$C$11+AK320</f>
        <v>137.09964016000001</v>
      </c>
      <c r="AL321" s="90">
        <v>0</v>
      </c>
      <c r="AM321" s="82">
        <f>IF($G$4="SI",SUM(AK321+AL321),AK321)*Valores!$C$54</f>
        <v>0</v>
      </c>
      <c r="AN321" s="184">
        <f t="shared" si="49"/>
        <v>137.09964016000001</v>
      </c>
      <c r="AO321" s="153">
        <f>AI321*-Valores!$C$56</f>
        <v>-2027.4672075548801</v>
      </c>
      <c r="AP321" s="153">
        <f>AI321*-Valores!$C$57</f>
        <v>-77.979507982880008</v>
      </c>
      <c r="AQ321" s="81">
        <f>AI321*-Valores!$C$58</f>
        <v>-701.81557184591998</v>
      </c>
      <c r="AR321" s="81">
        <f>AI321*-Valores!$C$59</f>
        <v>-421.08934310755205</v>
      </c>
      <c r="AS321" s="81">
        <f>AI321*-Valores!$C$60</f>
        <v>-46.787704789728004</v>
      </c>
      <c r="AT321" s="54">
        <f t="shared" si="50"/>
        <v>12925.738949352321</v>
      </c>
      <c r="AU321" s="54">
        <f t="shared" si="51"/>
        <v>13159.677473300961</v>
      </c>
      <c r="AV321" s="81">
        <f>AI321*Valores!$C$61</f>
        <v>2495.3442554521603</v>
      </c>
      <c r="AW321" s="81">
        <f>AI321*Valores!$C$62</f>
        <v>701.81557184591998</v>
      </c>
      <c r="AX321" s="81">
        <f>AI321*Valores!$C$64</f>
        <v>155.95901596576002</v>
      </c>
      <c r="AY321" s="81">
        <f>AI321*Valores!$C$65</f>
        <v>545.85655588016004</v>
      </c>
      <c r="AZ321" s="81">
        <f>AI321*Valores!$C$66</f>
        <v>93.575409579456007</v>
      </c>
      <c r="BA321" s="81">
        <f t="shared" si="53"/>
        <v>842.17868621510411</v>
      </c>
      <c r="BB321" s="56"/>
      <c r="BC321" s="56"/>
      <c r="BD321" s="52"/>
    </row>
    <row r="322" spans="1:56" ht="11.25" customHeight="1" x14ac:dyDescent="0.2">
      <c r="A322" s="20">
        <v>321</v>
      </c>
      <c r="B322" s="20"/>
      <c r="C322" s="26" t="s">
        <v>443</v>
      </c>
      <c r="D322" s="24">
        <v>1</v>
      </c>
      <c r="E322" s="8" t="s">
        <v>434</v>
      </c>
      <c r="F322" s="36">
        <f>232+8</f>
        <v>240</v>
      </c>
      <c r="G322" s="7">
        <f>INT((F322*Valores!$C$2*100*1.006901)+0.5)/100</f>
        <v>1263.0899999999999</v>
      </c>
      <c r="H322" s="132">
        <v>0</v>
      </c>
      <c r="I322" s="77">
        <f>INT((H322*Valores!$C$2*100*1.006901)+0.5)/100</f>
        <v>0</v>
      </c>
      <c r="J322" s="145">
        <v>0</v>
      </c>
      <c r="K322" s="77">
        <f>INT((J322*Valores!$C$2*100*1.006901)+0.5)/100</f>
        <v>0</v>
      </c>
      <c r="L322" s="120">
        <v>0</v>
      </c>
      <c r="M322" s="77">
        <f>INT((L322*Valores!$C$2*100*1.006901)+0.5)/100</f>
        <v>0</v>
      </c>
      <c r="N322" s="77">
        <f t="shared" si="60"/>
        <v>0</v>
      </c>
      <c r="O322" s="77">
        <f t="shared" si="61"/>
        <v>0</v>
      </c>
      <c r="P322" s="61">
        <v>0</v>
      </c>
      <c r="Q322" s="61">
        <v>0</v>
      </c>
      <c r="R322" s="77">
        <v>0</v>
      </c>
      <c r="S322" s="79">
        <f>Valores!$C$46</f>
        <v>76.423785900000013</v>
      </c>
      <c r="T322" s="61">
        <v>0</v>
      </c>
      <c r="U322" s="77">
        <f t="shared" si="62"/>
        <v>0</v>
      </c>
      <c r="V322" s="77">
        <v>0</v>
      </c>
      <c r="W322" s="77">
        <v>0</v>
      </c>
      <c r="X322" s="37">
        <v>0</v>
      </c>
      <c r="Y322" s="77">
        <f>X322*Valores!$C$2*1.006901</f>
        <v>0</v>
      </c>
      <c r="Z322" s="77">
        <v>0</v>
      </c>
      <c r="AA322" s="89">
        <v>0</v>
      </c>
      <c r="AB322" s="77">
        <f t="shared" ref="AB322:AB327" si="64">SUM(G322,I322,K322,Y322,S322,M322)*$G$3/100</f>
        <v>0</v>
      </c>
      <c r="AC322" s="77">
        <v>0</v>
      </c>
      <c r="AD322" s="116">
        <v>0</v>
      </c>
      <c r="AE322" s="77">
        <f>AD322*Valores!$C$2*1.006901</f>
        <v>0</v>
      </c>
      <c r="AF322" s="77"/>
      <c r="AG322" s="77"/>
      <c r="AH322" s="77">
        <f>SUM(G322,I322,K322,M322,N322,O322,P322,Q322,R322,S322,U322,V322,W322,Y322,Z322,AA322,AB322,AC322,AE322,AF322,AG322)*Valores!$C$54</f>
        <v>0</v>
      </c>
      <c r="AI322" s="139">
        <f t="shared" si="52"/>
        <v>1339.5137858999999</v>
      </c>
      <c r="AJ322" s="139"/>
      <c r="AK322" s="79">
        <f>Valores!$C$12</f>
        <v>20.560918420000004</v>
      </c>
      <c r="AL322" s="89">
        <v>0</v>
      </c>
      <c r="AM322" s="79">
        <f>IF($G$4="SI",SUM(AK322+AL322),AK322)*Valores!$C$54</f>
        <v>0</v>
      </c>
      <c r="AN322" s="12">
        <f t="shared" si="49"/>
        <v>20.560918420000004</v>
      </c>
      <c r="AO322" s="13">
        <f>AI322*-Valores!$C$56</f>
        <v>-174.13679216699998</v>
      </c>
      <c r="AP322" s="13">
        <f>AI322*-Valores!$C$57</f>
        <v>-6.6975689295</v>
      </c>
      <c r="AQ322" s="78">
        <f>AI322*-Valores!$C$58</f>
        <v>-60.278120365499994</v>
      </c>
      <c r="AR322" s="78">
        <f>AI322*-Valores!$C$59</f>
        <v>-36.166872219300004</v>
      </c>
      <c r="AS322" s="78">
        <f>AI322*-Valores!$C$60</f>
        <v>-4.0185413577000002</v>
      </c>
      <c r="AT322" s="15">
        <f t="shared" si="50"/>
        <v>1118.9622228579999</v>
      </c>
      <c r="AU322" s="15">
        <f t="shared" si="51"/>
        <v>1139.0549296464997</v>
      </c>
      <c r="AV322" s="78">
        <f>AI322*Valores!$C$61</f>
        <v>214.322205744</v>
      </c>
      <c r="AW322" s="78">
        <f>AI322*Valores!$C$62</f>
        <v>60.278120365499994</v>
      </c>
      <c r="AX322" s="78">
        <f>AI322*Valores!$C$64</f>
        <v>13.395137859</v>
      </c>
      <c r="AY322" s="78">
        <f>AI322*Valores!$C$65</f>
        <v>46.882982506499999</v>
      </c>
      <c r="AZ322" s="78">
        <f>AI322*Valores!$C$66</f>
        <v>8.0370827154000004</v>
      </c>
      <c r="BA322" s="78">
        <f t="shared" si="53"/>
        <v>72.333744438599993</v>
      </c>
      <c r="BD322" s="9" t="s">
        <v>467</v>
      </c>
    </row>
    <row r="323" spans="1:56" ht="11.25" customHeight="1" x14ac:dyDescent="0.2">
      <c r="A323" s="20">
        <v>322</v>
      </c>
      <c r="B323" s="20"/>
      <c r="C323" s="38" t="s">
        <v>443</v>
      </c>
      <c r="D323" s="24">
        <v>1</v>
      </c>
      <c r="E323" s="8" t="s">
        <v>435</v>
      </c>
      <c r="F323" s="36">
        <f>208+8</f>
        <v>216</v>
      </c>
      <c r="G323" s="7">
        <f>INT((F323*Valores!$C$2*100*1.006901)+0.5)/100</f>
        <v>1136.78</v>
      </c>
      <c r="H323" s="132">
        <v>0</v>
      </c>
      <c r="I323" s="77">
        <f>INT((H323*Valores!$C$2*100*1.006901)+0.5)/100</f>
        <v>0</v>
      </c>
      <c r="J323" s="145">
        <v>0</v>
      </c>
      <c r="K323" s="77">
        <f>INT((J323*Valores!$C$2*100*1.006901)+0.5)/100</f>
        <v>0</v>
      </c>
      <c r="L323" s="120">
        <v>0</v>
      </c>
      <c r="M323" s="77">
        <f>INT((L323*Valores!$C$2*100*1.006901)+0.5)/100</f>
        <v>0</v>
      </c>
      <c r="N323" s="77">
        <f t="shared" si="60"/>
        <v>0</v>
      </c>
      <c r="O323" s="77">
        <f t="shared" si="61"/>
        <v>0</v>
      </c>
      <c r="P323" s="61">
        <v>0</v>
      </c>
      <c r="Q323" s="61">
        <v>0</v>
      </c>
      <c r="R323" s="77">
        <v>0</v>
      </c>
      <c r="S323" s="79">
        <f>Valores!$C$46</f>
        <v>76.423785900000013</v>
      </c>
      <c r="T323" s="61">
        <v>0</v>
      </c>
      <c r="U323" s="77">
        <f t="shared" si="62"/>
        <v>0</v>
      </c>
      <c r="V323" s="77">
        <v>0</v>
      </c>
      <c r="W323" s="77">
        <v>0</v>
      </c>
      <c r="X323" s="37">
        <v>0</v>
      </c>
      <c r="Y323" s="77">
        <f>X323*Valores!$C$2*1.006901</f>
        <v>0</v>
      </c>
      <c r="Z323" s="77">
        <v>0</v>
      </c>
      <c r="AA323" s="89">
        <v>0</v>
      </c>
      <c r="AB323" s="77">
        <f t="shared" si="64"/>
        <v>0</v>
      </c>
      <c r="AC323" s="77">
        <v>0</v>
      </c>
      <c r="AD323" s="116">
        <v>0</v>
      </c>
      <c r="AE323" s="77">
        <f>AD323*Valores!$C$2*1.006901</f>
        <v>0</v>
      </c>
      <c r="AF323" s="77"/>
      <c r="AG323" s="77"/>
      <c r="AH323" s="77">
        <f>SUM(G323,I323,K323,M323,N323,O323,P323,Q323,R323,S323,U323,V323,W323,Y323,Z323,AA323,AB323,AC323,AE323,AF323,AG323)*Valores!$C$54</f>
        <v>0</v>
      </c>
      <c r="AI323" s="139">
        <f t="shared" si="52"/>
        <v>1213.2037859</v>
      </c>
      <c r="AJ323" s="139"/>
      <c r="AK323" s="79">
        <f>Valores!$C$12</f>
        <v>20.560918420000004</v>
      </c>
      <c r="AL323" s="89">
        <v>0</v>
      </c>
      <c r="AM323" s="79">
        <f>IF($G$4="SI",SUM(AK323+AL323),AK323)*Valores!$C$54</f>
        <v>0</v>
      </c>
      <c r="AN323" s="12">
        <f t="shared" si="49"/>
        <v>20.560918420000004</v>
      </c>
      <c r="AO323" s="13">
        <f>AI323*-Valores!$C$56</f>
        <v>-157.71649216700001</v>
      </c>
      <c r="AP323" s="13">
        <f>AI323*-Valores!$C$57</f>
        <v>-6.0660189295000002</v>
      </c>
      <c r="AQ323" s="78">
        <f>AI323*-Valores!$C$58</f>
        <v>-54.594170365499998</v>
      </c>
      <c r="AR323" s="78">
        <f>AI323*-Valores!$C$59</f>
        <v>-32.756502219300003</v>
      </c>
      <c r="AS323" s="78">
        <f>AI323*-Valores!$C$60</f>
        <v>-3.6396113576999998</v>
      </c>
      <c r="AT323" s="15">
        <f t="shared" si="50"/>
        <v>1015.3880228579999</v>
      </c>
      <c r="AU323" s="15">
        <f t="shared" si="51"/>
        <v>1033.5860796464999</v>
      </c>
      <c r="AV323" s="78">
        <f>AI323*Valores!$C$61</f>
        <v>194.11260574400001</v>
      </c>
      <c r="AW323" s="78">
        <f>AI323*Valores!$C$62</f>
        <v>54.594170365499998</v>
      </c>
      <c r="AX323" s="78">
        <f>AI323*Valores!$C$64</f>
        <v>12.132037859</v>
      </c>
      <c r="AY323" s="78">
        <f>AI323*Valores!$C$65</f>
        <v>42.462132506500005</v>
      </c>
      <c r="AZ323" s="78">
        <f>AI323*Valores!$C$66</f>
        <v>7.2792227153999995</v>
      </c>
      <c r="BA323" s="78">
        <f t="shared" si="53"/>
        <v>65.513004438600007</v>
      </c>
      <c r="BD323" s="9" t="s">
        <v>467</v>
      </c>
    </row>
    <row r="324" spans="1:56" ht="11.25" customHeight="1" x14ac:dyDescent="0.2">
      <c r="A324" s="20">
        <v>323</v>
      </c>
      <c r="B324" s="20"/>
      <c r="C324" s="38" t="s">
        <v>443</v>
      </c>
      <c r="D324" s="24">
        <v>1</v>
      </c>
      <c r="E324" s="8" t="s">
        <v>436</v>
      </c>
      <c r="F324" s="36">
        <f>194+8</f>
        <v>202</v>
      </c>
      <c r="G324" s="7">
        <f>INT((F324*Valores!$C$2*100*1.006901)+0.5)/100</f>
        <v>1063.0999999999999</v>
      </c>
      <c r="H324" s="132">
        <v>0</v>
      </c>
      <c r="I324" s="77">
        <f>INT((H324*Valores!$C$2*100*1.006901)+0.5)/100</f>
        <v>0</v>
      </c>
      <c r="J324" s="145">
        <v>0</v>
      </c>
      <c r="K324" s="77">
        <f>INT((J324*Valores!$C$2*100*1.006901)+0.5)/100</f>
        <v>0</v>
      </c>
      <c r="L324" s="120">
        <v>0</v>
      </c>
      <c r="M324" s="77">
        <f>INT((L324*Valores!$C$2*100*1.006901)+0.5)/100</f>
        <v>0</v>
      </c>
      <c r="N324" s="77">
        <f t="shared" si="60"/>
        <v>0</v>
      </c>
      <c r="O324" s="77">
        <f t="shared" si="61"/>
        <v>0</v>
      </c>
      <c r="P324" s="61">
        <v>0</v>
      </c>
      <c r="Q324" s="61">
        <v>0</v>
      </c>
      <c r="R324" s="77">
        <v>0</v>
      </c>
      <c r="S324" s="79">
        <f>Valores!$C$46</f>
        <v>76.423785900000013</v>
      </c>
      <c r="T324" s="61">
        <v>0</v>
      </c>
      <c r="U324" s="77">
        <f t="shared" si="62"/>
        <v>0</v>
      </c>
      <c r="V324" s="77">
        <v>0</v>
      </c>
      <c r="W324" s="77">
        <v>0</v>
      </c>
      <c r="X324" s="37">
        <v>0</v>
      </c>
      <c r="Y324" s="77">
        <f>X324*Valores!$C$2*1.006901</f>
        <v>0</v>
      </c>
      <c r="Z324" s="77">
        <v>0</v>
      </c>
      <c r="AA324" s="89">
        <v>0</v>
      </c>
      <c r="AB324" s="77">
        <f t="shared" si="64"/>
        <v>0</v>
      </c>
      <c r="AC324" s="77">
        <v>0</v>
      </c>
      <c r="AD324" s="116">
        <v>0</v>
      </c>
      <c r="AE324" s="77">
        <f>AD324*Valores!$C$2*1.006901</f>
        <v>0</v>
      </c>
      <c r="AF324" s="77"/>
      <c r="AG324" s="77"/>
      <c r="AH324" s="77">
        <f>SUM(G324,I324,K324,M324,N324,O324,P324,Q324,R324,S324,U324,V324,W324,Y324,Z324,AA324,AB324,AC324,AE324,AF324,AG324)*Valores!$C$54</f>
        <v>0</v>
      </c>
      <c r="AI324" s="139">
        <f t="shared" si="52"/>
        <v>1139.5237858999999</v>
      </c>
      <c r="AJ324" s="139"/>
      <c r="AK324" s="79">
        <f>Valores!$C$12</f>
        <v>20.560918420000004</v>
      </c>
      <c r="AL324" s="89">
        <v>0</v>
      </c>
      <c r="AM324" s="79">
        <f>IF($G$4="SI",SUM(AK324+AL324),AK324)*Valores!$C$54</f>
        <v>0</v>
      </c>
      <c r="AN324" s="12">
        <f t="shared" si="49"/>
        <v>20.560918420000004</v>
      </c>
      <c r="AO324" s="13">
        <f>AI324*-Valores!$C$56</f>
        <v>-148.138092167</v>
      </c>
      <c r="AP324" s="13">
        <f>AI324*-Valores!$C$57</f>
        <v>-5.6976189294999999</v>
      </c>
      <c r="AQ324" s="78">
        <f>AI324*-Valores!$C$58</f>
        <v>-51.278570365499995</v>
      </c>
      <c r="AR324" s="78">
        <f>AI324*-Valores!$C$59</f>
        <v>-30.767142219300002</v>
      </c>
      <c r="AS324" s="78">
        <f>AI324*-Valores!$C$60</f>
        <v>-3.4185713576999999</v>
      </c>
      <c r="AT324" s="15">
        <f t="shared" si="50"/>
        <v>954.97042285799989</v>
      </c>
      <c r="AU324" s="15">
        <f t="shared" si="51"/>
        <v>972.06327964649984</v>
      </c>
      <c r="AV324" s="78">
        <f>AI324*Valores!$C$61</f>
        <v>182.323805744</v>
      </c>
      <c r="AW324" s="78">
        <f>AI324*Valores!$C$62</f>
        <v>51.278570365499995</v>
      </c>
      <c r="AX324" s="78">
        <f>AI324*Valores!$C$64</f>
        <v>11.395237859</v>
      </c>
      <c r="AY324" s="78">
        <f>AI324*Valores!$C$65</f>
        <v>39.883332506499997</v>
      </c>
      <c r="AZ324" s="78">
        <f>AI324*Valores!$C$66</f>
        <v>6.8371427153999997</v>
      </c>
      <c r="BA324" s="78">
        <f t="shared" si="53"/>
        <v>61.534284438599997</v>
      </c>
      <c r="BD324" s="9" t="s">
        <v>467</v>
      </c>
    </row>
    <row r="325" spans="1:56" ht="11.25" customHeight="1" x14ac:dyDescent="0.2">
      <c r="A325" s="20">
        <v>324</v>
      </c>
      <c r="B325" s="20"/>
      <c r="C325" s="38" t="s">
        <v>443</v>
      </c>
      <c r="D325" s="24">
        <v>1</v>
      </c>
      <c r="E325" s="8" t="s">
        <v>437</v>
      </c>
      <c r="F325" s="36">
        <f>208+8</f>
        <v>216</v>
      </c>
      <c r="G325" s="7">
        <f>INT((F325*Valores!$C$2*100*1.006901)+0.5)/100</f>
        <v>1136.78</v>
      </c>
      <c r="H325" s="132">
        <v>0</v>
      </c>
      <c r="I325" s="77">
        <f>INT((H325*Valores!$C$2*100*1.006901)+0.5)/100</f>
        <v>0</v>
      </c>
      <c r="J325" s="145">
        <v>0</v>
      </c>
      <c r="K325" s="77">
        <f>INT((J325*Valores!$C$2*100*1.006901)+0.5)/100</f>
        <v>0</v>
      </c>
      <c r="L325" s="120">
        <v>0</v>
      </c>
      <c r="M325" s="77">
        <f>INT((L325*Valores!$C$2*100*1.006901)+0.5)/100</f>
        <v>0</v>
      </c>
      <c r="N325" s="77">
        <f t="shared" si="60"/>
        <v>0</v>
      </c>
      <c r="O325" s="77">
        <f t="shared" si="61"/>
        <v>0</v>
      </c>
      <c r="P325" s="61">
        <v>0</v>
      </c>
      <c r="Q325" s="61">
        <v>0</v>
      </c>
      <c r="R325" s="77">
        <v>0</v>
      </c>
      <c r="S325" s="79">
        <f>Valores!$C$46</f>
        <v>76.423785900000013</v>
      </c>
      <c r="T325" s="79">
        <v>0</v>
      </c>
      <c r="U325" s="77">
        <f t="shared" si="62"/>
        <v>0</v>
      </c>
      <c r="V325" s="77">
        <v>0</v>
      </c>
      <c r="W325" s="77">
        <v>0</v>
      </c>
      <c r="X325" s="37">
        <v>0</v>
      </c>
      <c r="Y325" s="77">
        <f>X325*Valores!$C$2*1.006901</f>
        <v>0</v>
      </c>
      <c r="Z325" s="77">
        <v>0</v>
      </c>
      <c r="AA325" s="89">
        <v>0</v>
      </c>
      <c r="AB325" s="77">
        <f t="shared" si="64"/>
        <v>0</v>
      </c>
      <c r="AC325" s="77">
        <v>0</v>
      </c>
      <c r="AD325" s="116">
        <v>0</v>
      </c>
      <c r="AE325" s="77">
        <f>AD325*Valores!$C$2*1.006901</f>
        <v>0</v>
      </c>
      <c r="AF325" s="77"/>
      <c r="AG325" s="77"/>
      <c r="AH325" s="77">
        <f>SUM(G325,I325,K325,M325,N325,O325,P325,Q325,R325,S325,U325,V325,W325,Y325,Z325,AA325,AB325,AC325,AE325,AF325,AG325)*Valores!$C$54</f>
        <v>0</v>
      </c>
      <c r="AI325" s="139">
        <f t="shared" si="52"/>
        <v>1213.2037859</v>
      </c>
      <c r="AJ325" s="139"/>
      <c r="AK325" s="79">
        <f>Valores!$C$12</f>
        <v>20.560918420000004</v>
      </c>
      <c r="AL325" s="89">
        <v>0</v>
      </c>
      <c r="AM325" s="79">
        <f>IF($G$4="SI",SUM(AK325+AL325),AK325)*Valores!$C$54</f>
        <v>0</v>
      </c>
      <c r="AN325" s="12">
        <f t="shared" si="49"/>
        <v>20.560918420000004</v>
      </c>
      <c r="AO325" s="13">
        <f>AI325*-Valores!$C$56</f>
        <v>-157.71649216700001</v>
      </c>
      <c r="AP325" s="13">
        <f>AI325*-Valores!$C$57</f>
        <v>-6.0660189295000002</v>
      </c>
      <c r="AQ325" s="78">
        <f>AI325*-Valores!$C$58</f>
        <v>-54.594170365499998</v>
      </c>
      <c r="AR325" s="78">
        <f>AI325*-Valores!$C$59</f>
        <v>-32.756502219300003</v>
      </c>
      <c r="AS325" s="78">
        <f>AI325*-Valores!$C$60</f>
        <v>-3.6396113576999998</v>
      </c>
      <c r="AT325" s="15">
        <f t="shared" si="50"/>
        <v>1015.3880228579999</v>
      </c>
      <c r="AU325" s="15">
        <f t="shared" si="51"/>
        <v>1033.5860796464999</v>
      </c>
      <c r="AV325" s="78">
        <f>AI325*Valores!$C$61</f>
        <v>194.11260574400001</v>
      </c>
      <c r="AW325" s="78">
        <f>AI325*Valores!$C$62</f>
        <v>54.594170365499998</v>
      </c>
      <c r="AX325" s="78">
        <f>AI325*Valores!$C$64</f>
        <v>12.132037859</v>
      </c>
      <c r="AY325" s="78">
        <f>AI325*Valores!$C$65</f>
        <v>42.462132506500005</v>
      </c>
      <c r="AZ325" s="78">
        <f>AI325*Valores!$C$66</f>
        <v>7.2792227153999995</v>
      </c>
      <c r="BA325" s="78">
        <f t="shared" si="53"/>
        <v>65.513004438600007</v>
      </c>
      <c r="BC325" s="56"/>
      <c r="BD325" s="9" t="s">
        <v>467</v>
      </c>
    </row>
    <row r="326" spans="1:56" ht="11.25" customHeight="1" x14ac:dyDescent="0.2">
      <c r="A326" s="55">
        <v>325</v>
      </c>
      <c r="B326" s="55" t="s">
        <v>462</v>
      </c>
      <c r="C326" s="185" t="s">
        <v>443</v>
      </c>
      <c r="D326" s="24">
        <v>1</v>
      </c>
      <c r="E326" s="58" t="s">
        <v>438</v>
      </c>
      <c r="F326" s="67">
        <f>192+8</f>
        <v>200</v>
      </c>
      <c r="G326" s="7">
        <f>INT((F326*Valores!$C$2*100*1.006901)+0.5)/100</f>
        <v>1052.57</v>
      </c>
      <c r="H326" s="131">
        <v>0</v>
      </c>
      <c r="I326" s="77">
        <f>INT((H326*Valores!$C$2*100*1.006901)+0.5)/100</f>
        <v>0</v>
      </c>
      <c r="J326" s="146">
        <v>0</v>
      </c>
      <c r="K326" s="77">
        <f>INT((J326*Valores!$C$2*100*1.006901)+0.5)/100</f>
        <v>0</v>
      </c>
      <c r="L326" s="121">
        <v>0</v>
      </c>
      <c r="M326" s="77">
        <f>INT((L326*Valores!$C$2*100*1.006901)+0.5)/100</f>
        <v>0</v>
      </c>
      <c r="N326" s="80">
        <f t="shared" si="60"/>
        <v>0</v>
      </c>
      <c r="O326" s="80">
        <f t="shared" si="61"/>
        <v>0</v>
      </c>
      <c r="P326" s="85">
        <v>0</v>
      </c>
      <c r="Q326" s="85">
        <v>0</v>
      </c>
      <c r="R326" s="80">
        <v>0</v>
      </c>
      <c r="S326" s="82">
        <f>Valores!$C$46</f>
        <v>76.423785900000013</v>
      </c>
      <c r="T326" s="85">
        <v>0</v>
      </c>
      <c r="U326" s="80">
        <f t="shared" si="62"/>
        <v>0</v>
      </c>
      <c r="V326" s="80">
        <v>0</v>
      </c>
      <c r="W326" s="80">
        <v>0</v>
      </c>
      <c r="X326" s="60">
        <v>0</v>
      </c>
      <c r="Y326" s="77">
        <f>X326*Valores!$C$2*1.006901</f>
        <v>0</v>
      </c>
      <c r="Z326" s="80">
        <v>0</v>
      </c>
      <c r="AA326" s="90">
        <v>0</v>
      </c>
      <c r="AB326" s="80">
        <f t="shared" si="64"/>
        <v>0</v>
      </c>
      <c r="AC326" s="80">
        <v>0</v>
      </c>
      <c r="AD326" s="115">
        <v>0</v>
      </c>
      <c r="AE326" s="77">
        <f>AD326*Valores!$C$2*1.006901</f>
        <v>0</v>
      </c>
      <c r="AF326" s="80"/>
      <c r="AG326" s="80"/>
      <c r="AH326" s="80">
        <f>SUM(G326,I326,K326,M326,N326,O326,P326,Q326,R326,S326,U326,V326,W326,Y326,Z326,AA326,AB326,AC326,AE326,AF326,AG326)*Valores!$C$54</f>
        <v>0</v>
      </c>
      <c r="AI326" s="140">
        <f t="shared" si="52"/>
        <v>1128.9937858999999</v>
      </c>
      <c r="AJ326" s="140"/>
      <c r="AK326" s="82">
        <f>Valores!$C$12</f>
        <v>20.560918420000004</v>
      </c>
      <c r="AL326" s="90">
        <v>0</v>
      </c>
      <c r="AM326" s="82">
        <f>IF($G$4="SI",SUM(AK326+AL326),AK326)*Valores!$C$54</f>
        <v>0</v>
      </c>
      <c r="AN326" s="184">
        <f t="shared" si="49"/>
        <v>20.560918420000004</v>
      </c>
      <c r="AO326" s="153">
        <f>AI326*-Valores!$C$56</f>
        <v>-146.769192167</v>
      </c>
      <c r="AP326" s="153">
        <f>AI326*-Valores!$C$57</f>
        <v>-5.6449689295000001</v>
      </c>
      <c r="AQ326" s="81">
        <f>AI326*-Valores!$C$58</f>
        <v>-50.804720365499996</v>
      </c>
      <c r="AR326" s="81">
        <f>AI326*-Valores!$C$59</f>
        <v>-30.482832219300001</v>
      </c>
      <c r="AS326" s="81">
        <f>AI326*-Valores!$C$60</f>
        <v>-3.3869813576999999</v>
      </c>
      <c r="AT326" s="54">
        <f t="shared" si="50"/>
        <v>946.3358228579998</v>
      </c>
      <c r="AU326" s="54">
        <f t="shared" si="51"/>
        <v>963.27072964649983</v>
      </c>
      <c r="AV326" s="81">
        <f>AI326*Valores!$C$61</f>
        <v>180.639005744</v>
      </c>
      <c r="AW326" s="81">
        <f>AI326*Valores!$C$62</f>
        <v>50.804720365499996</v>
      </c>
      <c r="AX326" s="81">
        <f>AI326*Valores!$C$64</f>
        <v>11.289937859</v>
      </c>
      <c r="AY326" s="81">
        <f>AI326*Valores!$C$65</f>
        <v>39.514782506499998</v>
      </c>
      <c r="AZ326" s="81">
        <f>AI326*Valores!$C$66</f>
        <v>6.7739627153999997</v>
      </c>
      <c r="BA326" s="81">
        <f t="shared" si="53"/>
        <v>60.965664438599994</v>
      </c>
      <c r="BB326" s="56"/>
      <c r="BC326" s="56"/>
      <c r="BD326" s="52" t="s">
        <v>467</v>
      </c>
    </row>
    <row r="327" spans="1:56" ht="11.25" customHeight="1" x14ac:dyDescent="0.15">
      <c r="A327" s="20">
        <v>326</v>
      </c>
      <c r="B327" s="20"/>
      <c r="C327" s="26" t="s">
        <v>443</v>
      </c>
      <c r="E327" s="8" t="s">
        <v>439</v>
      </c>
      <c r="F327" s="36">
        <v>192</v>
      </c>
      <c r="G327" s="7">
        <f>INT((F327*Valores!$C$2*100*1.006901)+0.5)/100</f>
        <v>1010.47</v>
      </c>
      <c r="H327" s="132">
        <v>0</v>
      </c>
      <c r="I327" s="77">
        <f>INT((H327*Valores!$C$2*100*1.006901)+0.5)/100</f>
        <v>0</v>
      </c>
      <c r="J327" s="145">
        <v>0</v>
      </c>
      <c r="K327" s="77">
        <f>INT((J327*Valores!$C$2*100*1.006901)+0.5)/100</f>
        <v>0</v>
      </c>
      <c r="L327" s="120">
        <v>0</v>
      </c>
      <c r="M327" s="77">
        <f>INT((L327*Valores!$C$2*100*1.006901)+0.5)/100</f>
        <v>0</v>
      </c>
      <c r="N327" s="77">
        <f t="shared" si="60"/>
        <v>0</v>
      </c>
      <c r="O327" s="77">
        <f t="shared" si="61"/>
        <v>0</v>
      </c>
      <c r="P327" s="61">
        <v>0</v>
      </c>
      <c r="Q327" s="61">
        <v>0</v>
      </c>
      <c r="R327" s="77">
        <v>0</v>
      </c>
      <c r="S327" s="79">
        <f>Valores!$C$46</f>
        <v>76.423785900000013</v>
      </c>
      <c r="T327" s="61">
        <v>0</v>
      </c>
      <c r="U327" s="77">
        <f t="shared" si="62"/>
        <v>0</v>
      </c>
      <c r="V327" s="77">
        <v>0</v>
      </c>
      <c r="W327" s="77">
        <v>0</v>
      </c>
      <c r="X327" s="37">
        <v>0</v>
      </c>
      <c r="Y327" s="77">
        <f>X327*Valores!$C$2*1.006901</f>
        <v>0</v>
      </c>
      <c r="Z327" s="77">
        <v>0</v>
      </c>
      <c r="AA327" s="89">
        <v>0</v>
      </c>
      <c r="AB327" s="77">
        <f t="shared" si="64"/>
        <v>0</v>
      </c>
      <c r="AC327" s="77">
        <v>0</v>
      </c>
      <c r="AD327" s="116">
        <v>0</v>
      </c>
      <c r="AE327" s="77">
        <f>AD327*Valores!$C$2*1.006901</f>
        <v>0</v>
      </c>
      <c r="AF327" s="77"/>
      <c r="AG327" s="77"/>
      <c r="AH327" s="77">
        <f>SUM(G327,I327,K327,M327,N327,O327,P327,Q327,R327,S327,U327,V327,W327,Y327,Z327,AA327,AB327,AC327,AE327,AF327,AG327)*Valores!$C$54</f>
        <v>0</v>
      </c>
      <c r="AI327" s="139">
        <f t="shared" si="52"/>
        <v>1086.8937859</v>
      </c>
      <c r="AJ327" s="139"/>
      <c r="AK327" s="79">
        <f>Valores!$C$12</f>
        <v>20.560918420000004</v>
      </c>
      <c r="AL327" s="89">
        <v>0</v>
      </c>
      <c r="AM327" s="79">
        <f>IF($G$4="SI",SUM(AK327+AL327),AK327)*Valores!$C$54</f>
        <v>0</v>
      </c>
      <c r="AN327" s="12">
        <f t="shared" ref="AN327" si="65">SUM(AJ327:AK327,AL327,AM327)</f>
        <v>20.560918420000004</v>
      </c>
      <c r="AO327" s="13">
        <f>AI327*-Valores!$C$56</f>
        <v>-141.29619216700002</v>
      </c>
      <c r="AP327" s="13">
        <f>AI327*-Valores!$C$57</f>
        <v>-5.4344689295000004</v>
      </c>
      <c r="AQ327" s="78">
        <f>AI327*-Valores!$C$58</f>
        <v>-48.910220365499995</v>
      </c>
      <c r="AR327" s="78">
        <f>AI327*-Valores!$C$59</f>
        <v>-29.346132219300003</v>
      </c>
      <c r="AS327" s="78">
        <f>AI327*-Valores!$C$60</f>
        <v>-3.2606813577000002</v>
      </c>
      <c r="AT327" s="15">
        <f t="shared" si="50"/>
        <v>911.81382285799987</v>
      </c>
      <c r="AU327" s="15">
        <f t="shared" si="51"/>
        <v>928.11722964649982</v>
      </c>
      <c r="AV327" s="78">
        <f>AI327*Valores!$C$61</f>
        <v>173.90300574400001</v>
      </c>
      <c r="AW327" s="78">
        <f>AI327*Valores!$C$62</f>
        <v>48.910220365499995</v>
      </c>
      <c r="AX327" s="78">
        <f>AI327*Valores!$C$64</f>
        <v>10.868937859000001</v>
      </c>
      <c r="AY327" s="78">
        <f>AI327*Valores!$C$65</f>
        <v>38.041282506500004</v>
      </c>
      <c r="AZ327" s="78">
        <f>AI327*Valores!$C$66</f>
        <v>6.5213627154000005</v>
      </c>
      <c r="BA327" s="78">
        <f t="shared" si="53"/>
        <v>58.692264438600006</v>
      </c>
      <c r="BD327" s="9" t="s">
        <v>467</v>
      </c>
    </row>
    <row r="329" spans="1:56" ht="11.25" customHeight="1" x14ac:dyDescent="0.2">
      <c r="I329" s="128"/>
      <c r="O329" s="3"/>
      <c r="P329" s="3"/>
      <c r="Q329" s="3"/>
      <c r="R329" s="3"/>
      <c r="S329" s="3"/>
      <c r="T329" s="128"/>
      <c r="U329" s="3"/>
      <c r="V329" s="3"/>
      <c r="W329" s="3"/>
      <c r="X329" s="126">
        <f>X47-X54</f>
        <v>0</v>
      </c>
      <c r="Y329" s="3"/>
      <c r="Z329" s="3"/>
      <c r="AA329" s="3"/>
      <c r="AB329" s="3"/>
      <c r="AC329" s="3"/>
      <c r="AI329" s="195"/>
      <c r="AJ329" s="62"/>
    </row>
    <row r="331" spans="1:56" ht="11.25" customHeight="1" x14ac:dyDescent="0.15">
      <c r="I331" s="128"/>
      <c r="O331" s="3"/>
      <c r="P331" s="3"/>
      <c r="Q331" s="3"/>
      <c r="R331" s="3"/>
      <c r="S331" s="3"/>
      <c r="T331" s="128"/>
      <c r="U331" s="3"/>
      <c r="V331" s="3"/>
      <c r="W331" s="3"/>
      <c r="X331" s="126"/>
      <c r="Y331" s="3"/>
      <c r="Z331" s="3"/>
      <c r="AA331" s="3"/>
      <c r="AB331" s="3"/>
      <c r="AC331" s="3"/>
      <c r="AD331" s="126"/>
      <c r="AE331" s="3"/>
      <c r="AF331" s="3"/>
      <c r="AG331" s="3"/>
      <c r="AH331" s="3"/>
    </row>
  </sheetData>
  <sheetProtection formatCells="0" formatColumns="0" formatRows="0" insertColumns="0" insertRows="0" deleteColumns="0" deleteRows="0" selectLockedCells="1" selectUnlockedCells="1"/>
  <autoFilter ref="A6:BD327"/>
  <sortState ref="C7:AN299">
    <sortCondition ref="C7:C299"/>
    <sortCondition ref="D7:D299"/>
  </sortState>
  <mergeCells count="10">
    <mergeCell ref="C1:AM1"/>
    <mergeCell ref="AD5:AE5"/>
    <mergeCell ref="X5:Y5"/>
    <mergeCell ref="F5:G5"/>
    <mergeCell ref="H5:I5"/>
    <mergeCell ref="J5:K5"/>
    <mergeCell ref="L5:M5"/>
    <mergeCell ref="AL2:AL3"/>
    <mergeCell ref="J3:K3"/>
    <mergeCell ref="H3:I3"/>
  </mergeCells>
  <phoneticPr fontId="0" type="noConversion"/>
  <conditionalFormatting sqref="AD257 C7:AK7 Z8:AD256 Z258:AD327 Z257:AB257 C8:Y327 AE8:AK327 AL7:BD327">
    <cfRule type="expression" dxfId="12" priority="229">
      <formula>$BD7="SI"</formula>
    </cfRule>
  </conditionalFormatting>
  <conditionalFormatting sqref="AC257">
    <cfRule type="expression" dxfId="11" priority="234">
      <formula>$BD257="SI"</formula>
    </cfRule>
  </conditionalFormatting>
  <conditionalFormatting sqref="BD192:BD321 BD93 AM7:AV87 AM89:AV90 C192:F321 AM92:BA93 AW89:BA91 BB7:BB93 C7:AL7 C8:F93 H8:H93 H192:H321 G8:G327 J192:J321 J8:J93 I8:I327 L8:L93 L192:L321 K8:K327 N192:X321 N8:X93 M8:M327 Z8:AD93 Z192:AD321 Y8:Y327 AF8:AL93 AE8:AE327 AF94:BC321 AM8:AM327 AF322:BD327">
    <cfRule type="expression" dxfId="10" priority="227">
      <formula>#REF!="x"</formula>
    </cfRule>
  </conditionalFormatting>
  <conditionalFormatting sqref="BD89:BD91 AN91:AV91">
    <cfRule type="expression" dxfId="9" priority="236">
      <formula>#REF!="x"</formula>
    </cfRule>
  </conditionalFormatting>
  <conditionalFormatting sqref="BD92">
    <cfRule type="expression" dxfId="8" priority="237">
      <formula>#REF!="x"</formula>
    </cfRule>
  </conditionalFormatting>
  <conditionalFormatting sqref="BD7:BD88 AN88:AV88 AV8:AV327 AW7:BA327 AN8:AN327">
    <cfRule type="expression" dxfId="7" priority="238">
      <formula>#REF!="x"</formula>
    </cfRule>
  </conditionalFormatting>
  <conditionalFormatting sqref="BD94:BD191 C94:F191 H94:H191 J94:J191 L94:L191 N94:X191 Z94:AD191">
    <cfRule type="expression" dxfId="6" priority="239">
      <formula>#REF!="x"</formula>
    </cfRule>
  </conditionalFormatting>
  <conditionalFormatting sqref="BC7:BC88">
    <cfRule type="expression" dxfId="5" priority="6">
      <formula>#REF!="x"</formula>
    </cfRule>
  </conditionalFormatting>
  <conditionalFormatting sqref="BC89:BC91">
    <cfRule type="expression" dxfId="4" priority="7">
      <formula>#REF!="x"</formula>
    </cfRule>
  </conditionalFormatting>
  <conditionalFormatting sqref="BC92:BC93 C322:F327 H322:H327 J322:J327 L322:L327 N322:X327 Z322:AD327">
    <cfRule type="expression" dxfId="3" priority="8">
      <formula>#REF!="x"</formula>
    </cfRule>
  </conditionalFormatting>
  <conditionalFormatting sqref="AP7">
    <cfRule type="expression" dxfId="2" priority="3">
      <formula>#REF!="x"</formula>
    </cfRule>
  </conditionalFormatting>
  <conditionalFormatting sqref="AP7">
    <cfRule type="expression" dxfId="1" priority="2">
      <formula>#REF!="x"</formula>
    </cfRule>
  </conditionalFormatting>
  <conditionalFormatting sqref="AM131">
    <cfRule type="expression" dxfId="0" priority="1">
      <formula>#REF!="x"</formula>
    </cfRule>
  </conditionalFormatting>
  <dataValidations count="1">
    <dataValidation type="list" errorStyle="warning" allowBlank="1" showInputMessage="1" showErrorMessage="1" error="VALOR INCORRECTO" sqref="AL4 G4">
      <formula1>$AN$3:$AN$4</formula1>
    </dataValidation>
  </dataValidations>
  <pageMargins left="0" right="0" top="0.74803149606299213" bottom="0.31496062992125984" header="0.39370078740157483" footer="0"/>
  <pageSetup paperSize="9" scale="110" fitToHeight="0" orientation="landscape" r:id="rId1"/>
  <headerFooter alignWithMargins="0">
    <oddHeader>&amp;LMinisterio de EducaciónDirección de Recursos Humanos&amp;C&amp;F&amp;RValor del Punto:</oddHead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7" sqref="D17"/>
    </sheetView>
  </sheetViews>
  <sheetFormatPr baseColWidth="10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bestFit="1" customWidth="1"/>
    <col min="8" max="8" width="9" bestFit="1" customWidth="1"/>
    <col min="9" max="9" width="7.140625" customWidth="1"/>
    <col min="10" max="10" width="8" bestFit="1" customWidth="1"/>
    <col min="11" max="11" width="7.42578125" customWidth="1"/>
    <col min="12" max="12" width="12.42578125" hidden="1" customWidth="1"/>
    <col min="13" max="13" width="6.28515625" hidden="1" customWidth="1"/>
    <col min="14" max="15" width="0" hidden="1" customWidth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</cols>
  <sheetData>
    <row r="1" spans="1:33" ht="25.5" customHeight="1" x14ac:dyDescent="0.2">
      <c r="A1" s="212" t="str">
        <f ca="1">MID(CELL("FILENAME",L41),FIND("[",CELL("FILENAME",L41))+1,FIND("]",CELL("FILENAME",L41))-FIND("[",CELL("FILENAME",L41))-1)</f>
        <v>Esc Doc 2018 06 Cba v2.xlsx</v>
      </c>
      <c r="B1" s="212"/>
      <c r="C1" s="212"/>
      <c r="D1" s="212"/>
      <c r="E1" s="212"/>
      <c r="F1" s="212"/>
      <c r="G1" s="212"/>
      <c r="H1" s="212"/>
      <c r="I1" s="212"/>
      <c r="J1" s="212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3" x14ac:dyDescent="0.2">
      <c r="A2" s="211" t="s">
        <v>445</v>
      </c>
      <c r="B2" s="211"/>
      <c r="C2" s="32">
        <v>0</v>
      </c>
      <c r="D2" s="32"/>
      <c r="E2" s="32"/>
      <c r="F2" s="32"/>
      <c r="G2" s="98"/>
      <c r="H2" s="32"/>
      <c r="I2" s="99"/>
      <c r="J2" s="100"/>
      <c r="K2" s="101"/>
      <c r="Y2" s="7"/>
    </row>
    <row r="3" spans="1:33" ht="12.75" customHeight="1" x14ac:dyDescent="0.2">
      <c r="G3" s="102"/>
      <c r="H3" s="103"/>
      <c r="I3" s="103"/>
      <c r="J3" s="103"/>
      <c r="K3" s="104"/>
      <c r="Q3" s="213" t="s">
        <v>577</v>
      </c>
      <c r="R3" s="213"/>
      <c r="S3" s="213"/>
      <c r="T3" s="214" t="s">
        <v>578</v>
      </c>
      <c r="U3" s="214"/>
      <c r="V3" s="214"/>
      <c r="W3" s="214"/>
      <c r="Y3" s="7"/>
    </row>
    <row r="4" spans="1:33" ht="25.5" x14ac:dyDescent="0.2">
      <c r="A4" s="5"/>
      <c r="B4" s="5"/>
      <c r="C4" s="29" t="s">
        <v>498</v>
      </c>
      <c r="D4" s="6" t="s">
        <v>388</v>
      </c>
      <c r="E4" s="6" t="s">
        <v>579</v>
      </c>
      <c r="F4" s="6" t="s">
        <v>580</v>
      </c>
      <c r="G4" s="94" t="s">
        <v>379</v>
      </c>
      <c r="H4" s="95" t="s">
        <v>365</v>
      </c>
      <c r="I4" s="96" t="s">
        <v>375</v>
      </c>
      <c r="J4" s="97" t="s">
        <v>376</v>
      </c>
      <c r="K4" s="30" t="s">
        <v>375</v>
      </c>
      <c r="Q4" s="169" t="s">
        <v>581</v>
      </c>
      <c r="R4" s="170" t="s">
        <v>582</v>
      </c>
      <c r="S4" s="170" t="s">
        <v>583</v>
      </c>
      <c r="T4" s="174" t="s">
        <v>584</v>
      </c>
      <c r="U4" s="175" t="s">
        <v>585</v>
      </c>
      <c r="V4" s="175" t="s">
        <v>586</v>
      </c>
      <c r="W4" s="175" t="s">
        <v>583</v>
      </c>
      <c r="X4" s="158" t="s">
        <v>587</v>
      </c>
      <c r="Y4" s="158" t="s">
        <v>615</v>
      </c>
    </row>
    <row r="5" spans="1:33" x14ac:dyDescent="0.2">
      <c r="A5" s="40" t="s">
        <v>1</v>
      </c>
      <c r="B5" s="41" t="s">
        <v>2</v>
      </c>
      <c r="C5" s="43" t="s">
        <v>397</v>
      </c>
      <c r="D5" s="44" t="s">
        <v>401</v>
      </c>
      <c r="E5" s="44" t="s">
        <v>565</v>
      </c>
      <c r="F5" s="45"/>
      <c r="G5" s="45" t="s">
        <v>458</v>
      </c>
      <c r="H5" s="45" t="s">
        <v>402</v>
      </c>
      <c r="I5" s="42" t="s">
        <v>374</v>
      </c>
      <c r="J5" s="46" t="s">
        <v>413</v>
      </c>
      <c r="K5" s="42" t="s">
        <v>378</v>
      </c>
      <c r="L5" s="108" t="s">
        <v>558</v>
      </c>
      <c r="Q5" s="171">
        <v>0.13500000000000001</v>
      </c>
      <c r="R5" s="172">
        <v>2.5000000000000001E-2</v>
      </c>
      <c r="S5" s="173">
        <v>4.4999999999999998E-2</v>
      </c>
      <c r="T5" s="176">
        <v>0.16</v>
      </c>
      <c r="U5" s="177">
        <v>0.01</v>
      </c>
      <c r="V5" s="178">
        <v>2.5000000000000001E-2</v>
      </c>
      <c r="W5" s="178">
        <v>3.5000000000000003E-2</v>
      </c>
      <c r="Y5" s="7"/>
    </row>
    <row r="6" spans="1:33" ht="12.75" customHeight="1" x14ac:dyDescent="0.2">
      <c r="A6" s="9" t="s">
        <v>519</v>
      </c>
      <c r="B6" s="10" t="s">
        <v>471</v>
      </c>
      <c r="C6" s="7">
        <f>C9/1.6*1.8</f>
        <v>7750.89</v>
      </c>
      <c r="D6" s="7">
        <f t="shared" ref="D6:D8" si="0">IF($C$2=0,C6*0.15,0)</f>
        <v>1162.6334999999999</v>
      </c>
      <c r="E6" s="7">
        <v>0</v>
      </c>
      <c r="F6" s="7"/>
      <c r="G6" s="7">
        <f>C6*VLOOKUP($C$2,Valores!$I$1:$J$53,2,FALSE)</f>
        <v>0</v>
      </c>
      <c r="H6" s="7">
        <f>H9/1.6*1.8</f>
        <v>5167.2712499999998</v>
      </c>
      <c r="I6" s="15">
        <f>SUM(C6:H6)</f>
        <v>14080.794749999999</v>
      </c>
      <c r="J6" s="7">
        <v>0</v>
      </c>
      <c r="K6" s="12">
        <f t="shared" ref="K6:K21" si="1">SUM(J6)</f>
        <v>0</v>
      </c>
      <c r="Q6" s="7">
        <f t="shared" ref="Q6:Q28" si="2">I6*$Q$5</f>
        <v>1900.9072912500001</v>
      </c>
      <c r="R6" s="7">
        <f t="shared" ref="R6:R28" si="3">I6*$R$5</f>
        <v>352.01986875</v>
      </c>
      <c r="S6" s="7">
        <f t="shared" ref="S6:S28" si="4">I6*$S$5</f>
        <v>633.63576374999991</v>
      </c>
      <c r="T6" s="7">
        <f t="shared" ref="T6:T28" si="5">I6*$T$5</f>
        <v>2252.9271599999997</v>
      </c>
      <c r="U6" s="7">
        <f t="shared" ref="U6:U28" si="6">I6*$U$5</f>
        <v>140.80794749999998</v>
      </c>
      <c r="V6" s="7">
        <f t="shared" ref="V6:V28" si="7">I6*$V$5</f>
        <v>352.01986875</v>
      </c>
      <c r="W6" s="7">
        <f t="shared" ref="W6:W28" si="8">I6*$W$5</f>
        <v>492.82781625000001</v>
      </c>
      <c r="X6" s="7">
        <f t="shared" ref="X6:X28" si="9">I6+K6+T6+U6+V6+W6</f>
        <v>17319.377542499999</v>
      </c>
      <c r="Y6" s="7">
        <f t="shared" ref="Y6:Y21" si="10">+I6-SUM(Q6:S6)</f>
        <v>11194.231826249999</v>
      </c>
    </row>
    <row r="7" spans="1:33" ht="12.75" customHeight="1" x14ac:dyDescent="0.2">
      <c r="A7" s="93" t="s">
        <v>520</v>
      </c>
      <c r="B7" s="10" t="s">
        <v>473</v>
      </c>
      <c r="C7" s="7">
        <f>C10/1.6*1.8</f>
        <v>15514.02</v>
      </c>
      <c r="D7" s="7">
        <f t="shared" si="0"/>
        <v>2327.1030000000001</v>
      </c>
      <c r="E7" s="7">
        <v>0</v>
      </c>
      <c r="F7" s="7"/>
      <c r="G7" s="7">
        <f>C7*VLOOKUP($C$2,Valores!$I$1:$J$53,2,FALSE)</f>
        <v>0</v>
      </c>
      <c r="H7" s="7">
        <f>H10/1.6*1.8</f>
        <v>10334.508749999999</v>
      </c>
      <c r="I7" s="15">
        <f t="shared" ref="I7:I19" si="11">SUM(C7:H7)</f>
        <v>28175.63175</v>
      </c>
      <c r="J7" s="7">
        <v>0</v>
      </c>
      <c r="K7" s="12">
        <f t="shared" si="1"/>
        <v>0</v>
      </c>
      <c r="M7" s="10" t="s">
        <v>498</v>
      </c>
      <c r="N7" s="63">
        <v>5361.09</v>
      </c>
      <c r="O7" s="63">
        <v>446.76</v>
      </c>
      <c r="Q7" s="7">
        <f t="shared" si="2"/>
        <v>3803.7102862500005</v>
      </c>
      <c r="R7" s="7">
        <f t="shared" si="3"/>
        <v>704.39079375000006</v>
      </c>
      <c r="S7" s="7">
        <f t="shared" si="4"/>
        <v>1267.9034287499999</v>
      </c>
      <c r="T7" s="7">
        <f t="shared" si="5"/>
        <v>4508.1010800000004</v>
      </c>
      <c r="U7" s="7">
        <f t="shared" si="6"/>
        <v>281.75631750000002</v>
      </c>
      <c r="V7" s="7">
        <f t="shared" si="7"/>
        <v>704.39079375000006</v>
      </c>
      <c r="W7" s="7">
        <f t="shared" si="8"/>
        <v>986.14711125000008</v>
      </c>
      <c r="X7" s="7">
        <f t="shared" si="9"/>
        <v>34656.027052500001</v>
      </c>
      <c r="Y7" s="7">
        <f t="shared" si="10"/>
        <v>22399.62724125</v>
      </c>
    </row>
    <row r="8" spans="1:33" ht="12.75" customHeight="1" x14ac:dyDescent="0.2">
      <c r="A8" s="93" t="s">
        <v>521</v>
      </c>
      <c r="B8" s="10" t="s">
        <v>472</v>
      </c>
      <c r="C8" s="7">
        <f>C11/1.6*1.8</f>
        <v>31028.04</v>
      </c>
      <c r="D8" s="7">
        <f t="shared" si="0"/>
        <v>4654.2060000000001</v>
      </c>
      <c r="E8" s="7">
        <v>0</v>
      </c>
      <c r="F8" s="7"/>
      <c r="G8" s="7">
        <f>C8*VLOOKUP($C$2,Valores!$I$1:$J$53,2,FALSE)</f>
        <v>0</v>
      </c>
      <c r="H8" s="7">
        <f>H11/1.6*1.8</f>
        <v>20669.017499999998</v>
      </c>
      <c r="I8" s="15">
        <f t="shared" si="11"/>
        <v>56351.263500000001</v>
      </c>
      <c r="J8" s="7">
        <v>0</v>
      </c>
      <c r="K8" s="12">
        <f t="shared" si="1"/>
        <v>0</v>
      </c>
      <c r="M8" s="10" t="s">
        <v>505</v>
      </c>
      <c r="N8" s="63">
        <v>1068</v>
      </c>
      <c r="O8" s="63">
        <v>89</v>
      </c>
      <c r="Q8" s="7">
        <f t="shared" si="2"/>
        <v>7607.4205725000011</v>
      </c>
      <c r="R8" s="7">
        <f t="shared" si="3"/>
        <v>1408.7815875000001</v>
      </c>
      <c r="S8" s="7">
        <f t="shared" si="4"/>
        <v>2535.8068574999998</v>
      </c>
      <c r="T8" s="7">
        <f t="shared" si="5"/>
        <v>9016.2021600000007</v>
      </c>
      <c r="U8" s="7">
        <f t="shared" si="6"/>
        <v>563.51263500000005</v>
      </c>
      <c r="V8" s="7">
        <f t="shared" si="7"/>
        <v>1408.7815875000001</v>
      </c>
      <c r="W8" s="7">
        <f t="shared" si="8"/>
        <v>1972.2942225000002</v>
      </c>
      <c r="X8" s="7">
        <f t="shared" si="9"/>
        <v>69312.054105000003</v>
      </c>
      <c r="Y8" s="7">
        <f t="shared" si="10"/>
        <v>44799.2544825</v>
      </c>
    </row>
    <row r="9" spans="1:33" ht="12.75" customHeight="1" x14ac:dyDescent="0.2">
      <c r="A9" s="47" t="s">
        <v>486</v>
      </c>
      <c r="B9" s="48" t="s">
        <v>474</v>
      </c>
      <c r="C9" s="49">
        <v>6889.68</v>
      </c>
      <c r="D9" s="49">
        <f>IF($C$2=0,C9*0.15,0)</f>
        <v>1033.452</v>
      </c>
      <c r="E9" s="49">
        <v>0</v>
      </c>
      <c r="F9" s="49"/>
      <c r="G9" s="49">
        <f>C9*VLOOKUP($C$2,Valores!$I$1:$J$53,2,FALSE)</f>
        <v>0</v>
      </c>
      <c r="H9" s="49">
        <v>4593.13</v>
      </c>
      <c r="I9" s="50">
        <f t="shared" si="11"/>
        <v>12516.262000000001</v>
      </c>
      <c r="J9" s="49">
        <v>888.69</v>
      </c>
      <c r="K9" s="51">
        <f t="shared" si="1"/>
        <v>888.69</v>
      </c>
      <c r="M9" s="10" t="s">
        <v>506</v>
      </c>
      <c r="N9" s="63">
        <v>1614.8240000000001</v>
      </c>
      <c r="O9" s="63">
        <v>134.57866666666666</v>
      </c>
      <c r="Q9" s="7">
        <f t="shared" si="2"/>
        <v>1689.6953700000001</v>
      </c>
      <c r="R9" s="7">
        <f t="shared" si="3"/>
        <v>312.90655000000004</v>
      </c>
      <c r="S9" s="7">
        <f t="shared" si="4"/>
        <v>563.23179000000005</v>
      </c>
      <c r="T9" s="7">
        <f t="shared" si="5"/>
        <v>2002.6019200000001</v>
      </c>
      <c r="U9" s="7">
        <f t="shared" si="6"/>
        <v>125.16262</v>
      </c>
      <c r="V9" s="7">
        <f t="shared" si="7"/>
        <v>312.90655000000004</v>
      </c>
      <c r="W9" s="7">
        <f t="shared" si="8"/>
        <v>438.06917000000004</v>
      </c>
      <c r="X9" s="7">
        <f t="shared" si="9"/>
        <v>16283.692260000002</v>
      </c>
      <c r="Y9" s="7">
        <f t="shared" si="10"/>
        <v>9950.4282899999998</v>
      </c>
    </row>
    <row r="10" spans="1:33" ht="12.75" customHeight="1" x14ac:dyDescent="0.2">
      <c r="A10" s="47" t="s">
        <v>487</v>
      </c>
      <c r="B10" s="48" t="s">
        <v>475</v>
      </c>
      <c r="C10" s="49">
        <v>13790.24</v>
      </c>
      <c r="D10" s="49">
        <f t="shared" ref="D10:D32" si="12">IF($C$2=0,C10*0.15,0)</f>
        <v>2068.5360000000001</v>
      </c>
      <c r="E10" s="49">
        <v>0</v>
      </c>
      <c r="F10" s="49"/>
      <c r="G10" s="49">
        <f>C10*VLOOKUP($C$2,Valores!$I$1:$J$53,2,FALSE)</f>
        <v>0</v>
      </c>
      <c r="H10" s="49">
        <v>9186.23</v>
      </c>
      <c r="I10" s="50">
        <f t="shared" si="11"/>
        <v>25045.006000000001</v>
      </c>
      <c r="J10" s="49">
        <v>1064.02</v>
      </c>
      <c r="K10" s="51">
        <f t="shared" si="1"/>
        <v>1064.02</v>
      </c>
      <c r="M10" s="10" t="s">
        <v>507</v>
      </c>
      <c r="N10" s="63">
        <v>250.07999999999998</v>
      </c>
      <c r="O10" s="63">
        <v>20.84</v>
      </c>
      <c r="Q10" s="7">
        <f t="shared" si="2"/>
        <v>3381.0758100000003</v>
      </c>
      <c r="R10" s="7">
        <f t="shared" si="3"/>
        <v>626.12515000000008</v>
      </c>
      <c r="S10" s="7">
        <f t="shared" si="4"/>
        <v>1127.0252700000001</v>
      </c>
      <c r="T10" s="7">
        <f t="shared" si="5"/>
        <v>4007.2009600000001</v>
      </c>
      <c r="U10" s="7">
        <f t="shared" si="6"/>
        <v>250.45006000000001</v>
      </c>
      <c r="V10" s="7">
        <f t="shared" si="7"/>
        <v>626.12515000000008</v>
      </c>
      <c r="W10" s="7">
        <f t="shared" si="8"/>
        <v>876.57521000000008</v>
      </c>
      <c r="X10" s="7">
        <f t="shared" si="9"/>
        <v>31869.377379999998</v>
      </c>
      <c r="Y10" s="7">
        <f t="shared" si="10"/>
        <v>19910.779770000001</v>
      </c>
    </row>
    <row r="11" spans="1:33" ht="12.75" customHeight="1" x14ac:dyDescent="0.2">
      <c r="A11" s="93" t="s">
        <v>522</v>
      </c>
      <c r="B11" s="10" t="s">
        <v>476</v>
      </c>
      <c r="C11" s="7">
        <f>C10*2</f>
        <v>27580.48</v>
      </c>
      <c r="D11" s="7">
        <f t="shared" si="12"/>
        <v>4137.0720000000001</v>
      </c>
      <c r="E11" s="7">
        <v>0</v>
      </c>
      <c r="F11" s="7"/>
      <c r="G11" s="7">
        <f>C11*VLOOKUP($C$2,Valores!$I$1:$J$53,2,FALSE)</f>
        <v>0</v>
      </c>
      <c r="H11" s="7">
        <f>H10*2</f>
        <v>18372.46</v>
      </c>
      <c r="I11" s="15">
        <f t="shared" si="11"/>
        <v>50090.012000000002</v>
      </c>
      <c r="J11" s="7">
        <v>0</v>
      </c>
      <c r="K11" s="12">
        <f t="shared" si="1"/>
        <v>0</v>
      </c>
      <c r="M11" s="10" t="s">
        <v>508</v>
      </c>
      <c r="N11" s="63">
        <v>546</v>
      </c>
      <c r="O11" s="63">
        <v>45.5</v>
      </c>
      <c r="Q11" s="7">
        <f t="shared" si="2"/>
        <v>6762.1516200000005</v>
      </c>
      <c r="R11" s="7">
        <f t="shared" si="3"/>
        <v>1252.2503000000002</v>
      </c>
      <c r="S11" s="7">
        <f t="shared" si="4"/>
        <v>2254.0505400000002</v>
      </c>
      <c r="T11" s="7">
        <f t="shared" si="5"/>
        <v>8014.4019200000002</v>
      </c>
      <c r="U11" s="7">
        <f t="shared" si="6"/>
        <v>500.90012000000002</v>
      </c>
      <c r="V11" s="7">
        <f t="shared" si="7"/>
        <v>1252.2503000000002</v>
      </c>
      <c r="W11" s="7">
        <f t="shared" si="8"/>
        <v>1753.1504200000002</v>
      </c>
      <c r="X11" s="7">
        <f t="shared" si="9"/>
        <v>61610.714760000003</v>
      </c>
      <c r="Y11" s="7">
        <f t="shared" si="10"/>
        <v>39821.559540000002</v>
      </c>
    </row>
    <row r="12" spans="1:33" ht="12.75" customHeight="1" x14ac:dyDescent="0.2">
      <c r="A12" s="93" t="s">
        <v>523</v>
      </c>
      <c r="B12" s="10" t="s">
        <v>477</v>
      </c>
      <c r="C12" s="7">
        <f>C9/1.6*1.4</f>
        <v>6028.47</v>
      </c>
      <c r="D12" s="7">
        <f t="shared" si="12"/>
        <v>904.27049999999997</v>
      </c>
      <c r="E12" s="7">
        <v>0</v>
      </c>
      <c r="F12" s="7"/>
      <c r="G12" s="7">
        <f>C12*VLOOKUP($C$2,Valores!$I$1:$J$53,2,FALSE)</f>
        <v>0</v>
      </c>
      <c r="H12" s="7">
        <f>H9/1.6*1.4</f>
        <v>4018.9887499999995</v>
      </c>
      <c r="I12" s="15">
        <f t="shared" si="11"/>
        <v>10951.72925</v>
      </c>
      <c r="J12" s="7">
        <v>0</v>
      </c>
      <c r="K12" s="12">
        <f t="shared" si="1"/>
        <v>0</v>
      </c>
      <c r="M12" s="10" t="s">
        <v>509</v>
      </c>
      <c r="N12" s="63">
        <v>62.04</v>
      </c>
      <c r="O12" s="63">
        <v>5.17</v>
      </c>
      <c r="Q12" s="7">
        <f t="shared" si="2"/>
        <v>1478.4834487500002</v>
      </c>
      <c r="R12" s="7">
        <f t="shared" si="3"/>
        <v>273.79323125000002</v>
      </c>
      <c r="S12" s="7">
        <f t="shared" si="4"/>
        <v>492.82781625000001</v>
      </c>
      <c r="T12" s="7">
        <f t="shared" si="5"/>
        <v>1752.2766800000002</v>
      </c>
      <c r="U12" s="7">
        <f t="shared" si="6"/>
        <v>109.51729250000001</v>
      </c>
      <c r="V12" s="7">
        <f t="shared" si="7"/>
        <v>273.79323125000002</v>
      </c>
      <c r="W12" s="7">
        <f t="shared" si="8"/>
        <v>383.31052375000007</v>
      </c>
      <c r="X12" s="7">
        <f t="shared" si="9"/>
        <v>13470.626977500002</v>
      </c>
      <c r="Y12" s="7">
        <f t="shared" si="10"/>
        <v>8706.6247537500003</v>
      </c>
    </row>
    <row r="13" spans="1:33" ht="12.75" customHeight="1" x14ac:dyDescent="0.2">
      <c r="A13" s="93" t="s">
        <v>524</v>
      </c>
      <c r="B13" s="10" t="s">
        <v>478</v>
      </c>
      <c r="C13" s="7">
        <f>C10/1.6*1.4</f>
        <v>12066.46</v>
      </c>
      <c r="D13" s="7">
        <f t="shared" si="12"/>
        <v>1809.9689999999998</v>
      </c>
      <c r="E13" s="7">
        <v>0</v>
      </c>
      <c r="F13" s="7"/>
      <c r="G13" s="7">
        <f>C13*VLOOKUP($C$2,Valores!$I$1:$J$53,2,FALSE)</f>
        <v>0</v>
      </c>
      <c r="H13" s="7">
        <f>H10/1.6*1.4</f>
        <v>8037.9512499999983</v>
      </c>
      <c r="I13" s="15">
        <f t="shared" si="11"/>
        <v>21914.380249999995</v>
      </c>
      <c r="J13" s="7">
        <v>0</v>
      </c>
      <c r="K13" s="12">
        <f t="shared" si="1"/>
        <v>0</v>
      </c>
      <c r="M13" s="10" t="s">
        <v>571</v>
      </c>
      <c r="N13" s="63">
        <v>175</v>
      </c>
      <c r="O13" s="63"/>
      <c r="Q13" s="7">
        <f t="shared" si="2"/>
        <v>2958.4413337499996</v>
      </c>
      <c r="R13" s="7">
        <f t="shared" si="3"/>
        <v>547.85950624999987</v>
      </c>
      <c r="S13" s="7">
        <f t="shared" si="4"/>
        <v>986.14711124999974</v>
      </c>
      <c r="T13" s="7">
        <f t="shared" si="5"/>
        <v>3506.3008399999994</v>
      </c>
      <c r="U13" s="7">
        <f t="shared" si="6"/>
        <v>219.14380249999996</v>
      </c>
      <c r="V13" s="7">
        <f t="shared" si="7"/>
        <v>547.85950624999987</v>
      </c>
      <c r="W13" s="7">
        <f t="shared" si="8"/>
        <v>767.00330874999986</v>
      </c>
      <c r="X13" s="7">
        <f t="shared" si="9"/>
        <v>26954.687707499994</v>
      </c>
      <c r="Y13" s="7">
        <f t="shared" si="10"/>
        <v>17421.932298749995</v>
      </c>
    </row>
    <row r="14" spans="1:33" ht="12.75" customHeight="1" x14ac:dyDescent="0.2">
      <c r="A14" s="93" t="s">
        <v>525</v>
      </c>
      <c r="B14" s="10" t="s">
        <v>479</v>
      </c>
      <c r="C14" s="7">
        <f>C11/1.6*1.4</f>
        <v>24132.92</v>
      </c>
      <c r="D14" s="7">
        <f t="shared" si="12"/>
        <v>3619.9379999999996</v>
      </c>
      <c r="E14" s="7">
        <v>0</v>
      </c>
      <c r="F14" s="7"/>
      <c r="G14" s="7">
        <f>C14*VLOOKUP($C$2,Valores!$I$1:$J$53,2,FALSE)</f>
        <v>0</v>
      </c>
      <c r="H14" s="7">
        <f>H11/1.6*1.4</f>
        <v>16075.902499999997</v>
      </c>
      <c r="I14" s="15">
        <f t="shared" si="11"/>
        <v>43828.760499999989</v>
      </c>
      <c r="J14" s="7">
        <v>0</v>
      </c>
      <c r="K14" s="12">
        <f t="shared" si="1"/>
        <v>0</v>
      </c>
      <c r="M14" s="10" t="s">
        <v>572</v>
      </c>
      <c r="N14" s="63">
        <v>50</v>
      </c>
      <c r="O14" s="63"/>
      <c r="Q14" s="7">
        <f t="shared" si="2"/>
        <v>5916.8826674999991</v>
      </c>
      <c r="R14" s="7">
        <f t="shared" si="3"/>
        <v>1095.7190124999997</v>
      </c>
      <c r="S14" s="7">
        <f t="shared" si="4"/>
        <v>1972.2942224999995</v>
      </c>
      <c r="T14" s="7">
        <f t="shared" si="5"/>
        <v>7012.6016799999989</v>
      </c>
      <c r="U14" s="7">
        <f t="shared" si="6"/>
        <v>438.28760499999993</v>
      </c>
      <c r="V14" s="7">
        <f t="shared" si="7"/>
        <v>1095.7190124999997</v>
      </c>
      <c r="W14" s="7">
        <f t="shared" si="8"/>
        <v>1534.0066174999997</v>
      </c>
      <c r="X14" s="7">
        <f t="shared" si="9"/>
        <v>53909.375414999988</v>
      </c>
      <c r="Y14" s="7">
        <f t="shared" si="10"/>
        <v>34843.864597499989</v>
      </c>
    </row>
    <row r="15" spans="1:33" ht="12.75" customHeight="1" x14ac:dyDescent="0.2">
      <c r="A15" s="93" t="s">
        <v>526</v>
      </c>
      <c r="B15" s="10" t="s">
        <v>480</v>
      </c>
      <c r="C15" s="7">
        <f>C9/1.6*1.2</f>
        <v>5167.26</v>
      </c>
      <c r="D15" s="7">
        <f t="shared" si="12"/>
        <v>775.08900000000006</v>
      </c>
      <c r="E15" s="7">
        <v>0</v>
      </c>
      <c r="F15" s="7"/>
      <c r="G15" s="7">
        <f>C15*VLOOKUP($C$2,Valores!$I$1:$J$53,2,FALSE)</f>
        <v>0</v>
      </c>
      <c r="H15" s="7">
        <f>H9/1.6*1.2</f>
        <v>3444.8474999999994</v>
      </c>
      <c r="I15" s="15">
        <f t="shared" si="11"/>
        <v>9387.1965</v>
      </c>
      <c r="J15" s="7">
        <v>0</v>
      </c>
      <c r="K15" s="12">
        <f t="shared" si="1"/>
        <v>0</v>
      </c>
      <c r="M15" s="10" t="s">
        <v>510</v>
      </c>
      <c r="N15" s="63">
        <v>51.599999999999994</v>
      </c>
      <c r="O15" s="63">
        <v>4.3</v>
      </c>
      <c r="Q15" s="7">
        <f t="shared" si="2"/>
        <v>1267.2715275</v>
      </c>
      <c r="R15" s="7">
        <f t="shared" si="3"/>
        <v>234.6799125</v>
      </c>
      <c r="S15" s="7">
        <f t="shared" si="4"/>
        <v>422.42384249999998</v>
      </c>
      <c r="T15" s="7">
        <f t="shared" si="5"/>
        <v>1501.95144</v>
      </c>
      <c r="U15" s="7">
        <f t="shared" si="6"/>
        <v>93.871965000000003</v>
      </c>
      <c r="V15" s="7">
        <f t="shared" si="7"/>
        <v>234.6799125</v>
      </c>
      <c r="W15" s="7">
        <f t="shared" si="8"/>
        <v>328.55187750000005</v>
      </c>
      <c r="X15" s="7">
        <f t="shared" si="9"/>
        <v>11546.251695000001</v>
      </c>
      <c r="Y15" s="7">
        <f t="shared" si="10"/>
        <v>7462.8212174999999</v>
      </c>
    </row>
    <row r="16" spans="1:33" ht="12.75" customHeight="1" x14ac:dyDescent="0.2">
      <c r="A16" s="93" t="s">
        <v>527</v>
      </c>
      <c r="B16" s="10" t="s">
        <v>481</v>
      </c>
      <c r="C16" s="7">
        <f>C10/1.6*1.2</f>
        <v>10342.679999999998</v>
      </c>
      <c r="D16" s="7">
        <f t="shared" si="12"/>
        <v>1551.4019999999998</v>
      </c>
      <c r="E16" s="7">
        <v>0</v>
      </c>
      <c r="F16" s="7"/>
      <c r="G16" s="7">
        <f>C16*VLOOKUP($C$2,Valores!$I$1:$J$53,2,FALSE)</f>
        <v>0</v>
      </c>
      <c r="H16" s="7">
        <f>H10/1.6*1.2</f>
        <v>6889.6724999999988</v>
      </c>
      <c r="I16" s="15">
        <f t="shared" si="11"/>
        <v>18783.754499999995</v>
      </c>
      <c r="J16" s="7">
        <v>0</v>
      </c>
      <c r="K16" s="12">
        <f t="shared" si="1"/>
        <v>0</v>
      </c>
      <c r="M16" s="64" t="s">
        <v>499</v>
      </c>
      <c r="N16" s="65">
        <f>SUM(N7:N15)</f>
        <v>9178.6340000000018</v>
      </c>
      <c r="O16" s="63">
        <f>INT((SUM(O7:O15)*100)+0.5)/100</f>
        <v>746.15</v>
      </c>
      <c r="Q16" s="7">
        <f t="shared" si="2"/>
        <v>2535.8068574999998</v>
      </c>
      <c r="R16" s="7">
        <f t="shared" si="3"/>
        <v>469.59386249999989</v>
      </c>
      <c r="S16" s="7">
        <f t="shared" si="4"/>
        <v>845.26895249999973</v>
      </c>
      <c r="T16" s="7">
        <f t="shared" si="5"/>
        <v>3005.4007199999992</v>
      </c>
      <c r="U16" s="7">
        <f t="shared" si="6"/>
        <v>187.83754499999995</v>
      </c>
      <c r="V16" s="7">
        <f t="shared" si="7"/>
        <v>469.59386249999989</v>
      </c>
      <c r="W16" s="7">
        <f t="shared" si="8"/>
        <v>657.43140749999986</v>
      </c>
      <c r="X16" s="7">
        <f t="shared" si="9"/>
        <v>23104.018034999994</v>
      </c>
      <c r="Y16" s="7">
        <f t="shared" si="10"/>
        <v>14933.084827499995</v>
      </c>
    </row>
    <row r="17" spans="1:25" ht="12.75" customHeight="1" x14ac:dyDescent="0.2">
      <c r="A17" s="93" t="s">
        <v>528</v>
      </c>
      <c r="B17" s="10" t="s">
        <v>482</v>
      </c>
      <c r="C17" s="7">
        <f>C11/1.6*1.2</f>
        <v>20685.359999999997</v>
      </c>
      <c r="D17" s="7">
        <f t="shared" si="12"/>
        <v>3102.8039999999996</v>
      </c>
      <c r="E17" s="7">
        <v>0</v>
      </c>
      <c r="F17" s="7"/>
      <c r="G17" s="7">
        <f>C17*VLOOKUP($C$2,Valores!$I$1:$J$53,2,FALSE)</f>
        <v>0</v>
      </c>
      <c r="H17" s="7">
        <f>H11/1.6*1.2</f>
        <v>13779.344999999998</v>
      </c>
      <c r="I17" s="15">
        <f t="shared" si="11"/>
        <v>37567.508999999991</v>
      </c>
      <c r="J17" s="7">
        <v>0</v>
      </c>
      <c r="K17" s="12">
        <f t="shared" si="1"/>
        <v>0</v>
      </c>
      <c r="M17" s="10"/>
      <c r="N17" s="63"/>
      <c r="O17" s="63">
        <f>O16*12*1.2</f>
        <v>10744.56</v>
      </c>
      <c r="Q17" s="7">
        <f t="shared" si="2"/>
        <v>5071.6137149999995</v>
      </c>
      <c r="R17" s="7">
        <f t="shared" si="3"/>
        <v>939.18772499999977</v>
      </c>
      <c r="S17" s="7">
        <f t="shared" si="4"/>
        <v>1690.5379049999995</v>
      </c>
      <c r="T17" s="7">
        <f t="shared" si="5"/>
        <v>6010.8014399999984</v>
      </c>
      <c r="U17" s="7">
        <f t="shared" si="6"/>
        <v>375.6750899999999</v>
      </c>
      <c r="V17" s="7">
        <f t="shared" si="7"/>
        <v>939.18772499999977</v>
      </c>
      <c r="W17" s="7">
        <f t="shared" si="8"/>
        <v>1314.8628149999997</v>
      </c>
      <c r="X17" s="7">
        <f t="shared" si="9"/>
        <v>46208.036069999987</v>
      </c>
      <c r="Y17" s="7">
        <f t="shared" si="10"/>
        <v>29866.169654999991</v>
      </c>
    </row>
    <row r="18" spans="1:25" ht="12.75" customHeight="1" x14ac:dyDescent="0.2">
      <c r="A18" s="93" t="s">
        <v>529</v>
      </c>
      <c r="B18" s="10" t="s">
        <v>483</v>
      </c>
      <c r="C18" s="7">
        <f>C6/1.6</f>
        <v>4844.3062499999996</v>
      </c>
      <c r="D18" s="7">
        <f t="shared" si="12"/>
        <v>726.64593749999995</v>
      </c>
      <c r="E18" s="7">
        <v>0</v>
      </c>
      <c r="F18" s="7"/>
      <c r="G18" s="7">
        <f>C18*VLOOKUP($C$2,Valores!$I$1:$J$53,2,FALSE)</f>
        <v>0</v>
      </c>
      <c r="H18" s="7">
        <f>H6/1.6</f>
        <v>3229.5445312499996</v>
      </c>
      <c r="I18" s="15">
        <f t="shared" si="11"/>
        <v>8800.4967187499988</v>
      </c>
      <c r="J18" s="7">
        <v>0</v>
      </c>
      <c r="K18" s="12">
        <f t="shared" si="1"/>
        <v>0</v>
      </c>
      <c r="M18" s="10" t="s">
        <v>511</v>
      </c>
      <c r="N18" s="63">
        <v>200.04000000000002</v>
      </c>
      <c r="O18" s="63">
        <v>16.670000000000002</v>
      </c>
      <c r="P18" s="7"/>
      <c r="Q18" s="7">
        <f t="shared" si="2"/>
        <v>1188.06705703125</v>
      </c>
      <c r="R18" s="7">
        <f t="shared" si="3"/>
        <v>220.01241796874999</v>
      </c>
      <c r="S18" s="7">
        <f t="shared" si="4"/>
        <v>396.02235234374996</v>
      </c>
      <c r="T18" s="7">
        <f t="shared" si="5"/>
        <v>1408.0794749999998</v>
      </c>
      <c r="U18" s="7">
        <f t="shared" si="6"/>
        <v>88.004967187499986</v>
      </c>
      <c r="V18" s="7">
        <f t="shared" si="7"/>
        <v>220.01241796874999</v>
      </c>
      <c r="W18" s="7">
        <f t="shared" si="8"/>
        <v>308.01738515624999</v>
      </c>
      <c r="X18" s="7">
        <f t="shared" si="9"/>
        <v>10824.6109640625</v>
      </c>
      <c r="Y18" s="7">
        <f t="shared" si="10"/>
        <v>6996.3948914062494</v>
      </c>
    </row>
    <row r="19" spans="1:25" ht="12.75" customHeight="1" x14ac:dyDescent="0.2">
      <c r="A19" s="93" t="s">
        <v>530</v>
      </c>
      <c r="B19" s="10" t="s">
        <v>484</v>
      </c>
      <c r="C19" s="7">
        <f>C10/1.6</f>
        <v>8618.9</v>
      </c>
      <c r="D19" s="7">
        <f t="shared" si="12"/>
        <v>1292.8349999999998</v>
      </c>
      <c r="E19" s="7">
        <v>0</v>
      </c>
      <c r="F19" s="7"/>
      <c r="G19" s="7">
        <f>C19*VLOOKUP($C$2,Valores!$I$1:$J$53,2,FALSE)</f>
        <v>0</v>
      </c>
      <c r="H19" s="7">
        <f>H10/1.6</f>
        <v>5741.3937499999993</v>
      </c>
      <c r="I19" s="15">
        <f t="shared" si="11"/>
        <v>15653.128749999998</v>
      </c>
      <c r="J19" s="7">
        <v>0</v>
      </c>
      <c r="K19" s="12">
        <f t="shared" si="1"/>
        <v>0</v>
      </c>
      <c r="M19" s="10" t="s">
        <v>512</v>
      </c>
      <c r="N19" s="63" t="e">
        <v>#REF!</v>
      </c>
      <c r="O19" s="63">
        <f>390/12</f>
        <v>32.5</v>
      </c>
      <c r="Q19" s="7">
        <f t="shared" si="2"/>
        <v>2113.1723812499999</v>
      </c>
      <c r="R19" s="7">
        <f t="shared" si="3"/>
        <v>391.32821874999996</v>
      </c>
      <c r="S19" s="7">
        <f t="shared" si="4"/>
        <v>704.39079374999983</v>
      </c>
      <c r="T19" s="7">
        <f t="shared" si="5"/>
        <v>2504.5005999999998</v>
      </c>
      <c r="U19" s="7">
        <f t="shared" si="6"/>
        <v>156.53128749999999</v>
      </c>
      <c r="V19" s="7">
        <f t="shared" si="7"/>
        <v>391.32821874999996</v>
      </c>
      <c r="W19" s="7">
        <f t="shared" si="8"/>
        <v>547.85950624999998</v>
      </c>
      <c r="X19" s="7">
        <f t="shared" si="9"/>
        <v>19253.348362500001</v>
      </c>
      <c r="Y19" s="7">
        <f t="shared" si="10"/>
        <v>12444.237356249998</v>
      </c>
    </row>
    <row r="20" spans="1:25" ht="12.75" customHeight="1" x14ac:dyDescent="0.2">
      <c r="A20" s="93" t="s">
        <v>531</v>
      </c>
      <c r="B20" s="10" t="s">
        <v>485</v>
      </c>
      <c r="C20" s="7">
        <f>C11/1.6</f>
        <v>17237.8</v>
      </c>
      <c r="D20" s="7">
        <f t="shared" si="12"/>
        <v>2585.6699999999996</v>
      </c>
      <c r="E20" s="7">
        <v>0</v>
      </c>
      <c r="F20" s="7"/>
      <c r="G20" s="7">
        <f>C20*VLOOKUP($C$2,Valores!$I$1:$J$53,2,FALSE)</f>
        <v>0</v>
      </c>
      <c r="H20" s="7">
        <f>H11/1.6</f>
        <v>11482.787499999999</v>
      </c>
      <c r="I20" s="15">
        <f>SUM(C20:H20)</f>
        <v>31306.257499999996</v>
      </c>
      <c r="J20" s="7">
        <v>0</v>
      </c>
      <c r="K20" s="12">
        <f t="shared" si="1"/>
        <v>0</v>
      </c>
      <c r="M20" s="64" t="s">
        <v>500</v>
      </c>
      <c r="N20" s="65" t="e">
        <f>SUM(N18:N19)</f>
        <v>#REF!</v>
      </c>
      <c r="O20" s="63">
        <f>SUM(O18:O19)*12</f>
        <v>590.04</v>
      </c>
      <c r="Q20" s="7">
        <f t="shared" si="2"/>
        <v>4226.3447624999999</v>
      </c>
      <c r="R20" s="7">
        <f t="shared" si="3"/>
        <v>782.65643749999992</v>
      </c>
      <c r="S20" s="7">
        <f t="shared" si="4"/>
        <v>1408.7815874999997</v>
      </c>
      <c r="T20" s="7">
        <f t="shared" si="5"/>
        <v>5009.0011999999997</v>
      </c>
      <c r="U20" s="7">
        <f t="shared" si="6"/>
        <v>313.06257499999998</v>
      </c>
      <c r="V20" s="7">
        <f t="shared" si="7"/>
        <v>782.65643749999992</v>
      </c>
      <c r="W20" s="7">
        <f t="shared" si="8"/>
        <v>1095.7190125</v>
      </c>
      <c r="X20" s="7">
        <f t="shared" si="9"/>
        <v>38506.696725000002</v>
      </c>
      <c r="Y20" s="7">
        <f t="shared" si="10"/>
        <v>24888.474712499996</v>
      </c>
    </row>
    <row r="21" spans="1:25" ht="12.75" customHeight="1" x14ac:dyDescent="0.2">
      <c r="A21" s="93" t="s">
        <v>588</v>
      </c>
      <c r="B21" s="10" t="s">
        <v>616</v>
      </c>
      <c r="C21" s="7">
        <v>688.97</v>
      </c>
      <c r="D21" s="7">
        <f t="shared" si="12"/>
        <v>103.3455</v>
      </c>
      <c r="E21" s="7">
        <v>0</v>
      </c>
      <c r="F21" s="7"/>
      <c r="G21" s="7">
        <f>C21*VLOOKUP($C$2,Valores!$I$1:$J$53,2,FALSE)</f>
        <v>0</v>
      </c>
      <c r="H21" s="7">
        <v>459.31490000000002</v>
      </c>
      <c r="I21" s="15">
        <f>SUM(C21:H21)</f>
        <v>1251.6304</v>
      </c>
      <c r="J21" s="7">
        <v>88.67</v>
      </c>
      <c r="K21" s="12">
        <f t="shared" si="1"/>
        <v>88.67</v>
      </c>
      <c r="M21" s="64"/>
      <c r="N21" s="65"/>
      <c r="O21" s="63"/>
      <c r="Q21" s="7">
        <f t="shared" si="2"/>
        <v>168.97010400000002</v>
      </c>
      <c r="R21" s="7">
        <f t="shared" si="3"/>
        <v>31.290760000000002</v>
      </c>
      <c r="S21" s="7">
        <f t="shared" si="4"/>
        <v>56.323367999999995</v>
      </c>
      <c r="T21" s="7">
        <f t="shared" si="5"/>
        <v>200.260864</v>
      </c>
      <c r="U21" s="7">
        <f t="shared" si="6"/>
        <v>12.516304</v>
      </c>
      <c r="V21" s="7">
        <f t="shared" si="7"/>
        <v>31.290760000000002</v>
      </c>
      <c r="W21" s="7">
        <f t="shared" si="8"/>
        <v>43.807064000000004</v>
      </c>
      <c r="X21" s="7">
        <f t="shared" si="9"/>
        <v>1628.1753920000003</v>
      </c>
      <c r="Y21" s="7">
        <f t="shared" si="10"/>
        <v>995.04616799999997</v>
      </c>
    </row>
    <row r="22" spans="1:25" ht="12.75" customHeight="1" x14ac:dyDescent="0.2">
      <c r="A22" s="93" t="s">
        <v>588</v>
      </c>
      <c r="B22" s="10" t="s">
        <v>617</v>
      </c>
      <c r="C22" s="7">
        <v>1377.94</v>
      </c>
      <c r="D22" s="7">
        <f t="shared" si="12"/>
        <v>206.691</v>
      </c>
      <c r="E22" s="7">
        <v>0</v>
      </c>
      <c r="F22" s="7"/>
      <c r="G22" s="7">
        <f>C22*VLOOKUP($C$2,Valores!$I$1:$J$53,2,FALSE)</f>
        <v>0</v>
      </c>
      <c r="H22" s="7">
        <v>918.63</v>
      </c>
      <c r="I22" s="15">
        <f t="shared" ref="I22:I32" si="13">SUM(C22:H22)</f>
        <v>2503.261</v>
      </c>
      <c r="J22" s="7">
        <v>177.34</v>
      </c>
      <c r="K22" s="12">
        <f t="shared" ref="K22:K32" si="14">SUM(J22)</f>
        <v>177.34</v>
      </c>
      <c r="M22" s="64"/>
      <c r="N22" s="65"/>
      <c r="O22" s="63"/>
      <c r="Q22" s="7">
        <f t="shared" si="2"/>
        <v>337.94023500000003</v>
      </c>
      <c r="R22" s="7">
        <f t="shared" si="3"/>
        <v>62.581524999999999</v>
      </c>
      <c r="S22" s="7">
        <f t="shared" si="4"/>
        <v>112.646745</v>
      </c>
      <c r="T22" s="7">
        <f t="shared" si="5"/>
        <v>400.52176000000003</v>
      </c>
      <c r="U22" s="7">
        <f t="shared" si="6"/>
        <v>25.032610000000002</v>
      </c>
      <c r="V22" s="7">
        <f t="shared" si="7"/>
        <v>62.581524999999999</v>
      </c>
      <c r="W22" s="7">
        <f t="shared" si="8"/>
        <v>87.614135000000005</v>
      </c>
      <c r="X22" s="7">
        <f t="shared" si="9"/>
        <v>3256.3510300000003</v>
      </c>
      <c r="Y22" s="7">
        <f t="shared" ref="Y22:Y28" si="15">+I22-SUM(Q22:S22)</f>
        <v>1990.0924949999999</v>
      </c>
    </row>
    <row r="23" spans="1:25" ht="12.75" customHeight="1" x14ac:dyDescent="0.2">
      <c r="A23" s="93" t="s">
        <v>588</v>
      </c>
      <c r="B23" s="10" t="s">
        <v>618</v>
      </c>
      <c r="C23" s="7">
        <v>2066.9</v>
      </c>
      <c r="D23" s="7">
        <f t="shared" si="12"/>
        <v>310.03500000000003</v>
      </c>
      <c r="E23" s="7">
        <v>0</v>
      </c>
      <c r="F23" s="7"/>
      <c r="G23" s="7">
        <f>C23*VLOOKUP($C$2,Valores!$I$1:$J$53,2,FALSE)</f>
        <v>0</v>
      </c>
      <c r="H23" s="7">
        <f>$H$21*3</f>
        <v>1377.9447</v>
      </c>
      <c r="I23" s="15">
        <f t="shared" si="13"/>
        <v>3754.8797</v>
      </c>
      <c r="J23" s="7">
        <v>266.01</v>
      </c>
      <c r="K23" s="12">
        <f t="shared" si="14"/>
        <v>266.01</v>
      </c>
      <c r="M23" s="64"/>
      <c r="N23" s="65"/>
      <c r="O23" s="63"/>
      <c r="Q23" s="7">
        <f t="shared" si="2"/>
        <v>506.90875950000003</v>
      </c>
      <c r="R23" s="7">
        <f t="shared" si="3"/>
        <v>93.871992500000005</v>
      </c>
      <c r="S23" s="7">
        <f t="shared" si="4"/>
        <v>168.96958649999999</v>
      </c>
      <c r="T23" s="7">
        <f t="shared" si="5"/>
        <v>600.78075200000001</v>
      </c>
      <c r="U23" s="7">
        <f t="shared" si="6"/>
        <v>37.548797</v>
      </c>
      <c r="V23" s="7">
        <f t="shared" si="7"/>
        <v>93.871992500000005</v>
      </c>
      <c r="W23" s="7">
        <f t="shared" si="8"/>
        <v>131.42078950000001</v>
      </c>
      <c r="X23" s="7">
        <f t="shared" si="9"/>
        <v>4884.5120309999993</v>
      </c>
      <c r="Y23" s="7">
        <f t="shared" si="15"/>
        <v>2985.1293615</v>
      </c>
    </row>
    <row r="24" spans="1:25" ht="12.75" customHeight="1" x14ac:dyDescent="0.2">
      <c r="A24" s="93" t="s">
        <v>588</v>
      </c>
      <c r="B24" s="10" t="s">
        <v>619</v>
      </c>
      <c r="C24" s="7">
        <v>2755.87</v>
      </c>
      <c r="D24" s="7">
        <f t="shared" si="12"/>
        <v>413.38049999999998</v>
      </c>
      <c r="E24" s="7">
        <v>0</v>
      </c>
      <c r="F24" s="7"/>
      <c r="G24" s="7">
        <f>C24*VLOOKUP($C$2,Valores!$I$1:$J$53,2,FALSE)</f>
        <v>0</v>
      </c>
      <c r="H24" s="7">
        <v>1837.25</v>
      </c>
      <c r="I24" s="15">
        <f t="shared" si="13"/>
        <v>5006.5005000000001</v>
      </c>
      <c r="J24" s="7">
        <v>354.68</v>
      </c>
      <c r="K24" s="12">
        <f t="shared" si="14"/>
        <v>354.68</v>
      </c>
      <c r="M24" s="64"/>
      <c r="N24" s="65"/>
      <c r="O24" s="63"/>
      <c r="Q24" s="7">
        <f t="shared" si="2"/>
        <v>675.87756750000005</v>
      </c>
      <c r="R24" s="7">
        <f t="shared" si="3"/>
        <v>125.16251250000001</v>
      </c>
      <c r="S24" s="7">
        <f t="shared" si="4"/>
        <v>225.29252249999999</v>
      </c>
      <c r="T24" s="7">
        <f t="shared" si="5"/>
        <v>801.04007999999999</v>
      </c>
      <c r="U24" s="7">
        <f t="shared" si="6"/>
        <v>50.065004999999999</v>
      </c>
      <c r="V24" s="7">
        <f t="shared" si="7"/>
        <v>125.16251250000001</v>
      </c>
      <c r="W24" s="7">
        <f t="shared" si="8"/>
        <v>175.22751750000003</v>
      </c>
      <c r="X24" s="7">
        <f t="shared" si="9"/>
        <v>6512.675615000001</v>
      </c>
      <c r="Y24" s="7">
        <f t="shared" si="15"/>
        <v>3980.1678975</v>
      </c>
    </row>
    <row r="25" spans="1:25" ht="12.75" customHeight="1" x14ac:dyDescent="0.2">
      <c r="A25" s="93" t="s">
        <v>588</v>
      </c>
      <c r="B25" s="10" t="s">
        <v>620</v>
      </c>
      <c r="C25" s="7">
        <v>3444.84</v>
      </c>
      <c r="D25" s="7">
        <f t="shared" si="12"/>
        <v>516.726</v>
      </c>
      <c r="E25" s="7">
        <v>0</v>
      </c>
      <c r="F25" s="7"/>
      <c r="G25" s="7">
        <f>C25*VLOOKUP($C$2,Valores!$I$1:$J$53,2,FALSE)</f>
        <v>0</v>
      </c>
      <c r="H25" s="7">
        <v>2296.5700000000002</v>
      </c>
      <c r="I25" s="15">
        <f t="shared" si="13"/>
        <v>6258.1360000000004</v>
      </c>
      <c r="J25" s="7">
        <v>443.35</v>
      </c>
      <c r="K25" s="12">
        <f t="shared" si="14"/>
        <v>443.35</v>
      </c>
      <c r="M25" s="64"/>
      <c r="N25" s="65"/>
      <c r="O25" s="63"/>
      <c r="Q25" s="7">
        <f t="shared" si="2"/>
        <v>844.84836000000007</v>
      </c>
      <c r="R25" s="7">
        <f t="shared" si="3"/>
        <v>156.45340000000002</v>
      </c>
      <c r="S25" s="7">
        <f t="shared" si="4"/>
        <v>281.61612000000002</v>
      </c>
      <c r="T25" s="7">
        <f t="shared" si="5"/>
        <v>1001.3017600000001</v>
      </c>
      <c r="U25" s="7">
        <f t="shared" si="6"/>
        <v>62.581360000000004</v>
      </c>
      <c r="V25" s="7">
        <f t="shared" si="7"/>
        <v>156.45340000000002</v>
      </c>
      <c r="W25" s="7">
        <f t="shared" si="8"/>
        <v>219.03476000000003</v>
      </c>
      <c r="X25" s="7">
        <f t="shared" si="9"/>
        <v>8140.857280000002</v>
      </c>
      <c r="Y25" s="7">
        <f t="shared" si="15"/>
        <v>4975.2181200000005</v>
      </c>
    </row>
    <row r="26" spans="1:25" ht="12.75" customHeight="1" x14ac:dyDescent="0.2">
      <c r="A26" s="93" t="s">
        <v>588</v>
      </c>
      <c r="B26" s="10" t="s">
        <v>621</v>
      </c>
      <c r="C26" s="7">
        <v>4133.8100000000004</v>
      </c>
      <c r="D26" s="7">
        <f t="shared" si="12"/>
        <v>620.07150000000001</v>
      </c>
      <c r="E26" s="7">
        <v>0</v>
      </c>
      <c r="F26" s="7"/>
      <c r="G26" s="7">
        <f>C26*VLOOKUP($C$2,Valores!$I$1:$J$53,2,FALSE)</f>
        <v>0</v>
      </c>
      <c r="H26" s="7">
        <v>2755.88</v>
      </c>
      <c r="I26" s="15">
        <f t="shared" si="13"/>
        <v>7509.7615000000005</v>
      </c>
      <c r="J26" s="7">
        <v>532.01</v>
      </c>
      <c r="K26" s="12">
        <f t="shared" si="14"/>
        <v>532.01</v>
      </c>
      <c r="M26" s="64"/>
      <c r="N26" s="65"/>
      <c r="O26" s="63"/>
      <c r="Q26" s="7">
        <f t="shared" si="2"/>
        <v>1013.8178025000001</v>
      </c>
      <c r="R26" s="7">
        <f t="shared" si="3"/>
        <v>187.74403750000002</v>
      </c>
      <c r="S26" s="7">
        <f t="shared" si="4"/>
        <v>337.93926750000003</v>
      </c>
      <c r="T26" s="7">
        <f t="shared" si="5"/>
        <v>1201.5618400000001</v>
      </c>
      <c r="U26" s="7">
        <f t="shared" si="6"/>
        <v>75.097615000000005</v>
      </c>
      <c r="V26" s="7">
        <f t="shared" si="7"/>
        <v>187.74403750000002</v>
      </c>
      <c r="W26" s="7">
        <f t="shared" si="8"/>
        <v>262.84165250000007</v>
      </c>
      <c r="X26" s="7">
        <f t="shared" si="9"/>
        <v>9769.0166450000015</v>
      </c>
      <c r="Y26" s="7">
        <f t="shared" si="15"/>
        <v>5970.2603925000003</v>
      </c>
    </row>
    <row r="27" spans="1:25" ht="12.75" customHeight="1" x14ac:dyDescent="0.2">
      <c r="A27" s="93" t="s">
        <v>588</v>
      </c>
      <c r="B27" s="10" t="s">
        <v>622</v>
      </c>
      <c r="C27" s="7">
        <v>4822.78</v>
      </c>
      <c r="D27" s="7">
        <f t="shared" si="12"/>
        <v>723.41699999999992</v>
      </c>
      <c r="E27" s="7">
        <v>0</v>
      </c>
      <c r="F27" s="7"/>
      <c r="G27" s="7">
        <f>C27*VLOOKUP($C$2,Valores!$I$1:$J$53,2,FALSE)</f>
        <v>0</v>
      </c>
      <c r="H27" s="7">
        <v>3215.19</v>
      </c>
      <c r="I27" s="15">
        <f t="shared" si="13"/>
        <v>8761.3870000000006</v>
      </c>
      <c r="J27" s="7">
        <v>620.67999999999995</v>
      </c>
      <c r="K27" s="12">
        <f t="shared" si="14"/>
        <v>620.67999999999995</v>
      </c>
      <c r="M27" s="64"/>
      <c r="N27" s="65"/>
      <c r="O27" s="63"/>
      <c r="Q27" s="7">
        <f t="shared" si="2"/>
        <v>1182.7872450000002</v>
      </c>
      <c r="R27" s="7">
        <f t="shared" si="3"/>
        <v>219.03467500000002</v>
      </c>
      <c r="S27" s="7">
        <f t="shared" si="4"/>
        <v>394.26241500000003</v>
      </c>
      <c r="T27" s="7">
        <f t="shared" si="5"/>
        <v>1401.8219200000001</v>
      </c>
      <c r="U27" s="7">
        <f t="shared" si="6"/>
        <v>87.613870000000006</v>
      </c>
      <c r="V27" s="7">
        <f t="shared" si="7"/>
        <v>219.03467500000002</v>
      </c>
      <c r="W27" s="7">
        <f t="shared" si="8"/>
        <v>306.64854500000007</v>
      </c>
      <c r="X27" s="7">
        <f t="shared" si="9"/>
        <v>11397.186010000001</v>
      </c>
      <c r="Y27" s="7">
        <f t="shared" si="15"/>
        <v>6965.3026650000002</v>
      </c>
    </row>
    <row r="28" spans="1:25" ht="12.75" customHeight="1" x14ac:dyDescent="0.2">
      <c r="A28" s="93" t="s">
        <v>588</v>
      </c>
      <c r="B28" s="10" t="s">
        <v>623</v>
      </c>
      <c r="C28" s="7">
        <v>5511.75</v>
      </c>
      <c r="D28" s="7">
        <f t="shared" si="12"/>
        <v>826.76249999999993</v>
      </c>
      <c r="E28" s="7">
        <v>0</v>
      </c>
      <c r="F28" s="7"/>
      <c r="G28" s="7">
        <f>C28*VLOOKUP($C$2,Valores!$I$1:$J$53,2,FALSE)</f>
        <v>0</v>
      </c>
      <c r="H28" s="7">
        <v>3674.5</v>
      </c>
      <c r="I28" s="15">
        <f t="shared" si="13"/>
        <v>10013.012500000001</v>
      </c>
      <c r="J28" s="7">
        <v>709.35</v>
      </c>
      <c r="K28" s="12">
        <f t="shared" si="14"/>
        <v>709.35</v>
      </c>
      <c r="M28" s="64"/>
      <c r="N28" s="65"/>
      <c r="O28" s="63"/>
      <c r="Q28" s="7">
        <f t="shared" si="2"/>
        <v>1351.7566875000002</v>
      </c>
      <c r="R28" s="7">
        <f t="shared" si="3"/>
        <v>250.32531250000002</v>
      </c>
      <c r="S28" s="7">
        <f t="shared" si="4"/>
        <v>450.58556250000004</v>
      </c>
      <c r="T28" s="7">
        <f t="shared" si="5"/>
        <v>1602.0820000000001</v>
      </c>
      <c r="U28" s="7">
        <f t="shared" si="6"/>
        <v>100.13012500000001</v>
      </c>
      <c r="V28" s="7">
        <f t="shared" si="7"/>
        <v>250.32531250000002</v>
      </c>
      <c r="W28" s="7">
        <f t="shared" si="8"/>
        <v>350.45543750000007</v>
      </c>
      <c r="X28" s="7">
        <f t="shared" si="9"/>
        <v>13025.355375000001</v>
      </c>
      <c r="Y28" s="7">
        <f t="shared" si="15"/>
        <v>7960.3449375</v>
      </c>
    </row>
    <row r="29" spans="1:25" ht="12.75" customHeight="1" x14ac:dyDescent="0.2">
      <c r="A29" s="93" t="s">
        <v>588</v>
      </c>
      <c r="B29" s="10" t="s">
        <v>638</v>
      </c>
      <c r="C29" s="7">
        <v>6200.71</v>
      </c>
      <c r="D29" s="7">
        <f t="shared" si="12"/>
        <v>930.10649999999998</v>
      </c>
      <c r="E29" s="7"/>
      <c r="F29" s="7"/>
      <c r="G29" s="7">
        <f>C29*VLOOKUP($C$2,Valores!$I$1:$J$53,2,FALSE)</f>
        <v>0</v>
      </c>
      <c r="H29" s="7">
        <v>4133.82</v>
      </c>
      <c r="I29" s="15">
        <f t="shared" si="13"/>
        <v>11264.636500000001</v>
      </c>
      <c r="J29" s="7">
        <v>798.02</v>
      </c>
      <c r="K29" s="12">
        <f t="shared" si="14"/>
        <v>798.02</v>
      </c>
      <c r="M29" s="64"/>
      <c r="N29" s="65"/>
      <c r="O29" s="63"/>
      <c r="Q29" s="7"/>
      <c r="R29" s="7"/>
      <c r="S29" s="7"/>
      <c r="T29" s="7"/>
      <c r="U29" s="7"/>
      <c r="V29" s="7"/>
      <c r="W29" s="7"/>
      <c r="X29" s="7"/>
      <c r="Y29" s="7"/>
    </row>
    <row r="30" spans="1:25" ht="12.75" customHeight="1" x14ac:dyDescent="0.2">
      <c r="A30" s="93" t="s">
        <v>588</v>
      </c>
      <c r="B30" s="10" t="s">
        <v>639</v>
      </c>
      <c r="C30" s="7">
        <v>6889.68</v>
      </c>
      <c r="D30" s="7">
        <f t="shared" si="12"/>
        <v>1033.452</v>
      </c>
      <c r="E30" s="7"/>
      <c r="F30" s="7"/>
      <c r="G30" s="7">
        <f>C30*VLOOKUP($C$2,Valores!$I$1:$J$53,2,FALSE)</f>
        <v>0</v>
      </c>
      <c r="H30" s="7">
        <v>4593.13</v>
      </c>
      <c r="I30" s="15">
        <f t="shared" si="13"/>
        <v>12516.262000000001</v>
      </c>
      <c r="J30" s="7">
        <v>886.69</v>
      </c>
      <c r="K30" s="12">
        <f t="shared" si="14"/>
        <v>886.69</v>
      </c>
      <c r="M30" s="64"/>
      <c r="N30" s="65"/>
      <c r="O30" s="63"/>
      <c r="Q30" s="7"/>
      <c r="R30" s="7"/>
      <c r="S30" s="7"/>
      <c r="T30" s="7"/>
      <c r="U30" s="7"/>
      <c r="V30" s="7"/>
      <c r="W30" s="7"/>
      <c r="X30" s="7"/>
      <c r="Y30" s="7"/>
    </row>
    <row r="31" spans="1:25" ht="12.75" customHeight="1" x14ac:dyDescent="0.2">
      <c r="A31" s="93" t="s">
        <v>588</v>
      </c>
      <c r="B31" s="10" t="s">
        <v>640</v>
      </c>
      <c r="C31" s="7">
        <v>7878.65</v>
      </c>
      <c r="D31" s="7">
        <f t="shared" si="12"/>
        <v>1181.7974999999999</v>
      </c>
      <c r="E31" s="7"/>
      <c r="F31" s="7"/>
      <c r="G31" s="7">
        <f>C31*VLOOKUP($C$2,Valores!$I$1:$J$53,2,FALSE)</f>
        <v>0</v>
      </c>
      <c r="H31" s="7">
        <v>5052.4399999999996</v>
      </c>
      <c r="I31" s="15">
        <f t="shared" si="13"/>
        <v>14112.887500000001</v>
      </c>
      <c r="J31" s="7">
        <v>975.36</v>
      </c>
      <c r="K31" s="12">
        <f t="shared" si="14"/>
        <v>975.36</v>
      </c>
      <c r="M31" s="64"/>
      <c r="N31" s="65"/>
      <c r="O31" s="63"/>
      <c r="Q31" s="7"/>
      <c r="R31" s="7"/>
      <c r="S31" s="7"/>
      <c r="T31" s="7"/>
      <c r="U31" s="7"/>
      <c r="V31" s="7"/>
      <c r="W31" s="7"/>
      <c r="X31" s="7"/>
      <c r="Y31" s="7"/>
    </row>
    <row r="32" spans="1:25" ht="12.75" customHeight="1" x14ac:dyDescent="0.2">
      <c r="A32" s="93" t="s">
        <v>588</v>
      </c>
      <c r="B32" s="10" t="s">
        <v>641</v>
      </c>
      <c r="C32" s="7">
        <v>8567.6200000000008</v>
      </c>
      <c r="D32" s="7">
        <f t="shared" si="12"/>
        <v>1285.143</v>
      </c>
      <c r="E32" s="7"/>
      <c r="F32" s="7"/>
      <c r="G32" s="7">
        <f>C32*VLOOKUP($C$2,Valores!$I$1:$J$53,2,FALSE)</f>
        <v>0</v>
      </c>
      <c r="H32" s="7">
        <v>5511.75</v>
      </c>
      <c r="I32" s="15">
        <f t="shared" si="13"/>
        <v>15364.513000000001</v>
      </c>
      <c r="J32" s="7">
        <v>1064.03</v>
      </c>
      <c r="K32" s="12">
        <f t="shared" si="14"/>
        <v>1064.03</v>
      </c>
      <c r="M32" s="64"/>
      <c r="N32" s="65"/>
      <c r="O32" s="63"/>
      <c r="Q32" s="7"/>
      <c r="R32" s="7"/>
      <c r="S32" s="7"/>
      <c r="T32" s="7"/>
      <c r="U32" s="7"/>
      <c r="V32" s="7"/>
      <c r="W32" s="7"/>
      <c r="X32" s="7"/>
      <c r="Y32" s="7"/>
    </row>
    <row r="33" spans="1:25" ht="12.75" customHeight="1" x14ac:dyDescent="0.2">
      <c r="A33" s="93"/>
      <c r="B33" s="10"/>
      <c r="C33" s="7"/>
      <c r="D33" s="7"/>
      <c r="E33" s="7"/>
      <c r="F33" s="7"/>
      <c r="G33" s="7"/>
      <c r="H33" s="7"/>
      <c r="I33" s="15"/>
      <c r="J33" s="7"/>
      <c r="K33" s="12"/>
      <c r="M33" s="64"/>
      <c r="N33" s="65"/>
      <c r="O33" s="63"/>
      <c r="Q33" s="7"/>
      <c r="R33" s="7"/>
      <c r="S33" s="7"/>
      <c r="T33" s="7"/>
      <c r="U33" s="7"/>
      <c r="V33" s="7"/>
      <c r="W33" s="7"/>
      <c r="X33" s="7">
        <f>I33+K33+T33+U33+V33+W33</f>
        <v>0</v>
      </c>
      <c r="Y33" s="7">
        <f>+I33-SUM(Q33:S33)</f>
        <v>0</v>
      </c>
    </row>
    <row r="34" spans="1:25" ht="12.75" customHeight="1" x14ac:dyDescent="0.2">
      <c r="A34" s="164"/>
      <c r="B34" s="165"/>
      <c r="C34" s="166"/>
      <c r="D34" s="166"/>
      <c r="E34" s="166"/>
      <c r="F34" s="166"/>
      <c r="G34" s="166"/>
      <c r="H34" s="166"/>
      <c r="I34" s="167"/>
      <c r="J34" s="166"/>
      <c r="K34" s="168"/>
      <c r="M34" s="64"/>
      <c r="N34" s="65"/>
      <c r="O34" s="63"/>
      <c r="Q34" s="163">
        <v>0.11</v>
      </c>
      <c r="R34" s="163">
        <v>0.05</v>
      </c>
      <c r="S34" s="162">
        <v>4.4999999999999998E-2</v>
      </c>
      <c r="T34" s="159">
        <v>0.16</v>
      </c>
      <c r="U34" s="160">
        <v>0</v>
      </c>
      <c r="V34" s="161">
        <v>0</v>
      </c>
      <c r="W34" s="161">
        <v>3.5000000000000003E-2</v>
      </c>
      <c r="X34" s="7" t="s">
        <v>624</v>
      </c>
      <c r="Y34" s="7"/>
    </row>
    <row r="35" spans="1:25" ht="12.75" customHeight="1" x14ac:dyDescent="0.2">
      <c r="A35" s="93" t="s">
        <v>538</v>
      </c>
      <c r="B35" s="10" t="s">
        <v>539</v>
      </c>
      <c r="C35" s="7">
        <v>51328.46</v>
      </c>
      <c r="D35" s="7">
        <v>0</v>
      </c>
      <c r="E35" s="7">
        <v>574.89</v>
      </c>
      <c r="F35" s="7">
        <v>4043.48</v>
      </c>
      <c r="G35" s="7">
        <f>C35*0.0225*$C$2</f>
        <v>0</v>
      </c>
      <c r="H35" s="7">
        <v>0</v>
      </c>
      <c r="I35" s="15">
        <f>SUM(C35:H35)</f>
        <v>55946.83</v>
      </c>
      <c r="J35" s="7">
        <v>0</v>
      </c>
      <c r="K35" s="7">
        <f>SUM(J35)</f>
        <v>0</v>
      </c>
      <c r="L35" s="109" t="s">
        <v>559</v>
      </c>
      <c r="Q35" s="7">
        <f>I35*$Q$5</f>
        <v>7552.8220500000007</v>
      </c>
      <c r="R35" s="7">
        <f>I35*$R$5</f>
        <v>1398.6707500000002</v>
      </c>
      <c r="S35" s="7">
        <f t="shared" ref="S35:S47" si="16">I35*$S$5</f>
        <v>2517.6073499999998</v>
      </c>
      <c r="T35" s="7">
        <f t="shared" ref="T35:T47" si="17">I35*$T$34</f>
        <v>8951.4928</v>
      </c>
      <c r="U35" s="7">
        <f t="shared" ref="U35:U47" si="18">I35*$U$34</f>
        <v>0</v>
      </c>
      <c r="V35" s="7">
        <f t="shared" ref="V35:V47" si="19">I35*$V$34</f>
        <v>0</v>
      </c>
      <c r="W35" s="7">
        <f t="shared" ref="W35:W47" si="20">I35*$W$34</f>
        <v>1958.1390500000002</v>
      </c>
      <c r="X35" s="7">
        <f t="shared" ref="X35:X47" si="21">I35+K35+T35+U35+V35+W35</f>
        <v>66856.461850000007</v>
      </c>
      <c r="Y35" s="7">
        <f t="shared" ref="Y35:Y47" si="22">+I35-SUM(Q35:S35)</f>
        <v>44477.729850000003</v>
      </c>
    </row>
    <row r="36" spans="1:25" ht="12.75" customHeight="1" x14ac:dyDescent="0.2">
      <c r="A36" s="93" t="s">
        <v>532</v>
      </c>
      <c r="B36" s="10" t="s">
        <v>533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15">
        <f t="shared" ref="I36:I47" si="23">SUM(C36:H36)</f>
        <v>0</v>
      </c>
      <c r="J36" s="7">
        <v>0</v>
      </c>
      <c r="K36" s="7">
        <f>SUM(J36)</f>
        <v>0</v>
      </c>
      <c r="L36" s="109" t="s">
        <v>557</v>
      </c>
      <c r="M36" s="10" t="s">
        <v>513</v>
      </c>
      <c r="N36" s="63">
        <v>5314.29</v>
      </c>
      <c r="O36" s="63">
        <v>3542.86</v>
      </c>
      <c r="Q36" s="7">
        <f>I36*$Q$5</f>
        <v>0</v>
      </c>
      <c r="R36" s="7">
        <f>I36*$R$5</f>
        <v>0</v>
      </c>
      <c r="S36" s="7">
        <f t="shared" si="16"/>
        <v>0</v>
      </c>
      <c r="T36" s="7">
        <f t="shared" si="17"/>
        <v>0</v>
      </c>
      <c r="U36" s="7">
        <f t="shared" si="18"/>
        <v>0</v>
      </c>
      <c r="V36" s="7">
        <f t="shared" si="19"/>
        <v>0</v>
      </c>
      <c r="W36" s="7">
        <f t="shared" si="20"/>
        <v>0</v>
      </c>
      <c r="X36" s="7">
        <f t="shared" si="21"/>
        <v>0</v>
      </c>
      <c r="Y36" s="7">
        <f t="shared" si="22"/>
        <v>0</v>
      </c>
    </row>
    <row r="37" spans="1:25" ht="12.75" customHeight="1" x14ac:dyDescent="0.2">
      <c r="A37" s="93" t="s">
        <v>534</v>
      </c>
      <c r="B37" s="10" t="s">
        <v>535</v>
      </c>
      <c r="C37" s="7">
        <v>140966.51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15">
        <f t="shared" si="23"/>
        <v>140966.51</v>
      </c>
      <c r="J37" s="7">
        <v>0</v>
      </c>
      <c r="K37" s="7">
        <f>SUM(J37)</f>
        <v>0</v>
      </c>
      <c r="L37" s="109" t="s">
        <v>556</v>
      </c>
      <c r="M37" s="10" t="s">
        <v>514</v>
      </c>
      <c r="N37" s="63">
        <v>10628.58</v>
      </c>
      <c r="O37" s="63">
        <v>7085.72</v>
      </c>
      <c r="Q37" s="7">
        <f>I37*0.088</f>
        <v>12405.052879999999</v>
      </c>
      <c r="R37" s="7">
        <f>I37*0.07203875</f>
        <v>10155.0511722625</v>
      </c>
      <c r="S37" s="7">
        <f t="shared" si="16"/>
        <v>6343.4929499999998</v>
      </c>
      <c r="T37" s="7">
        <f t="shared" si="17"/>
        <v>22554.641600000003</v>
      </c>
      <c r="U37" s="7">
        <f t="shared" si="18"/>
        <v>0</v>
      </c>
      <c r="V37" s="7">
        <f t="shared" si="19"/>
        <v>0</v>
      </c>
      <c r="W37" s="7">
        <f t="shared" si="20"/>
        <v>4933.8278500000006</v>
      </c>
      <c r="X37" s="7">
        <f t="shared" si="21"/>
        <v>168454.97945000001</v>
      </c>
      <c r="Y37" s="7">
        <f t="shared" si="22"/>
        <v>112062.91299773751</v>
      </c>
    </row>
    <row r="38" spans="1:25" ht="12.75" customHeight="1" x14ac:dyDescent="0.2">
      <c r="A38" s="93" t="s">
        <v>567</v>
      </c>
      <c r="B38" s="10" t="s">
        <v>566</v>
      </c>
      <c r="C38" s="7">
        <v>122846.6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15">
        <f t="shared" si="23"/>
        <v>122846.6</v>
      </c>
      <c r="J38" s="7"/>
      <c r="K38" s="7"/>
      <c r="L38" s="109"/>
      <c r="Q38" s="7">
        <f>I38*0.0826645</f>
        <v>10155.0527657</v>
      </c>
      <c r="R38" s="7">
        <f>I38*0.0773355</f>
        <v>9500.4032342999999</v>
      </c>
      <c r="S38" s="7">
        <f t="shared" si="16"/>
        <v>5528.0969999999998</v>
      </c>
      <c r="T38" s="7">
        <f t="shared" si="17"/>
        <v>19655.456000000002</v>
      </c>
      <c r="U38" s="7">
        <f t="shared" si="18"/>
        <v>0</v>
      </c>
      <c r="V38" s="7">
        <f t="shared" si="19"/>
        <v>0</v>
      </c>
      <c r="W38" s="7">
        <f t="shared" si="20"/>
        <v>4299.6310000000003</v>
      </c>
      <c r="X38" s="7">
        <f t="shared" si="21"/>
        <v>146801.68700000001</v>
      </c>
      <c r="Y38" s="7">
        <f t="shared" si="22"/>
        <v>97663.047000000006</v>
      </c>
    </row>
    <row r="39" spans="1:25" ht="12.75" customHeight="1" x14ac:dyDescent="0.2">
      <c r="A39" s="93" t="s">
        <v>536</v>
      </c>
      <c r="B39" s="10" t="s">
        <v>537</v>
      </c>
      <c r="C39" s="7">
        <v>91295.03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15">
        <f t="shared" si="23"/>
        <v>91295.03</v>
      </c>
      <c r="J39" s="7">
        <v>0</v>
      </c>
      <c r="K39" s="7">
        <f t="shared" ref="K39:K47" si="24">SUM(J39)</f>
        <v>0</v>
      </c>
      <c r="L39" s="109" t="s">
        <v>559</v>
      </c>
      <c r="Q39" s="7">
        <f>I39*$Q$34</f>
        <v>10042.453299999999</v>
      </c>
      <c r="R39" s="7">
        <f>I39*$R$34</f>
        <v>4564.7515000000003</v>
      </c>
      <c r="S39" s="7">
        <f t="shared" si="16"/>
        <v>4108.2763500000001</v>
      </c>
      <c r="T39" s="7">
        <f t="shared" si="17"/>
        <v>14607.2048</v>
      </c>
      <c r="U39" s="7">
        <f t="shared" si="18"/>
        <v>0</v>
      </c>
      <c r="V39" s="7">
        <f t="shared" si="19"/>
        <v>0</v>
      </c>
      <c r="W39" s="7">
        <f t="shared" si="20"/>
        <v>3195.3260500000001</v>
      </c>
      <c r="X39" s="7">
        <f t="shared" si="21"/>
        <v>109097.56085000001</v>
      </c>
      <c r="Y39" s="7">
        <f t="shared" si="22"/>
        <v>72579.548849999992</v>
      </c>
    </row>
    <row r="40" spans="1:25" ht="12.75" customHeight="1" x14ac:dyDescent="0.2">
      <c r="A40" s="93" t="s">
        <v>540</v>
      </c>
      <c r="B40" s="10" t="s">
        <v>541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15">
        <f t="shared" si="23"/>
        <v>0</v>
      </c>
      <c r="J40" s="7">
        <v>0</v>
      </c>
      <c r="K40" s="7">
        <f t="shared" si="24"/>
        <v>0</v>
      </c>
      <c r="L40" s="109" t="s">
        <v>559</v>
      </c>
      <c r="Q40" s="7">
        <f>I40*$Q$5</f>
        <v>0</v>
      </c>
      <c r="R40" s="7">
        <f>I40*$R$5</f>
        <v>0</v>
      </c>
      <c r="S40" s="7">
        <f t="shared" si="16"/>
        <v>0</v>
      </c>
      <c r="T40" s="7">
        <f t="shared" si="17"/>
        <v>0</v>
      </c>
      <c r="U40" s="7">
        <f t="shared" si="18"/>
        <v>0</v>
      </c>
      <c r="V40" s="7">
        <f t="shared" si="19"/>
        <v>0</v>
      </c>
      <c r="W40" s="7">
        <f t="shared" si="20"/>
        <v>0</v>
      </c>
      <c r="X40" s="7">
        <f t="shared" si="21"/>
        <v>0</v>
      </c>
      <c r="Y40" s="7">
        <f t="shared" si="22"/>
        <v>0</v>
      </c>
    </row>
    <row r="41" spans="1:25" x14ac:dyDescent="0.2">
      <c r="A41" s="93" t="s">
        <v>542</v>
      </c>
      <c r="B41" s="10" t="s">
        <v>543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15">
        <f t="shared" si="23"/>
        <v>0</v>
      </c>
      <c r="J41" s="7">
        <v>0</v>
      </c>
      <c r="K41" s="7">
        <f t="shared" si="24"/>
        <v>0</v>
      </c>
      <c r="L41" s="109" t="s">
        <v>559</v>
      </c>
      <c r="Q41" s="7">
        <f>I41*$Q$5</f>
        <v>0</v>
      </c>
      <c r="R41" s="7">
        <f>I41*$R$5</f>
        <v>0</v>
      </c>
      <c r="S41" s="7">
        <f t="shared" si="16"/>
        <v>0</v>
      </c>
      <c r="T41" s="7">
        <f t="shared" si="17"/>
        <v>0</v>
      </c>
      <c r="U41" s="7">
        <f t="shared" si="18"/>
        <v>0</v>
      </c>
      <c r="V41" s="7">
        <f t="shared" si="19"/>
        <v>0</v>
      </c>
      <c r="W41" s="7">
        <f t="shared" si="20"/>
        <v>0</v>
      </c>
      <c r="X41" s="7">
        <f t="shared" si="21"/>
        <v>0</v>
      </c>
      <c r="Y41" s="7">
        <f t="shared" si="22"/>
        <v>0</v>
      </c>
    </row>
    <row r="42" spans="1:25" x14ac:dyDescent="0.2">
      <c r="A42" s="93" t="s">
        <v>544</v>
      </c>
      <c r="B42" s="10" t="s">
        <v>545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15">
        <f t="shared" si="23"/>
        <v>0</v>
      </c>
      <c r="J42" s="7">
        <v>0</v>
      </c>
      <c r="K42" s="7">
        <f t="shared" si="24"/>
        <v>0</v>
      </c>
      <c r="L42" s="109" t="s">
        <v>559</v>
      </c>
      <c r="Q42" s="7">
        <f>I42*$Q$5</f>
        <v>0</v>
      </c>
      <c r="R42" s="7">
        <f>I42*$R$5</f>
        <v>0</v>
      </c>
      <c r="S42" s="7">
        <f t="shared" si="16"/>
        <v>0</v>
      </c>
      <c r="T42" s="7">
        <f t="shared" si="17"/>
        <v>0</v>
      </c>
      <c r="U42" s="7">
        <f t="shared" si="18"/>
        <v>0</v>
      </c>
      <c r="V42" s="7">
        <f t="shared" si="19"/>
        <v>0</v>
      </c>
      <c r="W42" s="7">
        <f t="shared" si="20"/>
        <v>0</v>
      </c>
      <c r="X42" s="7">
        <f t="shared" si="21"/>
        <v>0</v>
      </c>
      <c r="Y42" s="7">
        <f t="shared" si="22"/>
        <v>0</v>
      </c>
    </row>
    <row r="43" spans="1:25" x14ac:dyDescent="0.2">
      <c r="A43" s="93" t="s">
        <v>568</v>
      </c>
      <c r="B43" s="10" t="s">
        <v>569</v>
      </c>
      <c r="C43" s="7">
        <v>51328.46</v>
      </c>
      <c r="D43" s="7">
        <v>0</v>
      </c>
      <c r="E43" s="7">
        <v>574.89</v>
      </c>
      <c r="F43" s="7">
        <v>4043.48</v>
      </c>
      <c r="G43" s="7">
        <f>C43*0.0225*$C$2</f>
        <v>0</v>
      </c>
      <c r="H43" s="7">
        <v>0</v>
      </c>
      <c r="I43" s="15">
        <f t="shared" si="23"/>
        <v>55946.83</v>
      </c>
      <c r="J43" s="7">
        <v>0</v>
      </c>
      <c r="K43" s="7">
        <f t="shared" si="24"/>
        <v>0</v>
      </c>
      <c r="L43" s="109"/>
      <c r="Q43" s="7">
        <f>I43*$Q$34</f>
        <v>6154.1513000000004</v>
      </c>
      <c r="R43" s="7">
        <f>I43*$R$34</f>
        <v>2797.3415000000005</v>
      </c>
      <c r="S43" s="7">
        <f t="shared" si="16"/>
        <v>2517.6073499999998</v>
      </c>
      <c r="T43" s="7">
        <f t="shared" si="17"/>
        <v>8951.4928</v>
      </c>
      <c r="U43" s="7">
        <f t="shared" si="18"/>
        <v>0</v>
      </c>
      <c r="V43" s="7">
        <f t="shared" si="19"/>
        <v>0</v>
      </c>
      <c r="W43" s="7">
        <f t="shared" si="20"/>
        <v>1958.1390500000002</v>
      </c>
      <c r="X43" s="7">
        <f t="shared" si="21"/>
        <v>66856.461850000007</v>
      </c>
      <c r="Y43" s="7">
        <f t="shared" si="22"/>
        <v>44477.729850000003</v>
      </c>
    </row>
    <row r="44" spans="1:25" ht="12.75" customHeight="1" x14ac:dyDescent="0.2">
      <c r="A44" s="93" t="s">
        <v>546</v>
      </c>
      <c r="B44" s="10" t="s">
        <v>547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15">
        <f t="shared" si="23"/>
        <v>0</v>
      </c>
      <c r="J44" s="7">
        <v>0</v>
      </c>
      <c r="K44" s="7">
        <f t="shared" si="24"/>
        <v>0</v>
      </c>
      <c r="L44" s="109" t="s">
        <v>557</v>
      </c>
      <c r="Q44" s="7">
        <f>I44*$Q$5</f>
        <v>0</v>
      </c>
      <c r="R44" s="7">
        <f>I44*$R$5</f>
        <v>0</v>
      </c>
      <c r="S44" s="7">
        <f t="shared" si="16"/>
        <v>0</v>
      </c>
      <c r="T44" s="7">
        <f t="shared" si="17"/>
        <v>0</v>
      </c>
      <c r="U44" s="7">
        <f t="shared" si="18"/>
        <v>0</v>
      </c>
      <c r="V44" s="7">
        <f t="shared" si="19"/>
        <v>0</v>
      </c>
      <c r="W44" s="7">
        <f t="shared" si="20"/>
        <v>0</v>
      </c>
      <c r="X44" s="7">
        <f t="shared" si="21"/>
        <v>0</v>
      </c>
      <c r="Y44" s="7">
        <f t="shared" si="22"/>
        <v>0</v>
      </c>
    </row>
    <row r="45" spans="1:25" ht="12.75" customHeight="1" x14ac:dyDescent="0.2">
      <c r="A45" s="93" t="s">
        <v>548</v>
      </c>
      <c r="B45" s="10" t="s">
        <v>549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15">
        <f t="shared" si="23"/>
        <v>0</v>
      </c>
      <c r="J45" s="7">
        <v>0</v>
      </c>
      <c r="K45" s="7">
        <f t="shared" si="24"/>
        <v>0</v>
      </c>
      <c r="L45" s="109" t="s">
        <v>557</v>
      </c>
      <c r="Q45" s="7">
        <f>I45*$Q$5</f>
        <v>0</v>
      </c>
      <c r="R45" s="7">
        <f>I45*$R$5</f>
        <v>0</v>
      </c>
      <c r="S45" s="7">
        <f t="shared" si="16"/>
        <v>0</v>
      </c>
      <c r="T45" s="7">
        <f t="shared" si="17"/>
        <v>0</v>
      </c>
      <c r="U45" s="7">
        <f t="shared" si="18"/>
        <v>0</v>
      </c>
      <c r="V45" s="7">
        <f t="shared" si="19"/>
        <v>0</v>
      </c>
      <c r="W45" s="7">
        <f t="shared" si="20"/>
        <v>0</v>
      </c>
      <c r="X45" s="7">
        <f t="shared" si="21"/>
        <v>0</v>
      </c>
      <c r="Y45" s="7">
        <f t="shared" si="22"/>
        <v>0</v>
      </c>
    </row>
    <row r="46" spans="1:25" ht="12.75" customHeight="1" x14ac:dyDescent="0.2">
      <c r="A46" s="93" t="s">
        <v>550</v>
      </c>
      <c r="B46" s="10" t="s">
        <v>551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15">
        <f t="shared" si="23"/>
        <v>0</v>
      </c>
      <c r="J46" s="7">
        <v>0</v>
      </c>
      <c r="K46" s="7">
        <f t="shared" si="24"/>
        <v>0</v>
      </c>
      <c r="L46" s="109" t="s">
        <v>557</v>
      </c>
      <c r="Q46" s="7">
        <f>I46*$Q$5</f>
        <v>0</v>
      </c>
      <c r="R46" s="7">
        <f>I46*$R$5</f>
        <v>0</v>
      </c>
      <c r="S46" s="7">
        <f t="shared" si="16"/>
        <v>0</v>
      </c>
      <c r="T46" s="7">
        <f t="shared" si="17"/>
        <v>0</v>
      </c>
      <c r="U46" s="7">
        <f t="shared" si="18"/>
        <v>0</v>
      </c>
      <c r="V46" s="7">
        <f t="shared" si="19"/>
        <v>0</v>
      </c>
      <c r="W46" s="7">
        <f t="shared" si="20"/>
        <v>0</v>
      </c>
      <c r="X46" s="7">
        <f t="shared" si="21"/>
        <v>0</v>
      </c>
      <c r="Y46" s="7">
        <f t="shared" si="22"/>
        <v>0</v>
      </c>
    </row>
    <row r="47" spans="1:25" ht="12.75" customHeight="1" x14ac:dyDescent="0.2">
      <c r="A47" s="93" t="s">
        <v>552</v>
      </c>
      <c r="B47" s="10" t="s">
        <v>553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15">
        <f t="shared" si="23"/>
        <v>0</v>
      </c>
      <c r="J47" s="7">
        <v>0</v>
      </c>
      <c r="K47" s="7">
        <f t="shared" si="24"/>
        <v>0</v>
      </c>
      <c r="L47" s="109" t="s">
        <v>557</v>
      </c>
      <c r="Q47" s="7">
        <f>I47*$Q$5</f>
        <v>0</v>
      </c>
      <c r="R47" s="7">
        <f>I47*$R$5</f>
        <v>0</v>
      </c>
      <c r="S47" s="7">
        <f t="shared" si="16"/>
        <v>0</v>
      </c>
      <c r="T47" s="7">
        <f t="shared" si="17"/>
        <v>0</v>
      </c>
      <c r="U47" s="7">
        <f t="shared" si="18"/>
        <v>0</v>
      </c>
      <c r="V47" s="7">
        <f t="shared" si="19"/>
        <v>0</v>
      </c>
      <c r="W47" s="7">
        <f t="shared" si="20"/>
        <v>0</v>
      </c>
      <c r="X47" s="7">
        <f t="shared" si="21"/>
        <v>0</v>
      </c>
      <c r="Y47" s="7">
        <f t="shared" si="22"/>
        <v>0</v>
      </c>
    </row>
  </sheetData>
  <autoFilter ref="A5:K37"/>
  <sortState ref="A21:C31">
    <sortCondition ref="A21:A31"/>
  </sortState>
  <mergeCells count="4">
    <mergeCell ref="A2:B2"/>
    <mergeCell ref="A1:J1"/>
    <mergeCell ref="Q3:S3"/>
    <mergeCell ref="T3:W3"/>
  </mergeCells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Valores</vt:lpstr>
      <vt:lpstr>Escala Docente</vt:lpstr>
      <vt:lpstr>UPC</vt:lpstr>
      <vt:lpstr>'Escala Docente'!Área_de_impresión</vt:lpstr>
      <vt:lpstr>UPC!Área_de_impresión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Ruben Godoy</cp:lastModifiedBy>
  <cp:lastPrinted>2018-08-01T12:56:13Z</cp:lastPrinted>
  <dcterms:created xsi:type="dcterms:W3CDTF">2005-08-10T23:49:01Z</dcterms:created>
  <dcterms:modified xsi:type="dcterms:W3CDTF">2018-08-06T12:41:39Z</dcterms:modified>
</cp:coreProperties>
</file>