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4325" yWindow="30" windowWidth="14325" windowHeight="11760" tabRatio="767" firstSheet="1" activeTab="1"/>
  </bookViews>
  <sheets>
    <sheet name="Valores" sheetId="2273" state="hidden" r:id="rId1"/>
    <sheet name="Escala Docente" sheetId="2262" r:id="rId2"/>
  </sheets>
  <definedNames>
    <definedName name="_xlnm._FilterDatabase" localSheetId="1" hidden="1">'Escala Docente'!$A$6:$AP$327</definedName>
    <definedName name="_xlnm.Print_Area" localSheetId="1">'Escala Docente'!$D$4:$AK$327</definedName>
    <definedName name="_xlnm.Print_Titles" localSheetId="1">'Escala Docente'!$5:$6</definedName>
    <definedName name="wrn.Planilla._.de._.Sueldos._.Docentes." localSheetId="1" hidden="1">{#N/A,#N/A,TRUE,"CARGOS"}</definedName>
    <definedName name="wrn.Planilla._.de._.Sueldos._.Docentes." hidden="1">{#N/A,#N/A,TRUE,"CARGOS"}</definedName>
  </definedNames>
  <calcPr calcId="145621"/>
</workbook>
</file>

<file path=xl/calcChain.xml><?xml version="1.0" encoding="utf-8"?>
<calcChain xmlns="http://schemas.openxmlformats.org/spreadsheetml/2006/main">
  <c r="C24" i="2273" l="1"/>
  <c r="S89" i="2262" l="1"/>
  <c r="Q171" i="2262" l="1"/>
  <c r="Q170" i="2262"/>
  <c r="Q169" i="2262"/>
  <c r="Q168" i="2262"/>
  <c r="Q172" i="2262"/>
  <c r="AH143" i="2262" l="1"/>
  <c r="AG143" i="2262"/>
  <c r="E44" i="2273" l="1"/>
  <c r="L32" i="2273"/>
  <c r="O29" i="2273"/>
  <c r="O31" i="2273"/>
  <c r="K32" i="2273"/>
  <c r="D50" i="2273" l="1"/>
  <c r="AH302" i="2262" s="1"/>
  <c r="D49" i="2273"/>
  <c r="AG234" i="2262" s="1"/>
  <c r="AH192" i="2262"/>
  <c r="AG192" i="2262"/>
  <c r="AG204" i="2262" l="1"/>
  <c r="AG242" i="2262"/>
  <c r="AG220" i="2262"/>
  <c r="AG212" i="2262"/>
  <c r="AG196" i="2262"/>
  <c r="AG302" i="2262"/>
  <c r="AG280" i="2262"/>
  <c r="AG272" i="2262"/>
  <c r="AG268" i="2262"/>
  <c r="AG264" i="2262"/>
  <c r="AG260" i="2262"/>
  <c r="AG256" i="2262"/>
  <c r="AG252" i="2262"/>
  <c r="AG248" i="2262"/>
  <c r="AG244" i="2262"/>
  <c r="AG301" i="2262"/>
  <c r="AG287" i="2262"/>
  <c r="AG285" i="2262"/>
  <c r="AG283" i="2262"/>
  <c r="AG281" i="2262"/>
  <c r="AG279" i="2262"/>
  <c r="AG277" i="2262"/>
  <c r="AG275" i="2262"/>
  <c r="AG273" i="2262"/>
  <c r="AG271" i="2262"/>
  <c r="AG269" i="2262"/>
  <c r="AG267" i="2262"/>
  <c r="AG265" i="2262"/>
  <c r="AG263" i="2262"/>
  <c r="AG261" i="2262"/>
  <c r="AG259" i="2262"/>
  <c r="AG257" i="2262"/>
  <c r="AG255" i="2262"/>
  <c r="AG253" i="2262"/>
  <c r="AG251" i="2262"/>
  <c r="AG249" i="2262"/>
  <c r="AG247" i="2262"/>
  <c r="AG245" i="2262"/>
  <c r="AG243" i="2262"/>
  <c r="AG241" i="2262"/>
  <c r="AG239" i="2262"/>
  <c r="AG237" i="2262"/>
  <c r="AG235" i="2262"/>
  <c r="AG233" i="2262"/>
  <c r="AG231" i="2262"/>
  <c r="AG229" i="2262"/>
  <c r="AG221" i="2262"/>
  <c r="AG219" i="2262"/>
  <c r="AG217" i="2262"/>
  <c r="AG215" i="2262"/>
  <c r="AG213" i="2262"/>
  <c r="AG211" i="2262"/>
  <c r="AG209" i="2262"/>
  <c r="AG207" i="2262"/>
  <c r="AG205" i="2262"/>
  <c r="AG203" i="2262"/>
  <c r="AG201" i="2262"/>
  <c r="AG199" i="2262"/>
  <c r="AG197" i="2262"/>
  <c r="AG195" i="2262"/>
  <c r="AG193" i="2262"/>
  <c r="AG288" i="2262"/>
  <c r="AG289" i="2262" s="1"/>
  <c r="AG290" i="2262" s="1"/>
  <c r="AG291" i="2262" s="1"/>
  <c r="AG292" i="2262" s="1"/>
  <c r="AG293" i="2262" s="1"/>
  <c r="AG294" i="2262" s="1"/>
  <c r="AG295" i="2262" s="1"/>
  <c r="AG296" i="2262" s="1"/>
  <c r="AG297" i="2262" s="1"/>
  <c r="AG298" i="2262" s="1"/>
  <c r="AG299" i="2262" s="1"/>
  <c r="AG300" i="2262" s="1"/>
  <c r="AG286" i="2262"/>
  <c r="AG284" i="2262"/>
  <c r="AG282" i="2262"/>
  <c r="AG278" i="2262"/>
  <c r="AG276" i="2262"/>
  <c r="AG274" i="2262"/>
  <c r="AG270" i="2262"/>
  <c r="AG266" i="2262"/>
  <c r="AG262" i="2262"/>
  <c r="AG258" i="2262"/>
  <c r="AG254" i="2262"/>
  <c r="AG250" i="2262"/>
  <c r="AG246" i="2262"/>
  <c r="AG198" i="2262"/>
  <c r="AG206" i="2262"/>
  <c r="AG214" i="2262"/>
  <c r="AG222" i="2262"/>
  <c r="AG223" i="2262" s="1"/>
  <c r="AG224" i="2262" s="1"/>
  <c r="AG225" i="2262" s="1"/>
  <c r="AG226" i="2262" s="1"/>
  <c r="AG227" i="2262" s="1"/>
  <c r="AG228" i="2262" s="1"/>
  <c r="AG236" i="2262"/>
  <c r="AG200" i="2262"/>
  <c r="AG208" i="2262"/>
  <c r="AG216" i="2262"/>
  <c r="AG230" i="2262"/>
  <c r="AG238" i="2262"/>
  <c r="AG194" i="2262"/>
  <c r="AG202" i="2262"/>
  <c r="AG210" i="2262"/>
  <c r="AG218" i="2262"/>
  <c r="AG232" i="2262"/>
  <c r="AG240" i="2262"/>
  <c r="AH194" i="2262"/>
  <c r="AH196" i="2262"/>
  <c r="AH200" i="2262"/>
  <c r="AH202" i="2262"/>
  <c r="AH206" i="2262"/>
  <c r="AH210" i="2262"/>
  <c r="AH214" i="2262"/>
  <c r="AH218" i="2262"/>
  <c r="AH220" i="2262"/>
  <c r="AH230" i="2262"/>
  <c r="AH232" i="2262"/>
  <c r="AH236" i="2262"/>
  <c r="AH240" i="2262"/>
  <c r="AH244" i="2262"/>
  <c r="AH248" i="2262"/>
  <c r="AH254" i="2262"/>
  <c r="AH258" i="2262"/>
  <c r="AH262" i="2262"/>
  <c r="AH266" i="2262"/>
  <c r="AH272" i="2262"/>
  <c r="AH274" i="2262"/>
  <c r="AH278" i="2262"/>
  <c r="AH282" i="2262"/>
  <c r="AH284" i="2262"/>
  <c r="AH288" i="2262"/>
  <c r="AH289" i="2262" s="1"/>
  <c r="AH290" i="2262" s="1"/>
  <c r="AH291" i="2262" s="1"/>
  <c r="AH292" i="2262" s="1"/>
  <c r="AH293" i="2262" s="1"/>
  <c r="AH294" i="2262" s="1"/>
  <c r="AH295" i="2262" s="1"/>
  <c r="AH296" i="2262" s="1"/>
  <c r="AH297" i="2262" s="1"/>
  <c r="AH298" i="2262" s="1"/>
  <c r="AH299" i="2262" s="1"/>
  <c r="AH300" i="2262" s="1"/>
  <c r="AH198" i="2262"/>
  <c r="AH204" i="2262"/>
  <c r="AH208" i="2262"/>
  <c r="AH212" i="2262"/>
  <c r="AH216" i="2262"/>
  <c r="AH222" i="2262"/>
  <c r="AH223" i="2262" s="1"/>
  <c r="AH224" i="2262" s="1"/>
  <c r="AH225" i="2262" s="1"/>
  <c r="AH226" i="2262" s="1"/>
  <c r="AH227" i="2262" s="1"/>
  <c r="AH228" i="2262" s="1"/>
  <c r="AH234" i="2262"/>
  <c r="AH238" i="2262"/>
  <c r="AH242" i="2262"/>
  <c r="AH246" i="2262"/>
  <c r="AH250" i="2262"/>
  <c r="AH252" i="2262"/>
  <c r="AH256" i="2262"/>
  <c r="AH260" i="2262"/>
  <c r="AH264" i="2262"/>
  <c r="AH268" i="2262"/>
  <c r="AH270" i="2262"/>
  <c r="AH276" i="2262"/>
  <c r="AH280" i="2262"/>
  <c r="AH286" i="2262"/>
  <c r="AH193" i="2262"/>
  <c r="AH195" i="2262"/>
  <c r="AH197" i="2262"/>
  <c r="AH199" i="2262"/>
  <c r="AH201" i="2262"/>
  <c r="AH203" i="2262"/>
  <c r="AH205" i="2262"/>
  <c r="AH207" i="2262"/>
  <c r="AH209" i="2262"/>
  <c r="AH211" i="2262"/>
  <c r="AH213" i="2262"/>
  <c r="AH215" i="2262"/>
  <c r="AH217" i="2262"/>
  <c r="AH219" i="2262"/>
  <c r="AH221" i="2262"/>
  <c r="AH229" i="2262"/>
  <c r="AH231" i="2262"/>
  <c r="AH233" i="2262"/>
  <c r="AH235" i="2262"/>
  <c r="AH237" i="2262"/>
  <c r="AH239" i="2262"/>
  <c r="AH241" i="2262"/>
  <c r="AH243" i="2262"/>
  <c r="AH245" i="2262"/>
  <c r="AH247" i="2262"/>
  <c r="AH249" i="2262"/>
  <c r="AH251" i="2262"/>
  <c r="AH253" i="2262"/>
  <c r="AH255" i="2262"/>
  <c r="AH257" i="2262"/>
  <c r="AH259" i="2262"/>
  <c r="AH261" i="2262"/>
  <c r="AH263" i="2262"/>
  <c r="AH265" i="2262"/>
  <c r="AH267" i="2262"/>
  <c r="AH269" i="2262"/>
  <c r="AH271" i="2262"/>
  <c r="AH273" i="2262"/>
  <c r="AH275" i="2262"/>
  <c r="AH277" i="2262"/>
  <c r="AH279" i="2262"/>
  <c r="AH281" i="2262"/>
  <c r="AH283" i="2262"/>
  <c r="AH285" i="2262"/>
  <c r="AH287" i="2262"/>
  <c r="AH301" i="2262"/>
  <c r="L30" i="2273"/>
  <c r="C43" i="2273" s="1"/>
  <c r="P28" i="2273"/>
  <c r="AH191" i="2262" l="1"/>
  <c r="AG191" i="2262"/>
  <c r="AH190" i="2262"/>
  <c r="AG190" i="2262"/>
  <c r="AH189" i="2262"/>
  <c r="AG189" i="2262"/>
  <c r="AH188" i="2262"/>
  <c r="AG188" i="2262"/>
  <c r="AH187" i="2262"/>
  <c r="AG187" i="2262"/>
  <c r="AH186" i="2262"/>
  <c r="AG186" i="2262"/>
  <c r="AH185" i="2262"/>
  <c r="AG185" i="2262"/>
  <c r="AH184" i="2262"/>
  <c r="AG184" i="2262"/>
  <c r="AH183" i="2262"/>
  <c r="AG183" i="2262"/>
  <c r="AH182" i="2262"/>
  <c r="AG182" i="2262"/>
  <c r="AH181" i="2262"/>
  <c r="AG181" i="2262"/>
  <c r="AH180" i="2262"/>
  <c r="AG180" i="2262"/>
  <c r="AH179" i="2262"/>
  <c r="AG179" i="2262"/>
  <c r="AH178" i="2262"/>
  <c r="AG178" i="2262"/>
  <c r="AH177" i="2262"/>
  <c r="AG177" i="2262"/>
  <c r="AH176" i="2262"/>
  <c r="AG176" i="2262"/>
  <c r="AH175" i="2262"/>
  <c r="AG175" i="2262"/>
  <c r="AH174" i="2262"/>
  <c r="AG174" i="2262"/>
  <c r="AH173" i="2262"/>
  <c r="AG173" i="2262"/>
  <c r="AH172" i="2262"/>
  <c r="AG172" i="2262"/>
  <c r="AH171" i="2262"/>
  <c r="AG171" i="2262"/>
  <c r="AH170" i="2262"/>
  <c r="AG170" i="2262"/>
  <c r="AH169" i="2262"/>
  <c r="AG169" i="2262"/>
  <c r="AH168" i="2262"/>
  <c r="AG168" i="2262"/>
  <c r="AH167" i="2262"/>
  <c r="AG167" i="2262"/>
  <c r="AH166" i="2262"/>
  <c r="AG166" i="2262"/>
  <c r="AH165" i="2262"/>
  <c r="AG165" i="2262"/>
  <c r="AH164" i="2262"/>
  <c r="AG164" i="2262"/>
  <c r="AH163" i="2262"/>
  <c r="AG163" i="2262"/>
  <c r="AH162" i="2262"/>
  <c r="AG162" i="2262"/>
  <c r="AH161" i="2262"/>
  <c r="AG161" i="2262"/>
  <c r="AH160" i="2262"/>
  <c r="AG160" i="2262"/>
  <c r="AH159" i="2262"/>
  <c r="AG159" i="2262"/>
  <c r="AH158" i="2262"/>
  <c r="AG158" i="2262"/>
  <c r="AH157" i="2262"/>
  <c r="AG157" i="2262"/>
  <c r="AH156" i="2262"/>
  <c r="AG156" i="2262"/>
  <c r="AH155" i="2262"/>
  <c r="AG155" i="2262"/>
  <c r="AH154" i="2262"/>
  <c r="AG154" i="2262"/>
  <c r="AH153" i="2262"/>
  <c r="AG153" i="2262"/>
  <c r="AH152" i="2262"/>
  <c r="AG152" i="2262"/>
  <c r="AH151" i="2262"/>
  <c r="AG151" i="2262"/>
  <c r="AH150" i="2262"/>
  <c r="AG150" i="2262"/>
  <c r="AH149" i="2262"/>
  <c r="AG149" i="2262"/>
  <c r="AH148" i="2262"/>
  <c r="AG148" i="2262"/>
  <c r="AH147" i="2262"/>
  <c r="AG147" i="2262"/>
  <c r="AH146" i="2262"/>
  <c r="AG146" i="2262"/>
  <c r="AH145" i="2262"/>
  <c r="AG145" i="2262"/>
  <c r="AH144" i="2262"/>
  <c r="AG144" i="2262"/>
  <c r="AH142" i="2262"/>
  <c r="AG142" i="2262"/>
  <c r="AH141" i="2262"/>
  <c r="AG141" i="2262"/>
  <c r="AH140" i="2262"/>
  <c r="AG140" i="2262"/>
  <c r="AH139" i="2262"/>
  <c r="AG139" i="2262"/>
  <c r="AH138" i="2262"/>
  <c r="AG138" i="2262"/>
  <c r="AH137" i="2262"/>
  <c r="AG137" i="2262"/>
  <c r="AH136" i="2262"/>
  <c r="AG136" i="2262"/>
  <c r="AH135" i="2262"/>
  <c r="AG135" i="2262"/>
  <c r="AH134" i="2262"/>
  <c r="AG134" i="2262"/>
  <c r="AH133" i="2262"/>
  <c r="AG133" i="2262"/>
  <c r="AH132" i="2262"/>
  <c r="AG132" i="2262"/>
  <c r="AH131" i="2262"/>
  <c r="AG131" i="2262"/>
  <c r="AH130" i="2262"/>
  <c r="AG130" i="2262"/>
  <c r="AH129" i="2262"/>
  <c r="AG129" i="2262"/>
  <c r="AH128" i="2262"/>
  <c r="AG128" i="2262"/>
  <c r="AH127" i="2262"/>
  <c r="AG127" i="2262"/>
  <c r="AH126" i="2262"/>
  <c r="AG126" i="2262"/>
  <c r="AH125" i="2262"/>
  <c r="AG125" i="2262"/>
  <c r="AH124" i="2262"/>
  <c r="AG124" i="2262"/>
  <c r="AH123" i="2262"/>
  <c r="AG123" i="2262"/>
  <c r="AH122" i="2262"/>
  <c r="AG122" i="2262"/>
  <c r="AH121" i="2262"/>
  <c r="AG121" i="2262"/>
  <c r="AH120" i="2262"/>
  <c r="AG120" i="2262"/>
  <c r="AH119" i="2262"/>
  <c r="AG119" i="2262"/>
  <c r="AH118" i="2262"/>
  <c r="AG118" i="2262"/>
  <c r="AH117" i="2262"/>
  <c r="AG117" i="2262"/>
  <c r="AH116" i="2262"/>
  <c r="AG116" i="2262"/>
  <c r="AH115" i="2262"/>
  <c r="AG115" i="2262"/>
  <c r="AH114" i="2262"/>
  <c r="AG114" i="2262"/>
  <c r="AH113" i="2262"/>
  <c r="AG113" i="2262"/>
  <c r="AH112" i="2262"/>
  <c r="AG112" i="2262"/>
  <c r="AH111" i="2262"/>
  <c r="AG111" i="2262"/>
  <c r="AH110" i="2262"/>
  <c r="AG110" i="2262"/>
  <c r="AH109" i="2262"/>
  <c r="AG109" i="2262"/>
  <c r="AH108" i="2262"/>
  <c r="AG108" i="2262"/>
  <c r="AH107" i="2262"/>
  <c r="AG107" i="2262"/>
  <c r="AH106" i="2262"/>
  <c r="AG106" i="2262"/>
  <c r="AH105" i="2262"/>
  <c r="AG105" i="2262"/>
  <c r="AH104" i="2262"/>
  <c r="AG104" i="2262"/>
  <c r="AH103" i="2262"/>
  <c r="AG103" i="2262"/>
  <c r="AH102" i="2262"/>
  <c r="AG102" i="2262"/>
  <c r="AH101" i="2262"/>
  <c r="AG101" i="2262"/>
  <c r="AH100" i="2262"/>
  <c r="AG100" i="2262"/>
  <c r="AH99" i="2262"/>
  <c r="AG99" i="2262"/>
  <c r="AH98" i="2262"/>
  <c r="AG98" i="2262"/>
  <c r="AH97" i="2262"/>
  <c r="AG97" i="2262"/>
  <c r="AH96" i="2262"/>
  <c r="AG96" i="2262"/>
  <c r="AH95" i="2262"/>
  <c r="AG95" i="2262"/>
  <c r="AH94" i="2262"/>
  <c r="AG94" i="2262"/>
  <c r="AH93" i="2262"/>
  <c r="AG93" i="2262"/>
  <c r="AH92" i="2262"/>
  <c r="AG92" i="2262"/>
  <c r="AH91" i="2262"/>
  <c r="AG91" i="2262"/>
  <c r="AH90" i="2262"/>
  <c r="AG90" i="2262"/>
  <c r="AH89" i="2262"/>
  <c r="AG89" i="2262"/>
  <c r="AH88" i="2262"/>
  <c r="AG88" i="2262"/>
  <c r="AH87" i="2262"/>
  <c r="AG87" i="2262"/>
  <c r="AH86" i="2262"/>
  <c r="AG86" i="2262"/>
  <c r="AH85" i="2262"/>
  <c r="AG85" i="2262"/>
  <c r="AH84" i="2262"/>
  <c r="AG84" i="2262"/>
  <c r="AH83" i="2262"/>
  <c r="AG83" i="2262"/>
  <c r="AH82" i="2262"/>
  <c r="AG82" i="2262"/>
  <c r="AH81" i="2262"/>
  <c r="AG81" i="2262"/>
  <c r="AH80" i="2262"/>
  <c r="AG80" i="2262"/>
  <c r="AH79" i="2262"/>
  <c r="AG79" i="2262"/>
  <c r="AH78" i="2262"/>
  <c r="AG78" i="2262"/>
  <c r="AH77" i="2262"/>
  <c r="AG77" i="2262"/>
  <c r="AH76" i="2262"/>
  <c r="AG76" i="2262"/>
  <c r="AH75" i="2262"/>
  <c r="AG75" i="2262"/>
  <c r="AH74" i="2262"/>
  <c r="AG74" i="2262"/>
  <c r="AH73" i="2262"/>
  <c r="AG73" i="2262"/>
  <c r="AH72" i="2262"/>
  <c r="AG72" i="2262"/>
  <c r="AH71" i="2262"/>
  <c r="AG71" i="2262"/>
  <c r="AH70" i="2262"/>
  <c r="AG70" i="2262"/>
  <c r="AH69" i="2262"/>
  <c r="AG69" i="2262"/>
  <c r="AH68" i="2262"/>
  <c r="AG68" i="2262"/>
  <c r="AH67" i="2262"/>
  <c r="AG67" i="2262"/>
  <c r="AH66" i="2262"/>
  <c r="AG66" i="2262"/>
  <c r="AH65" i="2262"/>
  <c r="AG65" i="2262"/>
  <c r="AH64" i="2262"/>
  <c r="AG64" i="2262"/>
  <c r="AH63" i="2262"/>
  <c r="AG63" i="2262"/>
  <c r="AH62" i="2262"/>
  <c r="AG62" i="2262"/>
  <c r="AH61" i="2262"/>
  <c r="AG61" i="2262"/>
  <c r="AH60" i="2262"/>
  <c r="AG60" i="2262"/>
  <c r="AH59" i="2262"/>
  <c r="AG59" i="2262"/>
  <c r="AH58" i="2262"/>
  <c r="AG58" i="2262"/>
  <c r="AH57" i="2262"/>
  <c r="AG57" i="2262"/>
  <c r="AH56" i="2262"/>
  <c r="AG56" i="2262"/>
  <c r="AH55" i="2262"/>
  <c r="AG55" i="2262"/>
  <c r="AH54" i="2262"/>
  <c r="AH46" i="2262" s="1"/>
  <c r="AG54" i="2262"/>
  <c r="AG46" i="2262" s="1"/>
  <c r="AH53" i="2262"/>
  <c r="AG53" i="2262"/>
  <c r="AH52" i="2262"/>
  <c r="AG52" i="2262"/>
  <c r="AH51" i="2262"/>
  <c r="AG51" i="2262"/>
  <c r="AH50" i="2262"/>
  <c r="AG50" i="2262"/>
  <c r="AH49" i="2262"/>
  <c r="AG49" i="2262"/>
  <c r="AH48" i="2262"/>
  <c r="AG48" i="2262"/>
  <c r="AH47" i="2262"/>
  <c r="AG47" i="2262"/>
  <c r="AH45" i="2262"/>
  <c r="AG45" i="2262"/>
  <c r="AH44" i="2262"/>
  <c r="AG44" i="2262"/>
  <c r="AH43" i="2262"/>
  <c r="AG43" i="2262"/>
  <c r="AH42" i="2262"/>
  <c r="AG42" i="2262"/>
  <c r="AH41" i="2262"/>
  <c r="AG41" i="2262"/>
  <c r="AH40" i="2262"/>
  <c r="AG40" i="2262"/>
  <c r="AH39" i="2262"/>
  <c r="AG39" i="2262"/>
  <c r="AH38" i="2262"/>
  <c r="AG38" i="2262"/>
  <c r="AH37" i="2262"/>
  <c r="AG37" i="2262"/>
  <c r="AH36" i="2262"/>
  <c r="AG36" i="2262"/>
  <c r="AH35" i="2262"/>
  <c r="AG35" i="2262"/>
  <c r="AH34" i="2262"/>
  <c r="AG34" i="2262"/>
  <c r="AH33" i="2262"/>
  <c r="AG33" i="2262"/>
  <c r="AH32" i="2262"/>
  <c r="AG32" i="2262"/>
  <c r="AH31" i="2262"/>
  <c r="AG31" i="2262"/>
  <c r="AH30" i="2262"/>
  <c r="AG30" i="2262"/>
  <c r="AH29" i="2262"/>
  <c r="AG29" i="2262"/>
  <c r="AH28" i="2262"/>
  <c r="AG28" i="2262"/>
  <c r="AH27" i="2262"/>
  <c r="AG27" i="2262"/>
  <c r="AH26" i="2262"/>
  <c r="AG26" i="2262"/>
  <c r="AH25" i="2262"/>
  <c r="AG25" i="2262"/>
  <c r="AH24" i="2262"/>
  <c r="AG24" i="2262"/>
  <c r="AH23" i="2262"/>
  <c r="AG23" i="2262"/>
  <c r="AH22" i="2262"/>
  <c r="AG22" i="2262"/>
  <c r="AH21" i="2262"/>
  <c r="AG21" i="2262"/>
  <c r="AH20" i="2262"/>
  <c r="AG20" i="2262"/>
  <c r="AH19" i="2262"/>
  <c r="AG19" i="2262"/>
  <c r="AH18" i="2262"/>
  <c r="AG18" i="2262"/>
  <c r="AH17" i="2262"/>
  <c r="AG17" i="2262"/>
  <c r="AH16" i="2262"/>
  <c r="AG16" i="2262"/>
  <c r="AH15" i="2262"/>
  <c r="AG15" i="2262"/>
  <c r="AH14" i="2262"/>
  <c r="AG14" i="2262"/>
  <c r="AH13" i="2262"/>
  <c r="AG13" i="2262"/>
  <c r="AH12" i="2262"/>
  <c r="AG12" i="2262"/>
  <c r="AH11" i="2262"/>
  <c r="AG11" i="2262"/>
  <c r="AH10" i="2262"/>
  <c r="AG10" i="2262"/>
  <c r="AH9" i="2262"/>
  <c r="AG9" i="2262"/>
  <c r="AH8" i="2262"/>
  <c r="AG8" i="2262"/>
  <c r="AG7" i="2262"/>
  <c r="AH7" i="2262"/>
  <c r="E37" i="2273" l="1"/>
  <c r="C37" i="2273" s="1"/>
  <c r="E36" i="2273"/>
  <c r="C36" i="2273" s="1"/>
  <c r="E35" i="2273"/>
  <c r="C35" i="2273" s="1"/>
  <c r="E34" i="2273"/>
  <c r="C34" i="2273" s="1"/>
  <c r="J2" i="2262" l="1"/>
  <c r="V11" i="2262" s="1"/>
  <c r="AK4" i="2262"/>
  <c r="H7" i="2262"/>
  <c r="J7" i="2262"/>
  <c r="L7" i="2262"/>
  <c r="N7" i="2262"/>
  <c r="Z7" i="2262"/>
  <c r="AF7" i="2262"/>
  <c r="H8" i="2262"/>
  <c r="J8" i="2262"/>
  <c r="L8" i="2262"/>
  <c r="N8" i="2262"/>
  <c r="Z8" i="2262"/>
  <c r="AF8" i="2262"/>
  <c r="H9" i="2262"/>
  <c r="J9" i="2262"/>
  <c r="L9" i="2262"/>
  <c r="N9" i="2262"/>
  <c r="Z9" i="2262"/>
  <c r="AF9" i="2262"/>
  <c r="H10" i="2262"/>
  <c r="J10" i="2262"/>
  <c r="L10" i="2262"/>
  <c r="N10" i="2262"/>
  <c r="V10" i="2262"/>
  <c r="Z10" i="2262"/>
  <c r="AF10" i="2262"/>
  <c r="H11" i="2262"/>
  <c r="J11" i="2262"/>
  <c r="L11" i="2262"/>
  <c r="N11" i="2262"/>
  <c r="Z11" i="2262"/>
  <c r="AF11" i="2262"/>
  <c r="H12" i="2262"/>
  <c r="J12" i="2262"/>
  <c r="L12" i="2262"/>
  <c r="N12" i="2262"/>
  <c r="Z12" i="2262"/>
  <c r="AF12" i="2262"/>
  <c r="H13" i="2262"/>
  <c r="J13" i="2262"/>
  <c r="L13" i="2262"/>
  <c r="N13" i="2262"/>
  <c r="Z13" i="2262"/>
  <c r="AF13" i="2262"/>
  <c r="H14" i="2262"/>
  <c r="J14" i="2262"/>
  <c r="L14" i="2262"/>
  <c r="N14" i="2262"/>
  <c r="Z14" i="2262"/>
  <c r="AF14" i="2262"/>
  <c r="H15" i="2262"/>
  <c r="J15" i="2262"/>
  <c r="L15" i="2262"/>
  <c r="N15" i="2262"/>
  <c r="Z15" i="2262"/>
  <c r="AF15" i="2262"/>
  <c r="H16" i="2262"/>
  <c r="J16" i="2262"/>
  <c r="L16" i="2262"/>
  <c r="N16" i="2262"/>
  <c r="Z16" i="2262"/>
  <c r="AF16" i="2262"/>
  <c r="H17" i="2262"/>
  <c r="J17" i="2262"/>
  <c r="L17" i="2262"/>
  <c r="N17" i="2262"/>
  <c r="Z17" i="2262"/>
  <c r="AF17" i="2262"/>
  <c r="H18" i="2262"/>
  <c r="J18" i="2262"/>
  <c r="L18" i="2262"/>
  <c r="N18" i="2262"/>
  <c r="Z18" i="2262"/>
  <c r="AF18" i="2262"/>
  <c r="H19" i="2262"/>
  <c r="J19" i="2262"/>
  <c r="L19" i="2262"/>
  <c r="N19" i="2262"/>
  <c r="Z19" i="2262"/>
  <c r="AF19" i="2262"/>
  <c r="H20" i="2262"/>
  <c r="J20" i="2262"/>
  <c r="L20" i="2262"/>
  <c r="N20" i="2262"/>
  <c r="Z20" i="2262"/>
  <c r="AF20" i="2262"/>
  <c r="H21" i="2262"/>
  <c r="J21" i="2262"/>
  <c r="L21" i="2262"/>
  <c r="N21" i="2262"/>
  <c r="Z21" i="2262"/>
  <c r="AF21" i="2262"/>
  <c r="H22" i="2262"/>
  <c r="J22" i="2262"/>
  <c r="L22" i="2262"/>
  <c r="N22" i="2262"/>
  <c r="Z22" i="2262"/>
  <c r="AF22" i="2262"/>
  <c r="H23" i="2262"/>
  <c r="J23" i="2262"/>
  <c r="L23" i="2262"/>
  <c r="N23" i="2262"/>
  <c r="Z23" i="2262"/>
  <c r="AF23" i="2262"/>
  <c r="H24" i="2262"/>
  <c r="J24" i="2262"/>
  <c r="L24" i="2262"/>
  <c r="N24" i="2262"/>
  <c r="Z24" i="2262"/>
  <c r="AF24" i="2262"/>
  <c r="H25" i="2262"/>
  <c r="J25" i="2262"/>
  <c r="L25" i="2262"/>
  <c r="N25" i="2262"/>
  <c r="Z25" i="2262"/>
  <c r="AF25" i="2262"/>
  <c r="H26" i="2262"/>
  <c r="J26" i="2262"/>
  <c r="L26" i="2262"/>
  <c r="N26" i="2262"/>
  <c r="Z26" i="2262"/>
  <c r="AF26" i="2262"/>
  <c r="H27" i="2262"/>
  <c r="J27" i="2262"/>
  <c r="L27" i="2262"/>
  <c r="N27" i="2262"/>
  <c r="Z27" i="2262"/>
  <c r="AF27" i="2262"/>
  <c r="H28" i="2262"/>
  <c r="J28" i="2262"/>
  <c r="L28" i="2262"/>
  <c r="N28" i="2262"/>
  <c r="Z28" i="2262"/>
  <c r="AF28" i="2262"/>
  <c r="H29" i="2262"/>
  <c r="J29" i="2262"/>
  <c r="L29" i="2262"/>
  <c r="N29" i="2262"/>
  <c r="Z29" i="2262"/>
  <c r="AF29" i="2262"/>
  <c r="H30" i="2262"/>
  <c r="J30" i="2262"/>
  <c r="L30" i="2262"/>
  <c r="N30" i="2262"/>
  <c r="Z30" i="2262"/>
  <c r="AF30" i="2262"/>
  <c r="H31" i="2262"/>
  <c r="J31" i="2262"/>
  <c r="L31" i="2262"/>
  <c r="N31" i="2262"/>
  <c r="Z31" i="2262"/>
  <c r="AF31" i="2262"/>
  <c r="H32" i="2262"/>
  <c r="J32" i="2262"/>
  <c r="L32" i="2262"/>
  <c r="N32" i="2262"/>
  <c r="Z32" i="2262"/>
  <c r="AF32" i="2262"/>
  <c r="H33" i="2262"/>
  <c r="J33" i="2262"/>
  <c r="L33" i="2262"/>
  <c r="N33" i="2262"/>
  <c r="Z33" i="2262"/>
  <c r="AF33" i="2262"/>
  <c r="H34" i="2262"/>
  <c r="J34" i="2262"/>
  <c r="L34" i="2262"/>
  <c r="N34" i="2262"/>
  <c r="Z34" i="2262"/>
  <c r="AF34" i="2262"/>
  <c r="H35" i="2262"/>
  <c r="J35" i="2262"/>
  <c r="L35" i="2262"/>
  <c r="N35" i="2262"/>
  <c r="Z35" i="2262"/>
  <c r="AF35" i="2262"/>
  <c r="H36" i="2262"/>
  <c r="J36" i="2262"/>
  <c r="L36" i="2262"/>
  <c r="N36" i="2262"/>
  <c r="Z36" i="2262"/>
  <c r="AF36" i="2262"/>
  <c r="H37" i="2262"/>
  <c r="J37" i="2262"/>
  <c r="L37" i="2262"/>
  <c r="N37" i="2262"/>
  <c r="Z37" i="2262"/>
  <c r="AF37" i="2262"/>
  <c r="H38" i="2262"/>
  <c r="J38" i="2262"/>
  <c r="L38" i="2262"/>
  <c r="N38" i="2262"/>
  <c r="Z38" i="2262"/>
  <c r="AF38" i="2262"/>
  <c r="H39" i="2262"/>
  <c r="J39" i="2262"/>
  <c r="L39" i="2262"/>
  <c r="N39" i="2262"/>
  <c r="Z39" i="2262"/>
  <c r="AF39" i="2262"/>
  <c r="H40" i="2262"/>
  <c r="J40" i="2262"/>
  <c r="L40" i="2262"/>
  <c r="N40" i="2262"/>
  <c r="Z40" i="2262"/>
  <c r="AF40" i="2262"/>
  <c r="H41" i="2262"/>
  <c r="J41" i="2262"/>
  <c r="L41" i="2262"/>
  <c r="N41" i="2262"/>
  <c r="Z41" i="2262"/>
  <c r="AF41" i="2262"/>
  <c r="H42" i="2262"/>
  <c r="J42" i="2262"/>
  <c r="L42" i="2262"/>
  <c r="N42" i="2262"/>
  <c r="Z42" i="2262"/>
  <c r="AF42" i="2262"/>
  <c r="H43" i="2262"/>
  <c r="J43" i="2262"/>
  <c r="L43" i="2262"/>
  <c r="N43" i="2262"/>
  <c r="Z43" i="2262"/>
  <c r="AF43" i="2262"/>
  <c r="G44" i="2262"/>
  <c r="H44" i="2262" s="1"/>
  <c r="I44" i="2262"/>
  <c r="J44" i="2262" s="1"/>
  <c r="K44" i="2262"/>
  <c r="L44" i="2262" s="1"/>
  <c r="N44" i="2262"/>
  <c r="Z44" i="2262"/>
  <c r="AB44" i="2262"/>
  <c r="AD44" i="2262"/>
  <c r="AF44" i="2262"/>
  <c r="G45" i="2262"/>
  <c r="H45" i="2262" s="1"/>
  <c r="L45" i="2262"/>
  <c r="N45" i="2262"/>
  <c r="Z45" i="2262"/>
  <c r="AB45" i="2262"/>
  <c r="AD45" i="2262"/>
  <c r="AF45" i="2262"/>
  <c r="I46" i="2262"/>
  <c r="J46" i="2262" s="1"/>
  <c r="L46" i="2262"/>
  <c r="N46" i="2262"/>
  <c r="Z46" i="2262"/>
  <c r="AD46" i="2262"/>
  <c r="AF46" i="2262"/>
  <c r="H47" i="2262"/>
  <c r="J47" i="2262"/>
  <c r="L47" i="2262"/>
  <c r="N47" i="2262"/>
  <c r="S47" i="2262"/>
  <c r="Z47" i="2262"/>
  <c r="AF47" i="2262"/>
  <c r="H48" i="2262"/>
  <c r="J48" i="2262"/>
  <c r="L48" i="2262"/>
  <c r="N48" i="2262"/>
  <c r="S48" i="2262"/>
  <c r="Z48" i="2262"/>
  <c r="AF48" i="2262"/>
  <c r="H49" i="2262"/>
  <c r="J49" i="2262"/>
  <c r="L49" i="2262"/>
  <c r="N49" i="2262"/>
  <c r="S49" i="2262"/>
  <c r="Z49" i="2262"/>
  <c r="AF49" i="2262"/>
  <c r="H50" i="2262"/>
  <c r="J50" i="2262"/>
  <c r="L50" i="2262"/>
  <c r="N50" i="2262"/>
  <c r="S50" i="2262"/>
  <c r="Z50" i="2262"/>
  <c r="AF50" i="2262"/>
  <c r="H51" i="2262"/>
  <c r="J51" i="2262"/>
  <c r="L51" i="2262"/>
  <c r="N51" i="2262"/>
  <c r="S51" i="2262"/>
  <c r="Z51" i="2262"/>
  <c r="AF51" i="2262"/>
  <c r="H52" i="2262"/>
  <c r="J52" i="2262"/>
  <c r="L52" i="2262"/>
  <c r="N52" i="2262"/>
  <c r="Z52" i="2262"/>
  <c r="AF52" i="2262"/>
  <c r="H53" i="2262"/>
  <c r="J53" i="2262"/>
  <c r="L53" i="2262"/>
  <c r="N53" i="2262"/>
  <c r="S53" i="2262"/>
  <c r="Z53" i="2262"/>
  <c r="AF53" i="2262"/>
  <c r="H54" i="2262"/>
  <c r="J54" i="2262"/>
  <c r="L54" i="2262"/>
  <c r="N54" i="2262"/>
  <c r="S54" i="2262"/>
  <c r="S46" i="2262" s="1"/>
  <c r="Z54" i="2262"/>
  <c r="AF54" i="2262"/>
  <c r="H55" i="2262"/>
  <c r="J55" i="2262"/>
  <c r="L55" i="2262"/>
  <c r="N55" i="2262"/>
  <c r="S55" i="2262"/>
  <c r="Z55" i="2262"/>
  <c r="AF55" i="2262"/>
  <c r="H56" i="2262"/>
  <c r="J56" i="2262"/>
  <c r="L56" i="2262"/>
  <c r="N56" i="2262"/>
  <c r="S56" i="2262"/>
  <c r="Z56" i="2262"/>
  <c r="AF56" i="2262"/>
  <c r="H57" i="2262"/>
  <c r="J57" i="2262"/>
  <c r="L57" i="2262"/>
  <c r="N57" i="2262"/>
  <c r="S57" i="2262"/>
  <c r="Z57" i="2262"/>
  <c r="AF57" i="2262"/>
  <c r="H58" i="2262"/>
  <c r="J58" i="2262"/>
  <c r="L58" i="2262"/>
  <c r="N58" i="2262"/>
  <c r="S58" i="2262"/>
  <c r="Z58" i="2262"/>
  <c r="AF58" i="2262"/>
  <c r="H59" i="2262"/>
  <c r="J59" i="2262"/>
  <c r="L59" i="2262"/>
  <c r="N59" i="2262"/>
  <c r="S59" i="2262"/>
  <c r="Z59" i="2262"/>
  <c r="AF59" i="2262"/>
  <c r="H60" i="2262"/>
  <c r="J60" i="2262"/>
  <c r="L60" i="2262"/>
  <c r="N60" i="2262"/>
  <c r="S60" i="2262"/>
  <c r="Z60" i="2262"/>
  <c r="AF60" i="2262"/>
  <c r="H61" i="2262"/>
  <c r="J61" i="2262"/>
  <c r="L61" i="2262"/>
  <c r="N61" i="2262"/>
  <c r="S61" i="2262"/>
  <c r="Z61" i="2262"/>
  <c r="AF61" i="2262"/>
  <c r="H62" i="2262"/>
  <c r="J62" i="2262"/>
  <c r="L62" i="2262"/>
  <c r="N62" i="2262"/>
  <c r="S62" i="2262"/>
  <c r="Z62" i="2262"/>
  <c r="AF62" i="2262"/>
  <c r="H63" i="2262"/>
  <c r="J63" i="2262"/>
  <c r="L63" i="2262"/>
  <c r="N63" i="2262"/>
  <c r="S63" i="2262"/>
  <c r="Z63" i="2262"/>
  <c r="AF63" i="2262"/>
  <c r="H64" i="2262"/>
  <c r="J64" i="2262"/>
  <c r="L64" i="2262"/>
  <c r="N64" i="2262"/>
  <c r="S64" i="2262"/>
  <c r="Z64" i="2262"/>
  <c r="AF64" i="2262"/>
  <c r="H65" i="2262"/>
  <c r="J65" i="2262"/>
  <c r="L65" i="2262"/>
  <c r="N65" i="2262"/>
  <c r="S65" i="2262"/>
  <c r="Z65" i="2262"/>
  <c r="AF65" i="2262"/>
  <c r="H66" i="2262"/>
  <c r="J66" i="2262"/>
  <c r="L66" i="2262"/>
  <c r="N66" i="2262"/>
  <c r="S66" i="2262"/>
  <c r="Z66" i="2262"/>
  <c r="AF66" i="2262"/>
  <c r="H67" i="2262"/>
  <c r="J67" i="2262"/>
  <c r="L67" i="2262"/>
  <c r="N67" i="2262"/>
  <c r="Z67" i="2262"/>
  <c r="AF67" i="2262"/>
  <c r="H68" i="2262"/>
  <c r="J68" i="2262"/>
  <c r="L68" i="2262"/>
  <c r="N68" i="2262"/>
  <c r="S68" i="2262"/>
  <c r="Z68" i="2262"/>
  <c r="AF68" i="2262"/>
  <c r="H69" i="2262"/>
  <c r="J69" i="2262"/>
  <c r="L69" i="2262"/>
  <c r="N69" i="2262"/>
  <c r="S69" i="2262"/>
  <c r="Z69" i="2262"/>
  <c r="AF69" i="2262"/>
  <c r="H70" i="2262"/>
  <c r="J70" i="2262"/>
  <c r="L70" i="2262"/>
  <c r="N70" i="2262"/>
  <c r="S70" i="2262"/>
  <c r="Z70" i="2262"/>
  <c r="AF70" i="2262"/>
  <c r="H71" i="2262"/>
  <c r="J71" i="2262"/>
  <c r="L71" i="2262"/>
  <c r="N71" i="2262"/>
  <c r="Z71" i="2262"/>
  <c r="AF71" i="2262"/>
  <c r="H72" i="2262"/>
  <c r="J72" i="2262"/>
  <c r="L72" i="2262"/>
  <c r="N72" i="2262"/>
  <c r="S72" i="2262"/>
  <c r="Z72" i="2262"/>
  <c r="AF72" i="2262"/>
  <c r="H73" i="2262"/>
  <c r="J73" i="2262"/>
  <c r="L73" i="2262"/>
  <c r="N73" i="2262"/>
  <c r="Z73" i="2262"/>
  <c r="AF73" i="2262"/>
  <c r="H74" i="2262"/>
  <c r="J74" i="2262"/>
  <c r="L74" i="2262"/>
  <c r="N74" i="2262"/>
  <c r="S74" i="2262"/>
  <c r="Z74" i="2262"/>
  <c r="AF74" i="2262"/>
  <c r="H75" i="2262"/>
  <c r="J75" i="2262"/>
  <c r="L75" i="2262"/>
  <c r="N75" i="2262"/>
  <c r="S75" i="2262"/>
  <c r="Z75" i="2262"/>
  <c r="AF75" i="2262"/>
  <c r="H76" i="2262"/>
  <c r="J76" i="2262"/>
  <c r="L76" i="2262"/>
  <c r="N76" i="2262"/>
  <c r="S76" i="2262"/>
  <c r="Z76" i="2262"/>
  <c r="AF76" i="2262"/>
  <c r="H77" i="2262"/>
  <c r="J77" i="2262"/>
  <c r="L77" i="2262"/>
  <c r="N77" i="2262"/>
  <c r="S77" i="2262"/>
  <c r="Z77" i="2262"/>
  <c r="AF77" i="2262"/>
  <c r="H78" i="2262"/>
  <c r="J78" i="2262"/>
  <c r="L78" i="2262"/>
  <c r="N78" i="2262"/>
  <c r="S78" i="2262"/>
  <c r="Z78" i="2262"/>
  <c r="AF78" i="2262"/>
  <c r="H79" i="2262"/>
  <c r="J79" i="2262"/>
  <c r="L79" i="2262"/>
  <c r="N79" i="2262"/>
  <c r="S79" i="2262"/>
  <c r="Z79" i="2262"/>
  <c r="AF79" i="2262"/>
  <c r="H80" i="2262"/>
  <c r="J80" i="2262"/>
  <c r="L80" i="2262"/>
  <c r="N80" i="2262"/>
  <c r="S80" i="2262"/>
  <c r="Z80" i="2262"/>
  <c r="AF80" i="2262"/>
  <c r="H81" i="2262"/>
  <c r="J81" i="2262"/>
  <c r="L81" i="2262"/>
  <c r="N81" i="2262"/>
  <c r="Z81" i="2262"/>
  <c r="AF81" i="2262"/>
  <c r="H82" i="2262"/>
  <c r="J82" i="2262"/>
  <c r="L82" i="2262"/>
  <c r="N82" i="2262"/>
  <c r="S82" i="2262"/>
  <c r="Z82" i="2262"/>
  <c r="AF82" i="2262"/>
  <c r="H83" i="2262"/>
  <c r="J83" i="2262"/>
  <c r="L83" i="2262"/>
  <c r="N83" i="2262"/>
  <c r="S83" i="2262"/>
  <c r="Z83" i="2262"/>
  <c r="AF83" i="2262"/>
  <c r="H84" i="2262"/>
  <c r="J84" i="2262"/>
  <c r="L84" i="2262"/>
  <c r="N84" i="2262"/>
  <c r="S84" i="2262"/>
  <c r="Z84" i="2262"/>
  <c r="AF84" i="2262"/>
  <c r="H85" i="2262"/>
  <c r="J85" i="2262"/>
  <c r="L85" i="2262"/>
  <c r="N85" i="2262"/>
  <c r="Z85" i="2262"/>
  <c r="AF85" i="2262"/>
  <c r="H86" i="2262"/>
  <c r="I86" i="2262"/>
  <c r="J86" i="2262" s="1"/>
  <c r="L86" i="2262"/>
  <c r="N86" i="2262"/>
  <c r="S86" i="2262"/>
  <c r="Z86" i="2262"/>
  <c r="AF86" i="2262"/>
  <c r="H87" i="2262"/>
  <c r="I87" i="2262"/>
  <c r="L87" i="2262"/>
  <c r="N87" i="2262"/>
  <c r="S87" i="2262"/>
  <c r="S45" i="2262" s="1"/>
  <c r="Z87" i="2262"/>
  <c r="AF87" i="2262"/>
  <c r="H88" i="2262"/>
  <c r="I88" i="2262"/>
  <c r="J88" i="2262" s="1"/>
  <c r="L88" i="2262"/>
  <c r="N88" i="2262"/>
  <c r="S88" i="2262"/>
  <c r="Z88" i="2262"/>
  <c r="AF88" i="2262"/>
  <c r="G89" i="2262"/>
  <c r="H89" i="2262" s="1"/>
  <c r="J89" i="2262"/>
  <c r="L89" i="2262"/>
  <c r="N89" i="2262"/>
  <c r="Z89" i="2262"/>
  <c r="AF89" i="2262"/>
  <c r="H90" i="2262"/>
  <c r="J90" i="2262"/>
  <c r="L90" i="2262"/>
  <c r="N90" i="2262"/>
  <c r="S90" i="2262"/>
  <c r="Z90" i="2262"/>
  <c r="AF90" i="2262"/>
  <c r="H91" i="2262"/>
  <c r="J91" i="2262"/>
  <c r="L91" i="2262"/>
  <c r="N91" i="2262"/>
  <c r="S91" i="2262"/>
  <c r="Z91" i="2262"/>
  <c r="AF91" i="2262"/>
  <c r="H92" i="2262"/>
  <c r="I92" i="2262"/>
  <c r="J92" i="2262" s="1"/>
  <c r="L92" i="2262"/>
  <c r="N92" i="2262"/>
  <c r="S92" i="2262"/>
  <c r="Z92" i="2262"/>
  <c r="AF92" i="2262"/>
  <c r="H93" i="2262"/>
  <c r="I93" i="2262"/>
  <c r="J93" i="2262" s="1"/>
  <c r="L93" i="2262"/>
  <c r="N93" i="2262"/>
  <c r="S93" i="2262"/>
  <c r="Z93" i="2262"/>
  <c r="AF93" i="2262"/>
  <c r="H94" i="2262"/>
  <c r="J94" i="2262"/>
  <c r="L94" i="2262"/>
  <c r="N94" i="2262"/>
  <c r="S94" i="2262"/>
  <c r="Z94" i="2262"/>
  <c r="AF94" i="2262"/>
  <c r="H95" i="2262"/>
  <c r="J95" i="2262"/>
  <c r="L95" i="2262"/>
  <c r="N95" i="2262"/>
  <c r="S95" i="2262"/>
  <c r="Z95" i="2262"/>
  <c r="AF95" i="2262"/>
  <c r="H96" i="2262"/>
  <c r="J96" i="2262"/>
  <c r="L96" i="2262"/>
  <c r="N96" i="2262"/>
  <c r="Z96" i="2262"/>
  <c r="AF96" i="2262"/>
  <c r="H97" i="2262"/>
  <c r="J97" i="2262"/>
  <c r="L97" i="2262"/>
  <c r="N97" i="2262"/>
  <c r="S97" i="2262"/>
  <c r="Z97" i="2262"/>
  <c r="AF97" i="2262"/>
  <c r="H98" i="2262"/>
  <c r="J98" i="2262"/>
  <c r="L98" i="2262"/>
  <c r="N98" i="2262"/>
  <c r="S98" i="2262"/>
  <c r="Z98" i="2262"/>
  <c r="AF98" i="2262"/>
  <c r="H99" i="2262"/>
  <c r="J99" i="2262"/>
  <c r="L99" i="2262"/>
  <c r="N99" i="2262"/>
  <c r="S99" i="2262"/>
  <c r="Z99" i="2262"/>
  <c r="AF99" i="2262"/>
  <c r="H100" i="2262"/>
  <c r="J100" i="2262"/>
  <c r="L100" i="2262"/>
  <c r="N100" i="2262"/>
  <c r="S100" i="2262"/>
  <c r="Z100" i="2262"/>
  <c r="AF100" i="2262"/>
  <c r="H101" i="2262"/>
  <c r="J101" i="2262"/>
  <c r="L101" i="2262"/>
  <c r="N101" i="2262"/>
  <c r="Z101" i="2262"/>
  <c r="AF101" i="2262"/>
  <c r="H102" i="2262"/>
  <c r="J102" i="2262"/>
  <c r="L102" i="2262"/>
  <c r="N102" i="2262"/>
  <c r="Z102" i="2262"/>
  <c r="AF102" i="2262"/>
  <c r="H103" i="2262"/>
  <c r="J103" i="2262"/>
  <c r="L103" i="2262"/>
  <c r="N103" i="2262"/>
  <c r="T103" i="2262"/>
  <c r="Z103" i="2262"/>
  <c r="AF103" i="2262"/>
  <c r="H104" i="2262"/>
  <c r="J104" i="2262"/>
  <c r="L104" i="2262"/>
  <c r="N104" i="2262"/>
  <c r="T104" i="2262"/>
  <c r="Z104" i="2262"/>
  <c r="AF104" i="2262"/>
  <c r="H105" i="2262"/>
  <c r="J105" i="2262"/>
  <c r="L105" i="2262"/>
  <c r="N105" i="2262"/>
  <c r="T105" i="2262"/>
  <c r="Z105" i="2262"/>
  <c r="AF105" i="2262"/>
  <c r="H106" i="2262"/>
  <c r="J106" i="2262"/>
  <c r="L106" i="2262"/>
  <c r="N106" i="2262"/>
  <c r="T106" i="2262"/>
  <c r="Z106" i="2262"/>
  <c r="AF106" i="2262"/>
  <c r="H107" i="2262"/>
  <c r="J107" i="2262"/>
  <c r="L107" i="2262"/>
  <c r="N107" i="2262"/>
  <c r="T107" i="2262"/>
  <c r="Z107" i="2262"/>
  <c r="AF107" i="2262"/>
  <c r="H108" i="2262"/>
  <c r="J108" i="2262"/>
  <c r="L108" i="2262"/>
  <c r="N108" i="2262"/>
  <c r="T108" i="2262"/>
  <c r="Z108" i="2262"/>
  <c r="AF108" i="2262"/>
  <c r="H109" i="2262"/>
  <c r="J109" i="2262"/>
  <c r="L109" i="2262"/>
  <c r="N109" i="2262"/>
  <c r="T109" i="2262"/>
  <c r="Z109" i="2262"/>
  <c r="AF109" i="2262"/>
  <c r="H110" i="2262"/>
  <c r="J110" i="2262"/>
  <c r="L110" i="2262"/>
  <c r="N110" i="2262"/>
  <c r="T110" i="2262"/>
  <c r="Z110" i="2262"/>
  <c r="AF110" i="2262"/>
  <c r="H111" i="2262"/>
  <c r="J111" i="2262"/>
  <c r="L111" i="2262"/>
  <c r="N111" i="2262"/>
  <c r="S111" i="2262"/>
  <c r="T111" i="2262"/>
  <c r="Z111" i="2262"/>
  <c r="AF111" i="2262"/>
  <c r="H112" i="2262"/>
  <c r="J112" i="2262"/>
  <c r="L112" i="2262"/>
  <c r="N112" i="2262"/>
  <c r="S112" i="2262"/>
  <c r="T112" i="2262"/>
  <c r="Z112" i="2262"/>
  <c r="AF112" i="2262"/>
  <c r="G113" i="2262"/>
  <c r="H113" i="2262" s="1"/>
  <c r="J113" i="2262"/>
  <c r="L113" i="2262"/>
  <c r="N113" i="2262"/>
  <c r="S113" i="2262"/>
  <c r="T113" i="2262"/>
  <c r="Z113" i="2262"/>
  <c r="AF113" i="2262"/>
  <c r="G114" i="2262"/>
  <c r="H114" i="2262" s="1"/>
  <c r="J114" i="2262"/>
  <c r="L114" i="2262"/>
  <c r="N114" i="2262"/>
  <c r="S114" i="2262"/>
  <c r="T114" i="2262"/>
  <c r="Z114" i="2262"/>
  <c r="AF114" i="2262"/>
  <c r="G115" i="2262"/>
  <c r="H115" i="2262" s="1"/>
  <c r="J115" i="2262"/>
  <c r="L115" i="2262"/>
  <c r="N115" i="2262"/>
  <c r="S115" i="2262"/>
  <c r="T115" i="2262"/>
  <c r="Z115" i="2262"/>
  <c r="AF115" i="2262"/>
  <c r="G116" i="2262"/>
  <c r="H116" i="2262" s="1"/>
  <c r="J116" i="2262"/>
  <c r="L116" i="2262"/>
  <c r="N116" i="2262"/>
  <c r="S116" i="2262"/>
  <c r="T116" i="2262"/>
  <c r="Z116" i="2262"/>
  <c r="AF116" i="2262"/>
  <c r="G117" i="2262"/>
  <c r="H117" i="2262" s="1"/>
  <c r="J117" i="2262"/>
  <c r="L117" i="2262"/>
  <c r="N117" i="2262"/>
  <c r="S117" i="2262"/>
  <c r="T117" i="2262"/>
  <c r="Z117" i="2262"/>
  <c r="AF117" i="2262"/>
  <c r="H118" i="2262"/>
  <c r="J118" i="2262"/>
  <c r="L118" i="2262"/>
  <c r="N118" i="2262"/>
  <c r="S118" i="2262"/>
  <c r="Z118" i="2262"/>
  <c r="AF118" i="2262"/>
  <c r="H119" i="2262"/>
  <c r="J119" i="2262"/>
  <c r="L119" i="2262"/>
  <c r="N119" i="2262"/>
  <c r="S119" i="2262"/>
  <c r="Z119" i="2262"/>
  <c r="AF119" i="2262"/>
  <c r="H120" i="2262"/>
  <c r="J120" i="2262"/>
  <c r="L120" i="2262"/>
  <c r="N120" i="2262"/>
  <c r="S120" i="2262"/>
  <c r="Z120" i="2262"/>
  <c r="AF120" i="2262"/>
  <c r="H121" i="2262"/>
  <c r="J121" i="2262"/>
  <c r="L121" i="2262"/>
  <c r="N121" i="2262"/>
  <c r="S121" i="2262"/>
  <c r="Z121" i="2262"/>
  <c r="AF121" i="2262"/>
  <c r="H122" i="2262"/>
  <c r="J122" i="2262"/>
  <c r="L122" i="2262"/>
  <c r="N122" i="2262"/>
  <c r="S122" i="2262"/>
  <c r="Z122" i="2262"/>
  <c r="AF122" i="2262"/>
  <c r="H123" i="2262"/>
  <c r="J123" i="2262"/>
  <c r="L123" i="2262"/>
  <c r="N123" i="2262"/>
  <c r="S123" i="2262"/>
  <c r="Z123" i="2262"/>
  <c r="AF123" i="2262"/>
  <c r="H124" i="2262"/>
  <c r="J124" i="2262"/>
  <c r="L124" i="2262"/>
  <c r="N124" i="2262"/>
  <c r="Z124" i="2262"/>
  <c r="AF124" i="2262"/>
  <c r="H125" i="2262"/>
  <c r="J125" i="2262"/>
  <c r="L125" i="2262"/>
  <c r="N125" i="2262"/>
  <c r="S125" i="2262"/>
  <c r="Z125" i="2262"/>
  <c r="AF125" i="2262"/>
  <c r="H126" i="2262"/>
  <c r="J126" i="2262"/>
  <c r="L126" i="2262"/>
  <c r="N126" i="2262"/>
  <c r="S126" i="2262"/>
  <c r="Z126" i="2262"/>
  <c r="AF126" i="2262"/>
  <c r="H127" i="2262"/>
  <c r="J127" i="2262"/>
  <c r="L127" i="2262"/>
  <c r="N127" i="2262"/>
  <c r="S127" i="2262"/>
  <c r="Z127" i="2262"/>
  <c r="AF127" i="2262"/>
  <c r="H128" i="2262"/>
  <c r="J128" i="2262"/>
  <c r="L128" i="2262"/>
  <c r="N128" i="2262"/>
  <c r="S128" i="2262"/>
  <c r="Z128" i="2262"/>
  <c r="AF128" i="2262"/>
  <c r="H129" i="2262"/>
  <c r="J129" i="2262"/>
  <c r="L129" i="2262"/>
  <c r="N129" i="2262"/>
  <c r="S129" i="2262"/>
  <c r="Z129" i="2262"/>
  <c r="AF129" i="2262"/>
  <c r="H130" i="2262"/>
  <c r="J130" i="2262"/>
  <c r="L130" i="2262"/>
  <c r="N130" i="2262"/>
  <c r="Z130" i="2262"/>
  <c r="AF130" i="2262"/>
  <c r="H131" i="2262"/>
  <c r="J131" i="2262"/>
  <c r="L131" i="2262"/>
  <c r="N131" i="2262"/>
  <c r="S131" i="2262"/>
  <c r="Z131" i="2262"/>
  <c r="AF131" i="2262"/>
  <c r="H132" i="2262"/>
  <c r="J132" i="2262"/>
  <c r="L132" i="2262"/>
  <c r="N132" i="2262"/>
  <c r="S132" i="2262"/>
  <c r="Z132" i="2262"/>
  <c r="AF132" i="2262"/>
  <c r="H133" i="2262"/>
  <c r="J133" i="2262"/>
  <c r="L133" i="2262"/>
  <c r="N133" i="2262"/>
  <c r="S133" i="2262"/>
  <c r="Z133" i="2262"/>
  <c r="AF133" i="2262"/>
  <c r="H134" i="2262"/>
  <c r="J134" i="2262"/>
  <c r="L134" i="2262"/>
  <c r="N134" i="2262"/>
  <c r="Z134" i="2262"/>
  <c r="AF134" i="2262"/>
  <c r="H135" i="2262"/>
  <c r="J135" i="2262"/>
  <c r="L135" i="2262"/>
  <c r="N135" i="2262"/>
  <c r="S135" i="2262"/>
  <c r="Z135" i="2262"/>
  <c r="AF135" i="2262"/>
  <c r="H136" i="2262"/>
  <c r="J136" i="2262"/>
  <c r="L136" i="2262"/>
  <c r="N136" i="2262"/>
  <c r="S136" i="2262"/>
  <c r="Z136" i="2262"/>
  <c r="AF136" i="2262"/>
  <c r="H137" i="2262"/>
  <c r="J137" i="2262"/>
  <c r="L137" i="2262"/>
  <c r="N137" i="2262"/>
  <c r="Z137" i="2262"/>
  <c r="AF137" i="2262"/>
  <c r="H138" i="2262"/>
  <c r="J138" i="2262"/>
  <c r="L138" i="2262"/>
  <c r="N138" i="2262"/>
  <c r="S138" i="2262"/>
  <c r="Z138" i="2262"/>
  <c r="AF138" i="2262"/>
  <c r="H139" i="2262"/>
  <c r="J139" i="2262"/>
  <c r="L139" i="2262"/>
  <c r="N139" i="2262"/>
  <c r="Z139" i="2262"/>
  <c r="AF139" i="2262"/>
  <c r="H140" i="2262"/>
  <c r="J140" i="2262"/>
  <c r="L140" i="2262"/>
  <c r="N140" i="2262"/>
  <c r="S140" i="2262"/>
  <c r="Z140" i="2262"/>
  <c r="AF140" i="2262"/>
  <c r="H141" i="2262"/>
  <c r="J141" i="2262"/>
  <c r="L141" i="2262"/>
  <c r="N141" i="2262"/>
  <c r="S141" i="2262"/>
  <c r="Z141" i="2262"/>
  <c r="AF141" i="2262"/>
  <c r="H142" i="2262"/>
  <c r="J142" i="2262"/>
  <c r="L142" i="2262"/>
  <c r="N142" i="2262"/>
  <c r="S142" i="2262"/>
  <c r="Z142" i="2262"/>
  <c r="AF142" i="2262"/>
  <c r="H143" i="2262"/>
  <c r="J143" i="2262"/>
  <c r="L143" i="2262"/>
  <c r="N143" i="2262"/>
  <c r="S143" i="2262"/>
  <c r="Z143" i="2262"/>
  <c r="AF143" i="2262"/>
  <c r="H144" i="2262"/>
  <c r="J144" i="2262"/>
  <c r="L144" i="2262"/>
  <c r="N144" i="2262"/>
  <c r="S144" i="2262"/>
  <c r="Z144" i="2262"/>
  <c r="AF144" i="2262"/>
  <c r="H145" i="2262"/>
  <c r="J145" i="2262"/>
  <c r="L145" i="2262"/>
  <c r="N145" i="2262"/>
  <c r="S145" i="2262"/>
  <c r="Z145" i="2262"/>
  <c r="AF145" i="2262"/>
  <c r="H146" i="2262"/>
  <c r="J146" i="2262"/>
  <c r="L146" i="2262"/>
  <c r="N146" i="2262"/>
  <c r="S146" i="2262"/>
  <c r="Z146" i="2262"/>
  <c r="AF146" i="2262"/>
  <c r="H147" i="2262"/>
  <c r="J147" i="2262"/>
  <c r="L147" i="2262"/>
  <c r="N147" i="2262"/>
  <c r="S147" i="2262"/>
  <c r="Z147" i="2262"/>
  <c r="AF147" i="2262"/>
  <c r="H148" i="2262"/>
  <c r="J148" i="2262"/>
  <c r="L148" i="2262"/>
  <c r="N148" i="2262"/>
  <c r="Z148" i="2262"/>
  <c r="AF148" i="2262"/>
  <c r="H149" i="2262"/>
  <c r="J149" i="2262"/>
  <c r="L149" i="2262"/>
  <c r="N149" i="2262"/>
  <c r="Z149" i="2262"/>
  <c r="AF149" i="2262"/>
  <c r="H150" i="2262"/>
  <c r="J150" i="2262"/>
  <c r="L150" i="2262"/>
  <c r="N150" i="2262"/>
  <c r="S150" i="2262"/>
  <c r="Z150" i="2262"/>
  <c r="AF150" i="2262"/>
  <c r="H151" i="2262"/>
  <c r="J151" i="2262"/>
  <c r="L151" i="2262"/>
  <c r="N151" i="2262"/>
  <c r="S151" i="2262"/>
  <c r="Z151" i="2262"/>
  <c r="AF151" i="2262"/>
  <c r="H152" i="2262"/>
  <c r="J152" i="2262"/>
  <c r="L152" i="2262"/>
  <c r="N152" i="2262"/>
  <c r="S152" i="2262"/>
  <c r="Z152" i="2262"/>
  <c r="AF152" i="2262"/>
  <c r="H153" i="2262"/>
  <c r="J153" i="2262"/>
  <c r="L153" i="2262"/>
  <c r="N153" i="2262"/>
  <c r="S153" i="2262"/>
  <c r="Z153" i="2262"/>
  <c r="AF153" i="2262"/>
  <c r="H154" i="2262"/>
  <c r="J154" i="2262"/>
  <c r="L154" i="2262"/>
  <c r="N154" i="2262"/>
  <c r="S154" i="2262"/>
  <c r="Z154" i="2262"/>
  <c r="AF154" i="2262"/>
  <c r="H155" i="2262"/>
  <c r="J155" i="2262"/>
  <c r="L155" i="2262"/>
  <c r="N155" i="2262"/>
  <c r="S155" i="2262"/>
  <c r="Z155" i="2262"/>
  <c r="AF155" i="2262"/>
  <c r="H156" i="2262"/>
  <c r="J156" i="2262"/>
  <c r="L156" i="2262"/>
  <c r="N156" i="2262"/>
  <c r="S156" i="2262"/>
  <c r="Z156" i="2262"/>
  <c r="AF156" i="2262"/>
  <c r="H157" i="2262"/>
  <c r="J157" i="2262"/>
  <c r="L157" i="2262"/>
  <c r="N157" i="2262"/>
  <c r="S157" i="2262"/>
  <c r="Z157" i="2262"/>
  <c r="AF157" i="2262"/>
  <c r="G158" i="2262"/>
  <c r="H158" i="2262" s="1"/>
  <c r="J158" i="2262"/>
  <c r="L158" i="2262"/>
  <c r="N158" i="2262"/>
  <c r="Z158" i="2262"/>
  <c r="AF158" i="2262"/>
  <c r="H159" i="2262"/>
  <c r="J159" i="2262"/>
  <c r="L159" i="2262"/>
  <c r="N159" i="2262"/>
  <c r="S159" i="2262"/>
  <c r="Z159" i="2262"/>
  <c r="AF159" i="2262"/>
  <c r="H160" i="2262"/>
  <c r="J160" i="2262"/>
  <c r="L160" i="2262"/>
  <c r="N160" i="2262"/>
  <c r="S160" i="2262"/>
  <c r="Z160" i="2262"/>
  <c r="AF160" i="2262"/>
  <c r="H161" i="2262"/>
  <c r="J161" i="2262"/>
  <c r="L161" i="2262"/>
  <c r="N161" i="2262"/>
  <c r="S161" i="2262"/>
  <c r="Z161" i="2262"/>
  <c r="AF161" i="2262"/>
  <c r="AK161" i="2262"/>
  <c r="H162" i="2262"/>
  <c r="J162" i="2262"/>
  <c r="L162" i="2262"/>
  <c r="N162" i="2262"/>
  <c r="S162" i="2262"/>
  <c r="Z162" i="2262"/>
  <c r="AF162" i="2262"/>
  <c r="H163" i="2262"/>
  <c r="J163" i="2262"/>
  <c r="L163" i="2262"/>
  <c r="N163" i="2262"/>
  <c r="S163" i="2262"/>
  <c r="Z163" i="2262"/>
  <c r="AF163" i="2262"/>
  <c r="H164" i="2262"/>
  <c r="J164" i="2262"/>
  <c r="L164" i="2262"/>
  <c r="N164" i="2262"/>
  <c r="S164" i="2262"/>
  <c r="Z164" i="2262"/>
  <c r="AF164" i="2262"/>
  <c r="H165" i="2262"/>
  <c r="J165" i="2262"/>
  <c r="L165" i="2262"/>
  <c r="N165" i="2262"/>
  <c r="S165" i="2262"/>
  <c r="Z165" i="2262"/>
  <c r="AF165" i="2262"/>
  <c r="H166" i="2262"/>
  <c r="J166" i="2262"/>
  <c r="L166" i="2262"/>
  <c r="N166" i="2262"/>
  <c r="S166" i="2262"/>
  <c r="Z166" i="2262"/>
  <c r="AF166" i="2262"/>
  <c r="H167" i="2262"/>
  <c r="J167" i="2262"/>
  <c r="L167" i="2262"/>
  <c r="N167" i="2262"/>
  <c r="S167" i="2262"/>
  <c r="Z167" i="2262"/>
  <c r="AF167" i="2262"/>
  <c r="H168" i="2262"/>
  <c r="J168" i="2262"/>
  <c r="L168" i="2262"/>
  <c r="N168" i="2262"/>
  <c r="Z168" i="2262"/>
  <c r="AF168" i="2262"/>
  <c r="H169" i="2262"/>
  <c r="J169" i="2262"/>
  <c r="L169" i="2262"/>
  <c r="N169" i="2262"/>
  <c r="Z169" i="2262"/>
  <c r="AF169" i="2262"/>
  <c r="H170" i="2262"/>
  <c r="J170" i="2262"/>
  <c r="L170" i="2262"/>
  <c r="N170" i="2262"/>
  <c r="Z170" i="2262"/>
  <c r="AF170" i="2262"/>
  <c r="H171" i="2262"/>
  <c r="J171" i="2262"/>
  <c r="L171" i="2262"/>
  <c r="N171" i="2262"/>
  <c r="Z171" i="2262"/>
  <c r="AF171" i="2262"/>
  <c r="H172" i="2262"/>
  <c r="J172" i="2262"/>
  <c r="L172" i="2262"/>
  <c r="N172" i="2262"/>
  <c r="Z172" i="2262"/>
  <c r="AF172" i="2262"/>
  <c r="H173" i="2262"/>
  <c r="J173" i="2262"/>
  <c r="L173" i="2262"/>
  <c r="N173" i="2262"/>
  <c r="Z173" i="2262"/>
  <c r="AF173" i="2262"/>
  <c r="H174" i="2262"/>
  <c r="J174" i="2262"/>
  <c r="L174" i="2262"/>
  <c r="N174" i="2262"/>
  <c r="Z174" i="2262"/>
  <c r="AF174" i="2262"/>
  <c r="H175" i="2262"/>
  <c r="I175" i="2262"/>
  <c r="J175" i="2262" s="1"/>
  <c r="L175" i="2262"/>
  <c r="N175" i="2262"/>
  <c r="S175" i="2262"/>
  <c r="Z175" i="2262"/>
  <c r="AF175" i="2262"/>
  <c r="H176" i="2262"/>
  <c r="I176" i="2262"/>
  <c r="J176" i="2262" s="1"/>
  <c r="L176" i="2262"/>
  <c r="N176" i="2262"/>
  <c r="S176" i="2262"/>
  <c r="Z176" i="2262"/>
  <c r="AF176" i="2262"/>
  <c r="H177" i="2262"/>
  <c r="I177" i="2262"/>
  <c r="J177" i="2262" s="1"/>
  <c r="L177" i="2262"/>
  <c r="N177" i="2262"/>
  <c r="S177" i="2262"/>
  <c r="Z177" i="2262"/>
  <c r="AF177" i="2262"/>
  <c r="H178" i="2262"/>
  <c r="I178" i="2262"/>
  <c r="J178" i="2262" s="1"/>
  <c r="L178" i="2262"/>
  <c r="N178" i="2262"/>
  <c r="S178" i="2262"/>
  <c r="Z178" i="2262"/>
  <c r="AF178" i="2262"/>
  <c r="H179" i="2262"/>
  <c r="J179" i="2262"/>
  <c r="L179" i="2262"/>
  <c r="N179" i="2262"/>
  <c r="S179" i="2262"/>
  <c r="Z179" i="2262"/>
  <c r="AF179" i="2262"/>
  <c r="H180" i="2262"/>
  <c r="J180" i="2262"/>
  <c r="L180" i="2262"/>
  <c r="N180" i="2262"/>
  <c r="S180" i="2262"/>
  <c r="Z180" i="2262"/>
  <c r="AF180" i="2262"/>
  <c r="H181" i="2262"/>
  <c r="I181" i="2262"/>
  <c r="J181" i="2262" s="1"/>
  <c r="L181" i="2262"/>
  <c r="N181" i="2262"/>
  <c r="S181" i="2262"/>
  <c r="Z181" i="2262"/>
  <c r="AF181" i="2262"/>
  <c r="H182" i="2262"/>
  <c r="I182" i="2262"/>
  <c r="J182" i="2262" s="1"/>
  <c r="L182" i="2262"/>
  <c r="N182" i="2262"/>
  <c r="S182" i="2262"/>
  <c r="Z182" i="2262"/>
  <c r="AF182" i="2262"/>
  <c r="H183" i="2262"/>
  <c r="I183" i="2262"/>
  <c r="J183" i="2262" s="1"/>
  <c r="L183" i="2262"/>
  <c r="N183" i="2262"/>
  <c r="S183" i="2262"/>
  <c r="Z183" i="2262"/>
  <c r="AF183" i="2262"/>
  <c r="H184" i="2262"/>
  <c r="J184" i="2262"/>
  <c r="L184" i="2262"/>
  <c r="N184" i="2262"/>
  <c r="S184" i="2262"/>
  <c r="Z184" i="2262"/>
  <c r="AF184" i="2262"/>
  <c r="H185" i="2262"/>
  <c r="J185" i="2262"/>
  <c r="L185" i="2262"/>
  <c r="N185" i="2262"/>
  <c r="S185" i="2262"/>
  <c r="Z185" i="2262"/>
  <c r="AF185" i="2262"/>
  <c r="H186" i="2262"/>
  <c r="I186" i="2262"/>
  <c r="J186" i="2262" s="1"/>
  <c r="L186" i="2262"/>
  <c r="N186" i="2262"/>
  <c r="S186" i="2262"/>
  <c r="Z186" i="2262"/>
  <c r="AF186" i="2262"/>
  <c r="H187" i="2262"/>
  <c r="J187" i="2262"/>
  <c r="L187" i="2262"/>
  <c r="N187" i="2262"/>
  <c r="Z187" i="2262"/>
  <c r="AF187" i="2262"/>
  <c r="H188" i="2262"/>
  <c r="J188" i="2262"/>
  <c r="L188" i="2262"/>
  <c r="N188" i="2262"/>
  <c r="Z188" i="2262"/>
  <c r="AF188" i="2262"/>
  <c r="H189" i="2262"/>
  <c r="J189" i="2262"/>
  <c r="L189" i="2262"/>
  <c r="N189" i="2262"/>
  <c r="Z189" i="2262"/>
  <c r="AF189" i="2262"/>
  <c r="H190" i="2262"/>
  <c r="J190" i="2262"/>
  <c r="L190" i="2262"/>
  <c r="N190" i="2262"/>
  <c r="S190" i="2262"/>
  <c r="Z190" i="2262"/>
  <c r="AF190" i="2262"/>
  <c r="H191" i="2262"/>
  <c r="J191" i="2262"/>
  <c r="L191" i="2262"/>
  <c r="N191" i="2262"/>
  <c r="Z191" i="2262"/>
  <c r="AF191" i="2262"/>
  <c r="H192" i="2262"/>
  <c r="J192" i="2262"/>
  <c r="L192" i="2262"/>
  <c r="N192" i="2262"/>
  <c r="S192" i="2262"/>
  <c r="Z192" i="2262"/>
  <c r="AF192" i="2262"/>
  <c r="F193" i="2262"/>
  <c r="G193" i="2262"/>
  <c r="H193" i="2262" s="1"/>
  <c r="J193" i="2262"/>
  <c r="L193" i="2262"/>
  <c r="N193" i="2262"/>
  <c r="Q193" i="2262"/>
  <c r="T193" i="2262"/>
  <c r="Z193" i="2262"/>
  <c r="AB193" i="2262"/>
  <c r="AD193" i="2262"/>
  <c r="AF193" i="2262"/>
  <c r="F194" i="2262"/>
  <c r="G194" i="2262"/>
  <c r="H194" i="2262" s="1"/>
  <c r="J194" i="2262"/>
  <c r="L194" i="2262"/>
  <c r="N194" i="2262"/>
  <c r="Q194" i="2262"/>
  <c r="T194" i="2262"/>
  <c r="Z194" i="2262"/>
  <c r="AB194" i="2262"/>
  <c r="AD194" i="2262"/>
  <c r="AF194" i="2262"/>
  <c r="F195" i="2262"/>
  <c r="G195" i="2262"/>
  <c r="H195" i="2262" s="1"/>
  <c r="J195" i="2262"/>
  <c r="L195" i="2262"/>
  <c r="N195" i="2262"/>
  <c r="Q195" i="2262"/>
  <c r="T195" i="2262"/>
  <c r="Z195" i="2262"/>
  <c r="AB195" i="2262"/>
  <c r="AD195" i="2262"/>
  <c r="AF195" i="2262"/>
  <c r="F196" i="2262"/>
  <c r="G196" i="2262"/>
  <c r="H196" i="2262" s="1"/>
  <c r="J196" i="2262"/>
  <c r="L196" i="2262"/>
  <c r="N196" i="2262"/>
  <c r="Q196" i="2262"/>
  <c r="T196" i="2262"/>
  <c r="Z196" i="2262"/>
  <c r="AB196" i="2262"/>
  <c r="AD196" i="2262"/>
  <c r="AF196" i="2262"/>
  <c r="F197" i="2262"/>
  <c r="G197" i="2262"/>
  <c r="H197" i="2262" s="1"/>
  <c r="J197" i="2262"/>
  <c r="L197" i="2262"/>
  <c r="N197" i="2262"/>
  <c r="Q197" i="2262"/>
  <c r="T197" i="2262"/>
  <c r="Z197" i="2262"/>
  <c r="AB197" i="2262"/>
  <c r="AD197" i="2262"/>
  <c r="AF197" i="2262"/>
  <c r="F198" i="2262"/>
  <c r="G198" i="2262"/>
  <c r="H198" i="2262" s="1"/>
  <c r="J198" i="2262"/>
  <c r="L198" i="2262"/>
  <c r="N198" i="2262"/>
  <c r="Q198" i="2262"/>
  <c r="T198" i="2262"/>
  <c r="Z198" i="2262"/>
  <c r="AB198" i="2262"/>
  <c r="AD198" i="2262"/>
  <c r="AF198" i="2262"/>
  <c r="F199" i="2262"/>
  <c r="G199" i="2262"/>
  <c r="H199" i="2262" s="1"/>
  <c r="J199" i="2262"/>
  <c r="L199" i="2262"/>
  <c r="N199" i="2262"/>
  <c r="Q199" i="2262"/>
  <c r="T199" i="2262"/>
  <c r="Z199" i="2262"/>
  <c r="AB199" i="2262"/>
  <c r="AD199" i="2262"/>
  <c r="AF199" i="2262"/>
  <c r="F200" i="2262"/>
  <c r="G200" i="2262"/>
  <c r="H200" i="2262" s="1"/>
  <c r="J200" i="2262"/>
  <c r="L200" i="2262"/>
  <c r="N200" i="2262"/>
  <c r="Q200" i="2262"/>
  <c r="T200" i="2262"/>
  <c r="Z200" i="2262"/>
  <c r="AB200" i="2262"/>
  <c r="AD200" i="2262"/>
  <c r="AF200" i="2262"/>
  <c r="F201" i="2262"/>
  <c r="G201" i="2262"/>
  <c r="H201" i="2262" s="1"/>
  <c r="J201" i="2262"/>
  <c r="L201" i="2262"/>
  <c r="N201" i="2262"/>
  <c r="Q201" i="2262"/>
  <c r="T201" i="2262"/>
  <c r="Z201" i="2262"/>
  <c r="AB201" i="2262"/>
  <c r="AD201" i="2262"/>
  <c r="AF201" i="2262"/>
  <c r="F202" i="2262"/>
  <c r="G202" i="2262"/>
  <c r="H202" i="2262" s="1"/>
  <c r="J202" i="2262"/>
  <c r="L202" i="2262"/>
  <c r="N202" i="2262"/>
  <c r="Q202" i="2262"/>
  <c r="T202" i="2262"/>
  <c r="Z202" i="2262"/>
  <c r="AB202" i="2262"/>
  <c r="AD202" i="2262"/>
  <c r="AF202" i="2262"/>
  <c r="F203" i="2262"/>
  <c r="G203" i="2262"/>
  <c r="H203" i="2262" s="1"/>
  <c r="J203" i="2262"/>
  <c r="L203" i="2262"/>
  <c r="N203" i="2262"/>
  <c r="Q203" i="2262"/>
  <c r="T203" i="2262"/>
  <c r="Z203" i="2262"/>
  <c r="AB203" i="2262"/>
  <c r="AD203" i="2262"/>
  <c r="AF203" i="2262"/>
  <c r="F204" i="2262"/>
  <c r="G204" i="2262"/>
  <c r="H204" i="2262" s="1"/>
  <c r="J204" i="2262"/>
  <c r="L204" i="2262"/>
  <c r="N204" i="2262"/>
  <c r="Q204" i="2262"/>
  <c r="T204" i="2262"/>
  <c r="Z204" i="2262"/>
  <c r="AB204" i="2262"/>
  <c r="AD204" i="2262"/>
  <c r="AF204" i="2262"/>
  <c r="F205" i="2262"/>
  <c r="G205" i="2262"/>
  <c r="H205" i="2262" s="1"/>
  <c r="J205" i="2262"/>
  <c r="L205" i="2262"/>
  <c r="N205" i="2262"/>
  <c r="Q205" i="2262"/>
  <c r="T205" i="2262"/>
  <c r="Z205" i="2262"/>
  <c r="AB205" i="2262"/>
  <c r="AD205" i="2262"/>
  <c r="AF205" i="2262"/>
  <c r="F206" i="2262"/>
  <c r="G206" i="2262"/>
  <c r="H206" i="2262" s="1"/>
  <c r="J206" i="2262"/>
  <c r="L206" i="2262"/>
  <c r="N206" i="2262"/>
  <c r="Q206" i="2262"/>
  <c r="T206" i="2262"/>
  <c r="Z206" i="2262"/>
  <c r="AB206" i="2262"/>
  <c r="AD206" i="2262"/>
  <c r="AF206" i="2262"/>
  <c r="F207" i="2262"/>
  <c r="G207" i="2262"/>
  <c r="H207" i="2262" s="1"/>
  <c r="J207" i="2262"/>
  <c r="L207" i="2262"/>
  <c r="N207" i="2262"/>
  <c r="Q207" i="2262"/>
  <c r="T207" i="2262"/>
  <c r="Z207" i="2262"/>
  <c r="AB207" i="2262"/>
  <c r="AD207" i="2262"/>
  <c r="AF207" i="2262"/>
  <c r="F208" i="2262"/>
  <c r="G208" i="2262"/>
  <c r="H208" i="2262" s="1"/>
  <c r="J208" i="2262"/>
  <c r="L208" i="2262"/>
  <c r="N208" i="2262"/>
  <c r="Q208" i="2262"/>
  <c r="T208" i="2262"/>
  <c r="Z208" i="2262"/>
  <c r="AB208" i="2262"/>
  <c r="AD208" i="2262"/>
  <c r="AF208" i="2262"/>
  <c r="F209" i="2262"/>
  <c r="G209" i="2262"/>
  <c r="H209" i="2262" s="1"/>
  <c r="J209" i="2262"/>
  <c r="L209" i="2262"/>
  <c r="N209" i="2262"/>
  <c r="Q209" i="2262"/>
  <c r="T209" i="2262"/>
  <c r="Z209" i="2262"/>
  <c r="AB209" i="2262"/>
  <c r="AD209" i="2262"/>
  <c r="AF209" i="2262"/>
  <c r="F210" i="2262"/>
  <c r="G210" i="2262"/>
  <c r="H210" i="2262" s="1"/>
  <c r="J210" i="2262"/>
  <c r="L210" i="2262"/>
  <c r="N210" i="2262"/>
  <c r="Q210" i="2262"/>
  <c r="T210" i="2262"/>
  <c r="Z210" i="2262"/>
  <c r="AB210" i="2262"/>
  <c r="AD210" i="2262"/>
  <c r="AF210" i="2262"/>
  <c r="F211" i="2262"/>
  <c r="G211" i="2262"/>
  <c r="H211" i="2262" s="1"/>
  <c r="J211" i="2262"/>
  <c r="L211" i="2262"/>
  <c r="N211" i="2262"/>
  <c r="Q211" i="2262"/>
  <c r="T211" i="2262"/>
  <c r="Z211" i="2262"/>
  <c r="AB211" i="2262"/>
  <c r="AD211" i="2262"/>
  <c r="AF211" i="2262"/>
  <c r="F212" i="2262"/>
  <c r="G212" i="2262"/>
  <c r="H212" i="2262" s="1"/>
  <c r="J212" i="2262"/>
  <c r="L212" i="2262"/>
  <c r="N212" i="2262"/>
  <c r="Q212" i="2262"/>
  <c r="T212" i="2262"/>
  <c r="Z212" i="2262"/>
  <c r="AB212" i="2262"/>
  <c r="AD212" i="2262"/>
  <c r="AF212" i="2262"/>
  <c r="F213" i="2262"/>
  <c r="G213" i="2262"/>
  <c r="H213" i="2262" s="1"/>
  <c r="J213" i="2262"/>
  <c r="L213" i="2262"/>
  <c r="N213" i="2262"/>
  <c r="Q213" i="2262"/>
  <c r="T213" i="2262"/>
  <c r="Z213" i="2262"/>
  <c r="AB213" i="2262"/>
  <c r="AD213" i="2262"/>
  <c r="AF213" i="2262"/>
  <c r="F214" i="2262"/>
  <c r="G214" i="2262"/>
  <c r="H214" i="2262" s="1"/>
  <c r="J214" i="2262"/>
  <c r="L214" i="2262"/>
  <c r="N214" i="2262"/>
  <c r="Q214" i="2262"/>
  <c r="T214" i="2262"/>
  <c r="Z214" i="2262"/>
  <c r="AB214" i="2262"/>
  <c r="AD214" i="2262"/>
  <c r="AF214" i="2262"/>
  <c r="F215" i="2262"/>
  <c r="G215" i="2262"/>
  <c r="H215" i="2262" s="1"/>
  <c r="J215" i="2262"/>
  <c r="L215" i="2262"/>
  <c r="N215" i="2262"/>
  <c r="Q215" i="2262"/>
  <c r="T215" i="2262"/>
  <c r="Z215" i="2262"/>
  <c r="AB215" i="2262"/>
  <c r="AD215" i="2262"/>
  <c r="AF215" i="2262"/>
  <c r="F216" i="2262"/>
  <c r="G216" i="2262"/>
  <c r="H216" i="2262" s="1"/>
  <c r="J216" i="2262"/>
  <c r="L216" i="2262"/>
  <c r="N216" i="2262"/>
  <c r="Q216" i="2262"/>
  <c r="T216" i="2262"/>
  <c r="Z216" i="2262"/>
  <c r="AB216" i="2262"/>
  <c r="AD216" i="2262"/>
  <c r="AF216" i="2262"/>
  <c r="F217" i="2262"/>
  <c r="G217" i="2262"/>
  <c r="H217" i="2262" s="1"/>
  <c r="J217" i="2262"/>
  <c r="L217" i="2262"/>
  <c r="N217" i="2262"/>
  <c r="Q217" i="2262"/>
  <c r="T217" i="2262"/>
  <c r="Z217" i="2262"/>
  <c r="AB217" i="2262"/>
  <c r="AD217" i="2262"/>
  <c r="AF217" i="2262"/>
  <c r="F218" i="2262"/>
  <c r="G218" i="2262"/>
  <c r="H218" i="2262" s="1"/>
  <c r="J218" i="2262"/>
  <c r="L218" i="2262"/>
  <c r="N218" i="2262"/>
  <c r="Q218" i="2262"/>
  <c r="T218" i="2262"/>
  <c r="Z218" i="2262"/>
  <c r="AB218" i="2262"/>
  <c r="AD218" i="2262"/>
  <c r="AF218" i="2262"/>
  <c r="F219" i="2262"/>
  <c r="G219" i="2262"/>
  <c r="H219" i="2262" s="1"/>
  <c r="J219" i="2262"/>
  <c r="L219" i="2262"/>
  <c r="N219" i="2262"/>
  <c r="Q219" i="2262"/>
  <c r="T219" i="2262"/>
  <c r="Z219" i="2262"/>
  <c r="AB219" i="2262"/>
  <c r="AD219" i="2262"/>
  <c r="AF219" i="2262"/>
  <c r="F220" i="2262"/>
  <c r="G220" i="2262"/>
  <c r="H220" i="2262" s="1"/>
  <c r="J220" i="2262"/>
  <c r="L220" i="2262"/>
  <c r="N220" i="2262"/>
  <c r="Q220" i="2262"/>
  <c r="T220" i="2262"/>
  <c r="Z220" i="2262"/>
  <c r="AB220" i="2262"/>
  <c r="AD220" i="2262"/>
  <c r="AF220" i="2262"/>
  <c r="F221" i="2262"/>
  <c r="G221" i="2262"/>
  <c r="H221" i="2262" s="1"/>
  <c r="J221" i="2262"/>
  <c r="L221" i="2262"/>
  <c r="N221" i="2262"/>
  <c r="Q221" i="2262"/>
  <c r="T221" i="2262"/>
  <c r="Z221" i="2262"/>
  <c r="AB221" i="2262"/>
  <c r="AD221" i="2262"/>
  <c r="AF221" i="2262"/>
  <c r="F222" i="2262"/>
  <c r="G222" i="2262"/>
  <c r="H222" i="2262" s="1"/>
  <c r="J222" i="2262"/>
  <c r="L222" i="2262"/>
  <c r="N222" i="2262"/>
  <c r="Q222" i="2262"/>
  <c r="T222" i="2262"/>
  <c r="Z222" i="2262"/>
  <c r="AB222" i="2262"/>
  <c r="AD222" i="2262"/>
  <c r="AF222" i="2262"/>
  <c r="F223" i="2262"/>
  <c r="G223" i="2262"/>
  <c r="H223" i="2262" s="1"/>
  <c r="J223" i="2262"/>
  <c r="L223" i="2262"/>
  <c r="N223" i="2262"/>
  <c r="Q223" i="2262"/>
  <c r="T223" i="2262"/>
  <c r="Z223" i="2262"/>
  <c r="AB223" i="2262"/>
  <c r="AD223" i="2262"/>
  <c r="AF223" i="2262"/>
  <c r="F224" i="2262"/>
  <c r="G224" i="2262"/>
  <c r="H224" i="2262" s="1"/>
  <c r="J224" i="2262"/>
  <c r="L224" i="2262"/>
  <c r="N224" i="2262"/>
  <c r="Q224" i="2262"/>
  <c r="T224" i="2262"/>
  <c r="Z224" i="2262"/>
  <c r="AB224" i="2262"/>
  <c r="AD224" i="2262"/>
  <c r="AF224" i="2262"/>
  <c r="F225" i="2262"/>
  <c r="G225" i="2262"/>
  <c r="H225" i="2262" s="1"/>
  <c r="J225" i="2262"/>
  <c r="L225" i="2262"/>
  <c r="N225" i="2262"/>
  <c r="Q225" i="2262"/>
  <c r="T225" i="2262"/>
  <c r="Z225" i="2262"/>
  <c r="AB225" i="2262"/>
  <c r="AD225" i="2262"/>
  <c r="AF225" i="2262"/>
  <c r="F226" i="2262"/>
  <c r="G226" i="2262"/>
  <c r="H226" i="2262" s="1"/>
  <c r="J226" i="2262"/>
  <c r="L226" i="2262"/>
  <c r="N226" i="2262"/>
  <c r="Q226" i="2262"/>
  <c r="T226" i="2262"/>
  <c r="Z226" i="2262"/>
  <c r="AB226" i="2262"/>
  <c r="AD226" i="2262"/>
  <c r="AF226" i="2262"/>
  <c r="F227" i="2262"/>
  <c r="G227" i="2262"/>
  <c r="H227" i="2262" s="1"/>
  <c r="J227" i="2262"/>
  <c r="L227" i="2262"/>
  <c r="N227" i="2262"/>
  <c r="Q227" i="2262"/>
  <c r="T227" i="2262"/>
  <c r="Z227" i="2262"/>
  <c r="AB227" i="2262"/>
  <c r="AD227" i="2262"/>
  <c r="AF227" i="2262"/>
  <c r="F228" i="2262"/>
  <c r="G228" i="2262"/>
  <c r="H228" i="2262" s="1"/>
  <c r="J228" i="2262"/>
  <c r="L228" i="2262"/>
  <c r="N228" i="2262"/>
  <c r="Q228" i="2262"/>
  <c r="T228" i="2262"/>
  <c r="Z228" i="2262"/>
  <c r="AB228" i="2262"/>
  <c r="AD228" i="2262"/>
  <c r="AF228" i="2262"/>
  <c r="F229" i="2262"/>
  <c r="G229" i="2262"/>
  <c r="H229" i="2262" s="1"/>
  <c r="J229" i="2262"/>
  <c r="L229" i="2262"/>
  <c r="N229" i="2262"/>
  <c r="Q229" i="2262"/>
  <c r="T229" i="2262"/>
  <c r="Z229" i="2262"/>
  <c r="AB229" i="2262"/>
  <c r="AD229" i="2262"/>
  <c r="AF229" i="2262"/>
  <c r="F230" i="2262"/>
  <c r="G230" i="2262"/>
  <c r="H230" i="2262" s="1"/>
  <c r="J230" i="2262"/>
  <c r="L230" i="2262"/>
  <c r="N230" i="2262"/>
  <c r="Q230" i="2262"/>
  <c r="T230" i="2262"/>
  <c r="Z230" i="2262"/>
  <c r="AB230" i="2262"/>
  <c r="AD230" i="2262"/>
  <c r="AF230" i="2262"/>
  <c r="F231" i="2262"/>
  <c r="G231" i="2262"/>
  <c r="H231" i="2262" s="1"/>
  <c r="J231" i="2262"/>
  <c r="L231" i="2262"/>
  <c r="N231" i="2262"/>
  <c r="Q231" i="2262"/>
  <c r="T231" i="2262"/>
  <c r="Z231" i="2262"/>
  <c r="AB231" i="2262"/>
  <c r="AD231" i="2262"/>
  <c r="AF231" i="2262"/>
  <c r="F232" i="2262"/>
  <c r="G232" i="2262"/>
  <c r="H232" i="2262" s="1"/>
  <c r="J232" i="2262"/>
  <c r="L232" i="2262"/>
  <c r="N232" i="2262"/>
  <c r="Q232" i="2262"/>
  <c r="T232" i="2262"/>
  <c r="Z232" i="2262"/>
  <c r="AB232" i="2262"/>
  <c r="AD232" i="2262"/>
  <c r="AF232" i="2262"/>
  <c r="F233" i="2262"/>
  <c r="G233" i="2262"/>
  <c r="H233" i="2262" s="1"/>
  <c r="J233" i="2262"/>
  <c r="L233" i="2262"/>
  <c r="N233" i="2262"/>
  <c r="Q233" i="2262"/>
  <c r="T233" i="2262"/>
  <c r="Z233" i="2262"/>
  <c r="AB233" i="2262"/>
  <c r="AD233" i="2262"/>
  <c r="AF233" i="2262"/>
  <c r="F234" i="2262"/>
  <c r="G234" i="2262"/>
  <c r="H234" i="2262" s="1"/>
  <c r="J234" i="2262"/>
  <c r="L234" i="2262"/>
  <c r="N234" i="2262"/>
  <c r="Q234" i="2262"/>
  <c r="T234" i="2262"/>
  <c r="Z234" i="2262"/>
  <c r="AB234" i="2262"/>
  <c r="AD234" i="2262"/>
  <c r="AF234" i="2262"/>
  <c r="F235" i="2262"/>
  <c r="G235" i="2262"/>
  <c r="H235" i="2262" s="1"/>
  <c r="J235" i="2262"/>
  <c r="L235" i="2262"/>
  <c r="N235" i="2262"/>
  <c r="Q235" i="2262"/>
  <c r="T235" i="2262"/>
  <c r="Z235" i="2262"/>
  <c r="AB235" i="2262"/>
  <c r="AD235" i="2262"/>
  <c r="AF235" i="2262"/>
  <c r="F236" i="2262"/>
  <c r="G236" i="2262"/>
  <c r="H236" i="2262" s="1"/>
  <c r="J236" i="2262"/>
  <c r="L236" i="2262"/>
  <c r="N236" i="2262"/>
  <c r="Q236" i="2262"/>
  <c r="T236" i="2262"/>
  <c r="Z236" i="2262"/>
  <c r="AB236" i="2262"/>
  <c r="AD236" i="2262"/>
  <c r="AF236" i="2262"/>
  <c r="F237" i="2262"/>
  <c r="G237" i="2262"/>
  <c r="H237" i="2262" s="1"/>
  <c r="J237" i="2262"/>
  <c r="L237" i="2262"/>
  <c r="N237" i="2262"/>
  <c r="Q237" i="2262"/>
  <c r="T237" i="2262"/>
  <c r="Z237" i="2262"/>
  <c r="AB237" i="2262"/>
  <c r="AD237" i="2262"/>
  <c r="AF237" i="2262"/>
  <c r="F238" i="2262"/>
  <c r="G238" i="2262"/>
  <c r="H238" i="2262" s="1"/>
  <c r="J238" i="2262"/>
  <c r="L238" i="2262"/>
  <c r="N238" i="2262"/>
  <c r="Q238" i="2262"/>
  <c r="T238" i="2262"/>
  <c r="Z238" i="2262"/>
  <c r="AB238" i="2262"/>
  <c r="AD238" i="2262"/>
  <c r="AF238" i="2262"/>
  <c r="F239" i="2262"/>
  <c r="G239" i="2262"/>
  <c r="G46" i="2262" s="1"/>
  <c r="H46" i="2262" s="1"/>
  <c r="J239" i="2262"/>
  <c r="L239" i="2262"/>
  <c r="N239" i="2262"/>
  <c r="Q239" i="2262"/>
  <c r="T239" i="2262"/>
  <c r="Z239" i="2262"/>
  <c r="AB239" i="2262"/>
  <c r="AB46" i="2262" s="1"/>
  <c r="AD239" i="2262"/>
  <c r="AF239" i="2262"/>
  <c r="F240" i="2262"/>
  <c r="G240" i="2262"/>
  <c r="H240" i="2262" s="1"/>
  <c r="J240" i="2262"/>
  <c r="L240" i="2262"/>
  <c r="N240" i="2262"/>
  <c r="Q240" i="2262"/>
  <c r="T240" i="2262"/>
  <c r="Z240" i="2262"/>
  <c r="AB240" i="2262"/>
  <c r="AD240" i="2262"/>
  <c r="AF240" i="2262"/>
  <c r="F241" i="2262"/>
  <c r="G241" i="2262"/>
  <c r="H241" i="2262" s="1"/>
  <c r="J241" i="2262"/>
  <c r="L241" i="2262"/>
  <c r="N241" i="2262"/>
  <c r="Q241" i="2262"/>
  <c r="T241" i="2262"/>
  <c r="Z241" i="2262"/>
  <c r="AB241" i="2262"/>
  <c r="AD241" i="2262"/>
  <c r="AF241" i="2262"/>
  <c r="F242" i="2262"/>
  <c r="G242" i="2262"/>
  <c r="H242" i="2262" s="1"/>
  <c r="J242" i="2262"/>
  <c r="L242" i="2262"/>
  <c r="N242" i="2262"/>
  <c r="Q242" i="2262"/>
  <c r="T242" i="2262"/>
  <c r="Z242" i="2262"/>
  <c r="AB242" i="2262"/>
  <c r="AD242" i="2262"/>
  <c r="AF242" i="2262"/>
  <c r="F243" i="2262"/>
  <c r="G243" i="2262"/>
  <c r="H243" i="2262" s="1"/>
  <c r="J243" i="2262"/>
  <c r="L243" i="2262"/>
  <c r="N243" i="2262"/>
  <c r="Q243" i="2262"/>
  <c r="T243" i="2262"/>
  <c r="Z243" i="2262"/>
  <c r="AB243" i="2262"/>
  <c r="AD243" i="2262"/>
  <c r="AF243" i="2262"/>
  <c r="F244" i="2262"/>
  <c r="G244" i="2262"/>
  <c r="H244" i="2262" s="1"/>
  <c r="J244" i="2262"/>
  <c r="L244" i="2262"/>
  <c r="N244" i="2262"/>
  <c r="Q244" i="2262"/>
  <c r="T244" i="2262"/>
  <c r="Z244" i="2262"/>
  <c r="AB244" i="2262"/>
  <c r="AD244" i="2262"/>
  <c r="AF244" i="2262"/>
  <c r="F245" i="2262"/>
  <c r="G245" i="2262"/>
  <c r="H245" i="2262" s="1"/>
  <c r="J245" i="2262"/>
  <c r="L245" i="2262"/>
  <c r="N245" i="2262"/>
  <c r="Q245" i="2262"/>
  <c r="T245" i="2262"/>
  <c r="Z245" i="2262"/>
  <c r="AB245" i="2262"/>
  <c r="AD245" i="2262"/>
  <c r="AF245" i="2262"/>
  <c r="F246" i="2262"/>
  <c r="G246" i="2262"/>
  <c r="H246" i="2262" s="1"/>
  <c r="J246" i="2262"/>
  <c r="L246" i="2262"/>
  <c r="N246" i="2262"/>
  <c r="Q246" i="2262"/>
  <c r="T246" i="2262"/>
  <c r="Z246" i="2262"/>
  <c r="AB246" i="2262"/>
  <c r="AD246" i="2262"/>
  <c r="AF246" i="2262"/>
  <c r="F247" i="2262"/>
  <c r="G247" i="2262"/>
  <c r="H247" i="2262" s="1"/>
  <c r="J247" i="2262"/>
  <c r="L247" i="2262"/>
  <c r="N247" i="2262"/>
  <c r="Q247" i="2262"/>
  <c r="T247" i="2262"/>
  <c r="Z247" i="2262"/>
  <c r="AB247" i="2262"/>
  <c r="AD247" i="2262"/>
  <c r="AF247" i="2262"/>
  <c r="F248" i="2262"/>
  <c r="G248" i="2262"/>
  <c r="H248" i="2262" s="1"/>
  <c r="J248" i="2262"/>
  <c r="L248" i="2262"/>
  <c r="N248" i="2262"/>
  <c r="Q248" i="2262"/>
  <c r="T248" i="2262"/>
  <c r="Z248" i="2262"/>
  <c r="AB248" i="2262"/>
  <c r="AD248" i="2262"/>
  <c r="AF248" i="2262"/>
  <c r="F249" i="2262"/>
  <c r="G249" i="2262"/>
  <c r="H249" i="2262" s="1"/>
  <c r="J249" i="2262"/>
  <c r="L249" i="2262"/>
  <c r="N249" i="2262"/>
  <c r="Q249" i="2262"/>
  <c r="T249" i="2262"/>
  <c r="Z249" i="2262"/>
  <c r="AB249" i="2262"/>
  <c r="AD249" i="2262"/>
  <c r="AF249" i="2262"/>
  <c r="F250" i="2262"/>
  <c r="G250" i="2262"/>
  <c r="H250" i="2262" s="1"/>
  <c r="J250" i="2262"/>
  <c r="L250" i="2262"/>
  <c r="N250" i="2262"/>
  <c r="Q250" i="2262"/>
  <c r="T250" i="2262"/>
  <c r="Z250" i="2262"/>
  <c r="AB250" i="2262"/>
  <c r="AD250" i="2262"/>
  <c r="AF250" i="2262"/>
  <c r="F251" i="2262"/>
  <c r="G251" i="2262"/>
  <c r="H251" i="2262" s="1"/>
  <c r="J251" i="2262"/>
  <c r="L251" i="2262"/>
  <c r="N251" i="2262"/>
  <c r="Q251" i="2262"/>
  <c r="T251" i="2262"/>
  <c r="Z251" i="2262"/>
  <c r="AB251" i="2262"/>
  <c r="AD251" i="2262"/>
  <c r="AF251" i="2262"/>
  <c r="F252" i="2262"/>
  <c r="G252" i="2262"/>
  <c r="H252" i="2262" s="1"/>
  <c r="J252" i="2262"/>
  <c r="L252" i="2262"/>
  <c r="N252" i="2262"/>
  <c r="Q252" i="2262"/>
  <c r="T252" i="2262"/>
  <c r="Z252" i="2262"/>
  <c r="AB252" i="2262"/>
  <c r="AD252" i="2262"/>
  <c r="AF252" i="2262"/>
  <c r="F253" i="2262"/>
  <c r="G253" i="2262"/>
  <c r="H253" i="2262" s="1"/>
  <c r="J253" i="2262"/>
  <c r="L253" i="2262"/>
  <c r="N253" i="2262"/>
  <c r="Q253" i="2262"/>
  <c r="T253" i="2262"/>
  <c r="Z253" i="2262"/>
  <c r="AB253" i="2262"/>
  <c r="AD253" i="2262"/>
  <c r="AF253" i="2262"/>
  <c r="F254" i="2262"/>
  <c r="G254" i="2262"/>
  <c r="H254" i="2262" s="1"/>
  <c r="J254" i="2262"/>
  <c r="L254" i="2262"/>
  <c r="N254" i="2262"/>
  <c r="Q254" i="2262"/>
  <c r="T254" i="2262"/>
  <c r="Z254" i="2262"/>
  <c r="AB254" i="2262"/>
  <c r="AD254" i="2262"/>
  <c r="AF254" i="2262"/>
  <c r="F255" i="2262"/>
  <c r="G255" i="2262"/>
  <c r="H255" i="2262" s="1"/>
  <c r="J255" i="2262"/>
  <c r="L255" i="2262"/>
  <c r="N255" i="2262"/>
  <c r="Q255" i="2262"/>
  <c r="T255" i="2262"/>
  <c r="Z255" i="2262"/>
  <c r="AB255" i="2262"/>
  <c r="AD255" i="2262"/>
  <c r="AF255" i="2262"/>
  <c r="F256" i="2262"/>
  <c r="G256" i="2262"/>
  <c r="H256" i="2262" s="1"/>
  <c r="J256" i="2262"/>
  <c r="L256" i="2262"/>
  <c r="N256" i="2262"/>
  <c r="Q256" i="2262"/>
  <c r="T256" i="2262"/>
  <c r="Z256" i="2262"/>
  <c r="AB256" i="2262"/>
  <c r="AD256" i="2262"/>
  <c r="AF256" i="2262"/>
  <c r="F257" i="2262"/>
  <c r="G257" i="2262"/>
  <c r="H257" i="2262" s="1"/>
  <c r="J257" i="2262"/>
  <c r="L257" i="2262"/>
  <c r="N257" i="2262"/>
  <c r="Q257" i="2262"/>
  <c r="T257" i="2262"/>
  <c r="Z257" i="2262"/>
  <c r="AB257" i="2262"/>
  <c r="AD257" i="2262"/>
  <c r="AF257" i="2262"/>
  <c r="F258" i="2262"/>
  <c r="G258" i="2262"/>
  <c r="H258" i="2262" s="1"/>
  <c r="J258" i="2262"/>
  <c r="L258" i="2262"/>
  <c r="N258" i="2262"/>
  <c r="Q258" i="2262"/>
  <c r="T258" i="2262"/>
  <c r="Z258" i="2262"/>
  <c r="AB258" i="2262"/>
  <c r="AD258" i="2262"/>
  <c r="AF258" i="2262"/>
  <c r="F259" i="2262"/>
  <c r="G259" i="2262"/>
  <c r="H259" i="2262" s="1"/>
  <c r="J259" i="2262"/>
  <c r="L259" i="2262"/>
  <c r="N259" i="2262"/>
  <c r="Q259" i="2262"/>
  <c r="T259" i="2262"/>
  <c r="Z259" i="2262"/>
  <c r="AB259" i="2262"/>
  <c r="AD259" i="2262"/>
  <c r="AF259" i="2262"/>
  <c r="F260" i="2262"/>
  <c r="G260" i="2262"/>
  <c r="H260" i="2262" s="1"/>
  <c r="J260" i="2262"/>
  <c r="L260" i="2262"/>
  <c r="N260" i="2262"/>
  <c r="Q260" i="2262"/>
  <c r="T260" i="2262"/>
  <c r="Z260" i="2262"/>
  <c r="AB260" i="2262"/>
  <c r="AD260" i="2262"/>
  <c r="AF260" i="2262"/>
  <c r="F261" i="2262"/>
  <c r="G261" i="2262"/>
  <c r="H261" i="2262" s="1"/>
  <c r="J261" i="2262"/>
  <c r="L261" i="2262"/>
  <c r="N261" i="2262"/>
  <c r="Q261" i="2262"/>
  <c r="T261" i="2262"/>
  <c r="Z261" i="2262"/>
  <c r="AB261" i="2262"/>
  <c r="AD261" i="2262"/>
  <c r="AF261" i="2262"/>
  <c r="F262" i="2262"/>
  <c r="G262" i="2262"/>
  <c r="H262" i="2262" s="1"/>
  <c r="J262" i="2262"/>
  <c r="L262" i="2262"/>
  <c r="N262" i="2262"/>
  <c r="Q262" i="2262"/>
  <c r="T262" i="2262"/>
  <c r="Z262" i="2262"/>
  <c r="AB262" i="2262"/>
  <c r="AD262" i="2262"/>
  <c r="AF262" i="2262"/>
  <c r="F263" i="2262"/>
  <c r="G263" i="2262"/>
  <c r="H263" i="2262" s="1"/>
  <c r="J263" i="2262"/>
  <c r="L263" i="2262"/>
  <c r="N263" i="2262"/>
  <c r="Q263" i="2262"/>
  <c r="T263" i="2262"/>
  <c r="Z263" i="2262"/>
  <c r="AB263" i="2262"/>
  <c r="AD263" i="2262"/>
  <c r="AF263" i="2262"/>
  <c r="F264" i="2262"/>
  <c r="G264" i="2262"/>
  <c r="H264" i="2262" s="1"/>
  <c r="J264" i="2262"/>
  <c r="L264" i="2262"/>
  <c r="N264" i="2262"/>
  <c r="Q264" i="2262"/>
  <c r="T264" i="2262"/>
  <c r="Z264" i="2262"/>
  <c r="AB264" i="2262"/>
  <c r="AD264" i="2262"/>
  <c r="AF264" i="2262"/>
  <c r="F265" i="2262"/>
  <c r="G265" i="2262"/>
  <c r="H265" i="2262" s="1"/>
  <c r="J265" i="2262"/>
  <c r="L265" i="2262"/>
  <c r="N265" i="2262"/>
  <c r="Q265" i="2262"/>
  <c r="T265" i="2262"/>
  <c r="Z265" i="2262"/>
  <c r="AB265" i="2262"/>
  <c r="AD265" i="2262"/>
  <c r="AF265" i="2262"/>
  <c r="F266" i="2262"/>
  <c r="G266" i="2262"/>
  <c r="H266" i="2262" s="1"/>
  <c r="J266" i="2262"/>
  <c r="L266" i="2262"/>
  <c r="N266" i="2262"/>
  <c r="Q266" i="2262"/>
  <c r="T266" i="2262"/>
  <c r="Z266" i="2262"/>
  <c r="AB266" i="2262"/>
  <c r="AD266" i="2262"/>
  <c r="AF266" i="2262"/>
  <c r="F267" i="2262"/>
  <c r="G267" i="2262"/>
  <c r="H267" i="2262" s="1"/>
  <c r="J267" i="2262"/>
  <c r="L267" i="2262"/>
  <c r="N267" i="2262"/>
  <c r="Q267" i="2262"/>
  <c r="T267" i="2262"/>
  <c r="Z267" i="2262"/>
  <c r="AB267" i="2262"/>
  <c r="AD267" i="2262"/>
  <c r="AF267" i="2262"/>
  <c r="F268" i="2262"/>
  <c r="G268" i="2262"/>
  <c r="H268" i="2262" s="1"/>
  <c r="J268" i="2262"/>
  <c r="L268" i="2262"/>
  <c r="N268" i="2262"/>
  <c r="Q268" i="2262"/>
  <c r="T268" i="2262"/>
  <c r="Z268" i="2262"/>
  <c r="AB268" i="2262"/>
  <c r="AD268" i="2262"/>
  <c r="AF268" i="2262"/>
  <c r="F269" i="2262"/>
  <c r="G269" i="2262"/>
  <c r="H269" i="2262" s="1"/>
  <c r="J269" i="2262"/>
  <c r="L269" i="2262"/>
  <c r="N269" i="2262"/>
  <c r="Q269" i="2262"/>
  <c r="T269" i="2262"/>
  <c r="Z269" i="2262"/>
  <c r="AB269" i="2262"/>
  <c r="AD269" i="2262"/>
  <c r="AF269" i="2262"/>
  <c r="F270" i="2262"/>
  <c r="G270" i="2262"/>
  <c r="H270" i="2262" s="1"/>
  <c r="J270" i="2262"/>
  <c r="L270" i="2262"/>
  <c r="N270" i="2262"/>
  <c r="Q270" i="2262"/>
  <c r="T270" i="2262"/>
  <c r="Z270" i="2262"/>
  <c r="AB270" i="2262"/>
  <c r="AD270" i="2262"/>
  <c r="AF270" i="2262"/>
  <c r="F271" i="2262"/>
  <c r="G271" i="2262"/>
  <c r="H271" i="2262" s="1"/>
  <c r="J271" i="2262"/>
  <c r="L271" i="2262"/>
  <c r="N271" i="2262"/>
  <c r="Q271" i="2262"/>
  <c r="T271" i="2262"/>
  <c r="Z271" i="2262"/>
  <c r="AB271" i="2262"/>
  <c r="AD271" i="2262"/>
  <c r="AF271" i="2262"/>
  <c r="F272" i="2262"/>
  <c r="G272" i="2262"/>
  <c r="H272" i="2262" s="1"/>
  <c r="J272" i="2262"/>
  <c r="L272" i="2262"/>
  <c r="N272" i="2262"/>
  <c r="Q272" i="2262"/>
  <c r="T272" i="2262"/>
  <c r="Z272" i="2262"/>
  <c r="AB272" i="2262"/>
  <c r="AD272" i="2262"/>
  <c r="AF272" i="2262"/>
  <c r="F273" i="2262"/>
  <c r="G273" i="2262"/>
  <c r="H273" i="2262" s="1"/>
  <c r="J273" i="2262"/>
  <c r="L273" i="2262"/>
  <c r="N273" i="2262"/>
  <c r="Q273" i="2262"/>
  <c r="T273" i="2262"/>
  <c r="Z273" i="2262"/>
  <c r="AB273" i="2262"/>
  <c r="AD273" i="2262"/>
  <c r="AF273" i="2262"/>
  <c r="F274" i="2262"/>
  <c r="G274" i="2262"/>
  <c r="H274" i="2262" s="1"/>
  <c r="J274" i="2262"/>
  <c r="L274" i="2262"/>
  <c r="N274" i="2262"/>
  <c r="Q274" i="2262"/>
  <c r="T274" i="2262"/>
  <c r="Z274" i="2262"/>
  <c r="AB274" i="2262"/>
  <c r="AD274" i="2262"/>
  <c r="AF274" i="2262"/>
  <c r="F275" i="2262"/>
  <c r="G275" i="2262"/>
  <c r="H275" i="2262" s="1"/>
  <c r="J275" i="2262"/>
  <c r="L275" i="2262"/>
  <c r="N275" i="2262"/>
  <c r="Q275" i="2262"/>
  <c r="T275" i="2262"/>
  <c r="Z275" i="2262"/>
  <c r="AB275" i="2262"/>
  <c r="AD275" i="2262"/>
  <c r="AF275" i="2262"/>
  <c r="F276" i="2262"/>
  <c r="G276" i="2262"/>
  <c r="H276" i="2262" s="1"/>
  <c r="J276" i="2262"/>
  <c r="L276" i="2262"/>
  <c r="N276" i="2262"/>
  <c r="Q276" i="2262"/>
  <c r="T276" i="2262"/>
  <c r="Z276" i="2262"/>
  <c r="AB276" i="2262"/>
  <c r="AD276" i="2262"/>
  <c r="AF276" i="2262"/>
  <c r="F277" i="2262"/>
  <c r="G277" i="2262"/>
  <c r="H277" i="2262" s="1"/>
  <c r="J277" i="2262"/>
  <c r="L277" i="2262"/>
  <c r="N277" i="2262"/>
  <c r="Q277" i="2262"/>
  <c r="T277" i="2262"/>
  <c r="Z277" i="2262"/>
  <c r="AB277" i="2262"/>
  <c r="AD277" i="2262"/>
  <c r="AF277" i="2262"/>
  <c r="F278" i="2262"/>
  <c r="G278" i="2262"/>
  <c r="H278" i="2262" s="1"/>
  <c r="J278" i="2262"/>
  <c r="L278" i="2262"/>
  <c r="N278" i="2262"/>
  <c r="Q278" i="2262"/>
  <c r="T278" i="2262"/>
  <c r="Z278" i="2262"/>
  <c r="AB278" i="2262"/>
  <c r="AD278" i="2262"/>
  <c r="AF278" i="2262"/>
  <c r="F279" i="2262"/>
  <c r="G279" i="2262"/>
  <c r="H279" i="2262" s="1"/>
  <c r="J279" i="2262"/>
  <c r="L279" i="2262"/>
  <c r="N279" i="2262"/>
  <c r="Q279" i="2262"/>
  <c r="T279" i="2262"/>
  <c r="Z279" i="2262"/>
  <c r="AB279" i="2262"/>
  <c r="AD279" i="2262"/>
  <c r="AF279" i="2262"/>
  <c r="F280" i="2262"/>
  <c r="G280" i="2262"/>
  <c r="H280" i="2262" s="1"/>
  <c r="J280" i="2262"/>
  <c r="L280" i="2262"/>
  <c r="N280" i="2262"/>
  <c r="Q280" i="2262"/>
  <c r="T280" i="2262"/>
  <c r="Z280" i="2262"/>
  <c r="AB280" i="2262"/>
  <c r="AD280" i="2262"/>
  <c r="AF280" i="2262"/>
  <c r="F281" i="2262"/>
  <c r="G281" i="2262"/>
  <c r="H281" i="2262" s="1"/>
  <c r="J281" i="2262"/>
  <c r="L281" i="2262"/>
  <c r="N281" i="2262"/>
  <c r="Q281" i="2262"/>
  <c r="T281" i="2262"/>
  <c r="Z281" i="2262"/>
  <c r="AB281" i="2262"/>
  <c r="AD281" i="2262"/>
  <c r="AF281" i="2262"/>
  <c r="F282" i="2262"/>
  <c r="G282" i="2262"/>
  <c r="H282" i="2262" s="1"/>
  <c r="J282" i="2262"/>
  <c r="L282" i="2262"/>
  <c r="N282" i="2262"/>
  <c r="Q282" i="2262"/>
  <c r="T282" i="2262"/>
  <c r="Z282" i="2262"/>
  <c r="AB282" i="2262"/>
  <c r="AD282" i="2262"/>
  <c r="AF282" i="2262"/>
  <c r="F283" i="2262"/>
  <c r="G283" i="2262"/>
  <c r="H283" i="2262" s="1"/>
  <c r="J283" i="2262"/>
  <c r="L283" i="2262"/>
  <c r="N283" i="2262"/>
  <c r="Q283" i="2262"/>
  <c r="T283" i="2262"/>
  <c r="Z283" i="2262"/>
  <c r="AB283" i="2262"/>
  <c r="AD283" i="2262"/>
  <c r="AF283" i="2262"/>
  <c r="F284" i="2262"/>
  <c r="G284" i="2262"/>
  <c r="H284" i="2262" s="1"/>
  <c r="J284" i="2262"/>
  <c r="L284" i="2262"/>
  <c r="N284" i="2262"/>
  <c r="Q284" i="2262"/>
  <c r="T284" i="2262"/>
  <c r="Z284" i="2262"/>
  <c r="AB284" i="2262"/>
  <c r="AD284" i="2262"/>
  <c r="AF284" i="2262"/>
  <c r="F285" i="2262"/>
  <c r="G285" i="2262"/>
  <c r="H285" i="2262" s="1"/>
  <c r="J285" i="2262"/>
  <c r="L285" i="2262"/>
  <c r="N285" i="2262"/>
  <c r="Q285" i="2262"/>
  <c r="T285" i="2262"/>
  <c r="Z285" i="2262"/>
  <c r="AB285" i="2262"/>
  <c r="AD285" i="2262"/>
  <c r="AF285" i="2262"/>
  <c r="F286" i="2262"/>
  <c r="G286" i="2262"/>
  <c r="H286" i="2262" s="1"/>
  <c r="J286" i="2262"/>
  <c r="L286" i="2262"/>
  <c r="N286" i="2262"/>
  <c r="Q286" i="2262"/>
  <c r="T286" i="2262"/>
  <c r="Z286" i="2262"/>
  <c r="AB286" i="2262"/>
  <c r="AD286" i="2262"/>
  <c r="AF286" i="2262"/>
  <c r="F287" i="2262"/>
  <c r="G287" i="2262"/>
  <c r="H287" i="2262" s="1"/>
  <c r="J287" i="2262"/>
  <c r="L287" i="2262"/>
  <c r="N287" i="2262"/>
  <c r="Q287" i="2262"/>
  <c r="T287" i="2262"/>
  <c r="Z287" i="2262"/>
  <c r="AB287" i="2262"/>
  <c r="AD287" i="2262"/>
  <c r="AF287" i="2262"/>
  <c r="F288" i="2262"/>
  <c r="G288" i="2262"/>
  <c r="H288" i="2262" s="1"/>
  <c r="J288" i="2262"/>
  <c r="L288" i="2262"/>
  <c r="N288" i="2262"/>
  <c r="Q288" i="2262"/>
  <c r="T288" i="2262"/>
  <c r="Z288" i="2262"/>
  <c r="AB288" i="2262"/>
  <c r="AD288" i="2262"/>
  <c r="AF288" i="2262"/>
  <c r="F289" i="2262"/>
  <c r="G289" i="2262"/>
  <c r="H289" i="2262" s="1"/>
  <c r="J289" i="2262"/>
  <c r="L289" i="2262"/>
  <c r="N289" i="2262"/>
  <c r="Q289" i="2262"/>
  <c r="T289" i="2262"/>
  <c r="Z289" i="2262"/>
  <c r="AB289" i="2262"/>
  <c r="AD289" i="2262"/>
  <c r="AF289" i="2262"/>
  <c r="F290" i="2262"/>
  <c r="G290" i="2262"/>
  <c r="H290" i="2262" s="1"/>
  <c r="J290" i="2262"/>
  <c r="L290" i="2262"/>
  <c r="N290" i="2262"/>
  <c r="Q290" i="2262"/>
  <c r="T290" i="2262"/>
  <c r="Z290" i="2262"/>
  <c r="AB290" i="2262"/>
  <c r="AD290" i="2262"/>
  <c r="AF290" i="2262"/>
  <c r="F291" i="2262"/>
  <c r="G291" i="2262"/>
  <c r="H291" i="2262" s="1"/>
  <c r="J291" i="2262"/>
  <c r="L291" i="2262"/>
  <c r="N291" i="2262"/>
  <c r="Q291" i="2262"/>
  <c r="T291" i="2262"/>
  <c r="Z291" i="2262"/>
  <c r="AB291" i="2262"/>
  <c r="AD291" i="2262"/>
  <c r="AF291" i="2262"/>
  <c r="F292" i="2262"/>
  <c r="G292" i="2262"/>
  <c r="H292" i="2262" s="1"/>
  <c r="J292" i="2262"/>
  <c r="L292" i="2262"/>
  <c r="N292" i="2262"/>
  <c r="Q292" i="2262"/>
  <c r="T292" i="2262"/>
  <c r="Z292" i="2262"/>
  <c r="AB292" i="2262"/>
  <c r="AD292" i="2262"/>
  <c r="AF292" i="2262"/>
  <c r="F293" i="2262"/>
  <c r="G293" i="2262"/>
  <c r="H293" i="2262" s="1"/>
  <c r="J293" i="2262"/>
  <c r="L293" i="2262"/>
  <c r="N293" i="2262"/>
  <c r="Q293" i="2262"/>
  <c r="T293" i="2262"/>
  <c r="Z293" i="2262"/>
  <c r="AB293" i="2262"/>
  <c r="AD293" i="2262"/>
  <c r="AF293" i="2262"/>
  <c r="F294" i="2262"/>
  <c r="G294" i="2262"/>
  <c r="H294" i="2262" s="1"/>
  <c r="J294" i="2262"/>
  <c r="L294" i="2262"/>
  <c r="N294" i="2262"/>
  <c r="Q294" i="2262"/>
  <c r="T294" i="2262"/>
  <c r="Z294" i="2262"/>
  <c r="AB294" i="2262"/>
  <c r="AD294" i="2262"/>
  <c r="AF294" i="2262"/>
  <c r="F295" i="2262"/>
  <c r="G295" i="2262"/>
  <c r="H295" i="2262" s="1"/>
  <c r="J295" i="2262"/>
  <c r="L295" i="2262"/>
  <c r="N295" i="2262"/>
  <c r="Q295" i="2262"/>
  <c r="T295" i="2262"/>
  <c r="Z295" i="2262"/>
  <c r="AB295" i="2262"/>
  <c r="AD295" i="2262"/>
  <c r="AF295" i="2262"/>
  <c r="F296" i="2262"/>
  <c r="G296" i="2262"/>
  <c r="H296" i="2262" s="1"/>
  <c r="J296" i="2262"/>
  <c r="L296" i="2262"/>
  <c r="N296" i="2262"/>
  <c r="Q296" i="2262"/>
  <c r="T296" i="2262"/>
  <c r="Z296" i="2262"/>
  <c r="AB296" i="2262"/>
  <c r="AD296" i="2262"/>
  <c r="AF296" i="2262"/>
  <c r="F297" i="2262"/>
  <c r="G297" i="2262"/>
  <c r="H297" i="2262" s="1"/>
  <c r="J297" i="2262"/>
  <c r="L297" i="2262"/>
  <c r="N297" i="2262"/>
  <c r="Q297" i="2262"/>
  <c r="T297" i="2262"/>
  <c r="Z297" i="2262"/>
  <c r="AB297" i="2262"/>
  <c r="AD297" i="2262"/>
  <c r="AF297" i="2262"/>
  <c r="F298" i="2262"/>
  <c r="G298" i="2262"/>
  <c r="H298" i="2262" s="1"/>
  <c r="J298" i="2262"/>
  <c r="L298" i="2262"/>
  <c r="N298" i="2262"/>
  <c r="Q298" i="2262"/>
  <c r="T298" i="2262"/>
  <c r="Z298" i="2262"/>
  <c r="AB298" i="2262"/>
  <c r="AD298" i="2262"/>
  <c r="AF298" i="2262"/>
  <c r="F299" i="2262"/>
  <c r="G299" i="2262"/>
  <c r="H299" i="2262" s="1"/>
  <c r="J299" i="2262"/>
  <c r="L299" i="2262"/>
  <c r="N299" i="2262"/>
  <c r="Q299" i="2262"/>
  <c r="T299" i="2262"/>
  <c r="Z299" i="2262"/>
  <c r="AB299" i="2262"/>
  <c r="AD299" i="2262"/>
  <c r="AF299" i="2262"/>
  <c r="F300" i="2262"/>
  <c r="G300" i="2262"/>
  <c r="H300" i="2262" s="1"/>
  <c r="J300" i="2262"/>
  <c r="L300" i="2262"/>
  <c r="N300" i="2262"/>
  <c r="Q300" i="2262"/>
  <c r="T300" i="2262"/>
  <c r="Z300" i="2262"/>
  <c r="AB300" i="2262"/>
  <c r="AD300" i="2262"/>
  <c r="AF300" i="2262"/>
  <c r="H301" i="2262"/>
  <c r="J301" i="2262"/>
  <c r="L301" i="2262"/>
  <c r="N301" i="2262"/>
  <c r="Q301" i="2262"/>
  <c r="T301" i="2262"/>
  <c r="Z301" i="2262"/>
  <c r="AB301" i="2262"/>
  <c r="AD301" i="2262"/>
  <c r="AF301" i="2262"/>
  <c r="H302" i="2262"/>
  <c r="J302" i="2262"/>
  <c r="L302" i="2262"/>
  <c r="N302" i="2262"/>
  <c r="O302" i="2262"/>
  <c r="AF302" i="2262"/>
  <c r="H303" i="2262"/>
  <c r="J303" i="2262"/>
  <c r="L303" i="2262"/>
  <c r="N303" i="2262"/>
  <c r="T303" i="2262"/>
  <c r="AF303" i="2262"/>
  <c r="H304" i="2262"/>
  <c r="J304" i="2262"/>
  <c r="L304" i="2262"/>
  <c r="N304" i="2262"/>
  <c r="T304" i="2262"/>
  <c r="AF304" i="2262"/>
  <c r="H305" i="2262"/>
  <c r="J305" i="2262"/>
  <c r="L305" i="2262"/>
  <c r="N305" i="2262"/>
  <c r="T305" i="2262"/>
  <c r="V305" i="2262"/>
  <c r="AF305" i="2262"/>
  <c r="H306" i="2262"/>
  <c r="J306" i="2262"/>
  <c r="L306" i="2262"/>
  <c r="N306" i="2262"/>
  <c r="T306" i="2262"/>
  <c r="T307" i="2262" s="1"/>
  <c r="T308" i="2262" s="1"/>
  <c r="T309" i="2262" s="1"/>
  <c r="T310" i="2262" s="1"/>
  <c r="T311" i="2262" s="1"/>
  <c r="T312" i="2262" s="1"/>
  <c r="T313" i="2262" s="1"/>
  <c r="T314" i="2262" s="1"/>
  <c r="T315" i="2262" s="1"/>
  <c r="T316" i="2262" s="1"/>
  <c r="T317" i="2262" s="1"/>
  <c r="T318" i="2262" s="1"/>
  <c r="T319" i="2262" s="1"/>
  <c r="T320" i="2262" s="1"/>
  <c r="T321" i="2262" s="1"/>
  <c r="AF306" i="2262"/>
  <c r="G307" i="2262"/>
  <c r="H307" i="2262" s="1"/>
  <c r="J307" i="2262"/>
  <c r="L307" i="2262"/>
  <c r="N307" i="2262"/>
  <c r="AF307" i="2262"/>
  <c r="J308" i="2262"/>
  <c r="L308" i="2262"/>
  <c r="N308" i="2262"/>
  <c r="V308" i="2262"/>
  <c r="AF308" i="2262"/>
  <c r="J309" i="2262"/>
  <c r="L309" i="2262"/>
  <c r="N309" i="2262"/>
  <c r="AF309" i="2262"/>
  <c r="J310" i="2262"/>
  <c r="L310" i="2262"/>
  <c r="N310" i="2262"/>
  <c r="V310" i="2262"/>
  <c r="AF310" i="2262"/>
  <c r="J311" i="2262"/>
  <c r="L311" i="2262"/>
  <c r="N311" i="2262"/>
  <c r="AF311" i="2262"/>
  <c r="J312" i="2262"/>
  <c r="L312" i="2262"/>
  <c r="N312" i="2262"/>
  <c r="V312" i="2262"/>
  <c r="AF312" i="2262"/>
  <c r="J313" i="2262"/>
  <c r="L313" i="2262"/>
  <c r="N313" i="2262"/>
  <c r="AF313" i="2262"/>
  <c r="J314" i="2262"/>
  <c r="L314" i="2262"/>
  <c r="N314" i="2262"/>
  <c r="AF314" i="2262"/>
  <c r="J315" i="2262"/>
  <c r="L315" i="2262"/>
  <c r="N315" i="2262"/>
  <c r="AF315" i="2262"/>
  <c r="J316" i="2262"/>
  <c r="L316" i="2262"/>
  <c r="N316" i="2262"/>
  <c r="V316" i="2262"/>
  <c r="AF316" i="2262"/>
  <c r="J317" i="2262"/>
  <c r="L317" i="2262"/>
  <c r="N317" i="2262"/>
  <c r="AF317" i="2262"/>
  <c r="J318" i="2262"/>
  <c r="L318" i="2262"/>
  <c r="N318" i="2262"/>
  <c r="V318" i="2262"/>
  <c r="AF318" i="2262"/>
  <c r="J319" i="2262"/>
  <c r="L319" i="2262"/>
  <c r="N319" i="2262"/>
  <c r="AF319" i="2262"/>
  <c r="J320" i="2262"/>
  <c r="L320" i="2262"/>
  <c r="N320" i="2262"/>
  <c r="V320" i="2262"/>
  <c r="AF320" i="2262"/>
  <c r="J321" i="2262"/>
  <c r="L321" i="2262"/>
  <c r="N321" i="2262"/>
  <c r="AF321" i="2262"/>
  <c r="G322" i="2262"/>
  <c r="H322" i="2262" s="1"/>
  <c r="J322" i="2262"/>
  <c r="L322" i="2262"/>
  <c r="N322" i="2262"/>
  <c r="O322" i="2262"/>
  <c r="AF322" i="2262"/>
  <c r="G323" i="2262"/>
  <c r="H323" i="2262" s="1"/>
  <c r="J323" i="2262"/>
  <c r="L323" i="2262"/>
  <c r="N323" i="2262"/>
  <c r="V323" i="2262"/>
  <c r="AF323" i="2262"/>
  <c r="G324" i="2262"/>
  <c r="H324" i="2262" s="1"/>
  <c r="J324" i="2262"/>
  <c r="L324" i="2262"/>
  <c r="N324" i="2262"/>
  <c r="O324" i="2262"/>
  <c r="AF324" i="2262"/>
  <c r="G325" i="2262"/>
  <c r="H325" i="2262" s="1"/>
  <c r="J325" i="2262"/>
  <c r="L325" i="2262"/>
  <c r="N325" i="2262"/>
  <c r="V325" i="2262"/>
  <c r="AF325" i="2262"/>
  <c r="G326" i="2262"/>
  <c r="H326" i="2262" s="1"/>
  <c r="J326" i="2262"/>
  <c r="L326" i="2262"/>
  <c r="N326" i="2262"/>
  <c r="O326" i="2262"/>
  <c r="AF326" i="2262"/>
  <c r="H327" i="2262"/>
  <c r="J327" i="2262"/>
  <c r="L327" i="2262"/>
  <c r="N327" i="2262"/>
  <c r="V327" i="2262"/>
  <c r="AF327" i="2262"/>
  <c r="Y329" i="2262"/>
  <c r="V314" i="2262" l="1"/>
  <c r="V303" i="2262"/>
  <c r="O327" i="2262"/>
  <c r="V324" i="2262"/>
  <c r="O323" i="2262"/>
  <c r="V321" i="2262"/>
  <c r="V317" i="2262"/>
  <c r="V313" i="2262"/>
  <c r="V309" i="2262"/>
  <c r="V306" i="2262"/>
  <c r="V302" i="2262"/>
  <c r="V326" i="2262"/>
  <c r="O325" i="2262"/>
  <c r="V322" i="2262"/>
  <c r="V319" i="2262"/>
  <c r="V315" i="2262"/>
  <c r="V311" i="2262"/>
  <c r="V307" i="2262"/>
  <c r="V304" i="2262"/>
  <c r="V76" i="2262"/>
  <c r="V21" i="2262"/>
  <c r="V23" i="2262"/>
  <c r="V18" i="2262"/>
  <c r="V16" i="2262"/>
  <c r="V14" i="2262"/>
  <c r="V22" i="2262"/>
  <c r="V19" i="2262"/>
  <c r="V17" i="2262"/>
  <c r="V15" i="2262"/>
  <c r="O306" i="2262"/>
  <c r="O305" i="2262"/>
  <c r="O304" i="2262"/>
  <c r="O303" i="2262"/>
  <c r="O307" i="2262"/>
  <c r="W17" i="2262"/>
  <c r="V7" i="2262"/>
  <c r="V8" i="2262"/>
  <c r="AC105" i="2262"/>
  <c r="W14" i="2262"/>
  <c r="V13" i="2262"/>
  <c r="V12" i="2262"/>
  <c r="W7" i="2262"/>
  <c r="P116" i="2262"/>
  <c r="W10" i="2262"/>
  <c r="P258" i="2262"/>
  <c r="P231" i="2262"/>
  <c r="P228" i="2262"/>
  <c r="X21" i="2262"/>
  <c r="P229" i="2262"/>
  <c r="P225" i="2262"/>
  <c r="G308" i="2262"/>
  <c r="G309" i="2262" s="1"/>
  <c r="G310" i="2262" s="1"/>
  <c r="P253" i="2262"/>
  <c r="P242" i="2262"/>
  <c r="P226" i="2262"/>
  <c r="P304" i="2262"/>
  <c r="AC109" i="2262"/>
  <c r="P109" i="2262"/>
  <c r="Q35" i="2262"/>
  <c r="Q36" i="2262"/>
  <c r="Q33" i="2262"/>
  <c r="Q37" i="2262"/>
  <c r="Q32" i="2262"/>
  <c r="Q38" i="2262"/>
  <c r="Q44" i="2262" s="1"/>
  <c r="Q34" i="2262"/>
  <c r="Q39" i="2262"/>
  <c r="P237" i="2262"/>
  <c r="P227" i="2262"/>
  <c r="AC111" i="2262"/>
  <c r="P277" i="2262"/>
  <c r="P266" i="2262"/>
  <c r="P264" i="2262"/>
  <c r="P234" i="2262"/>
  <c r="P198" i="2262"/>
  <c r="P245" i="2262"/>
  <c r="P209" i="2262"/>
  <c r="P203" i="2262"/>
  <c r="I45" i="2262"/>
  <c r="J45" i="2262" s="1"/>
  <c r="J87" i="2262"/>
  <c r="AC161" i="2262"/>
  <c r="W23" i="2262"/>
  <c r="W18" i="2262"/>
  <c r="X17" i="2262"/>
  <c r="W21" i="2262"/>
  <c r="X23" i="2262"/>
  <c r="X15" i="2262"/>
  <c r="W12" i="2262"/>
  <c r="X11" i="2262"/>
  <c r="P278" i="2262"/>
  <c r="P275" i="2262"/>
  <c r="P248" i="2262"/>
  <c r="P244" i="2262"/>
  <c r="P243" i="2262"/>
  <c r="P221" i="2262"/>
  <c r="P205" i="2262"/>
  <c r="P204" i="2262"/>
  <c r="P240" i="2262"/>
  <c r="P236" i="2262"/>
  <c r="P207" i="2262"/>
  <c r="P206" i="2262"/>
  <c r="P202" i="2262"/>
  <c r="P200" i="2262"/>
  <c r="P292" i="2262"/>
  <c r="P298" i="2262"/>
  <c r="P294" i="2262"/>
  <c r="P193" i="2262"/>
  <c r="AC104" i="2262"/>
  <c r="P300" i="2262"/>
  <c r="P299" i="2262"/>
  <c r="P267" i="2262"/>
  <c r="P232" i="2262"/>
  <c r="P195" i="2262"/>
  <c r="P194" i="2262"/>
  <c r="P117" i="2262"/>
  <c r="P295" i="2262"/>
  <c r="P270" i="2262"/>
  <c r="P268" i="2262"/>
  <c r="P265" i="2262"/>
  <c r="P263" i="2262"/>
  <c r="P212" i="2262"/>
  <c r="P112" i="2262"/>
  <c r="P271" i="2262"/>
  <c r="P260" i="2262"/>
  <c r="P259" i="2262"/>
  <c r="P255" i="2262"/>
  <c r="AC222" i="2262"/>
  <c r="AC117" i="2262"/>
  <c r="W15" i="2262"/>
  <c r="X7" i="2262"/>
  <c r="P296" i="2262"/>
  <c r="P274" i="2262"/>
  <c r="P273" i="2262"/>
  <c r="P272" i="2262"/>
  <c r="P256" i="2262"/>
  <c r="P252" i="2262"/>
  <c r="P251" i="2262"/>
  <c r="P247" i="2262"/>
  <c r="P220" i="2262"/>
  <c r="AC112" i="2262"/>
  <c r="X22" i="2262"/>
  <c r="P290" i="2262"/>
  <c r="AC290" i="2262"/>
  <c r="P288" i="2262"/>
  <c r="AC288" i="2262"/>
  <c r="P269" i="2262"/>
  <c r="AC218" i="2262"/>
  <c r="P208" i="2262"/>
  <c r="P197" i="2262"/>
  <c r="P111" i="2262"/>
  <c r="P305" i="2262"/>
  <c r="P301" i="2262"/>
  <c r="AC278" i="2262"/>
  <c r="P218" i="2262"/>
  <c r="P115" i="2262"/>
  <c r="AC305" i="2262"/>
  <c r="P262" i="2262"/>
  <c r="P257" i="2262"/>
  <c r="P246" i="2262"/>
  <c r="P241" i="2262"/>
  <c r="P235" i="2262"/>
  <c r="P230" i="2262"/>
  <c r="P201" i="2262"/>
  <c r="P196" i="2262"/>
  <c r="P110" i="2262"/>
  <c r="P211" i="2262"/>
  <c r="AC306" i="2262"/>
  <c r="P261" i="2262"/>
  <c r="P250" i="2262"/>
  <c r="P224" i="2262"/>
  <c r="P113" i="2262"/>
  <c r="AC303" i="2262"/>
  <c r="H239" i="2262"/>
  <c r="P210" i="2262"/>
  <c r="P199" i="2262"/>
  <c r="AA161" i="2262"/>
  <c r="X19" i="2262"/>
  <c r="P254" i="2262"/>
  <c r="P249" i="2262"/>
  <c r="P238" i="2262"/>
  <c r="P233" i="2262"/>
  <c r="P222" i="2262"/>
  <c r="P161" i="2262"/>
  <c r="P114" i="2262"/>
  <c r="P104" i="2262"/>
  <c r="P108" i="2262"/>
  <c r="X8" i="2262"/>
  <c r="P307" i="2262"/>
  <c r="AC307" i="2262"/>
  <c r="P293" i="2262"/>
  <c r="AC293" i="2262"/>
  <c r="P297" i="2262"/>
  <c r="AC297" i="2262"/>
  <c r="P291" i="2262"/>
  <c r="AC291" i="2262"/>
  <c r="P289" i="2262"/>
  <c r="AC289" i="2262"/>
  <c r="P287" i="2262"/>
  <c r="AC287" i="2262"/>
  <c r="P286" i="2262"/>
  <c r="AC282" i="2262"/>
  <c r="AC304" i="2262"/>
  <c r="P303" i="2262"/>
  <c r="P283" i="2262"/>
  <c r="AC283" i="2262"/>
  <c r="P282" i="2262"/>
  <c r="P279" i="2262"/>
  <c r="AC279" i="2262"/>
  <c r="P219" i="2262"/>
  <c r="AC219" i="2262"/>
  <c r="P306" i="2262"/>
  <c r="AC301" i="2262"/>
  <c r="AC298" i="2262"/>
  <c r="AC294" i="2262"/>
  <c r="P284" i="2262"/>
  <c r="AC284" i="2262"/>
  <c r="P280" i="2262"/>
  <c r="AC280" i="2262"/>
  <c r="AC299" i="2262"/>
  <c r="AC295" i="2262"/>
  <c r="P285" i="2262"/>
  <c r="AC285" i="2262"/>
  <c r="P281" i="2262"/>
  <c r="AC281" i="2262"/>
  <c r="P223" i="2262"/>
  <c r="AC223" i="2262"/>
  <c r="AC300" i="2262"/>
  <c r="AC296" i="2262"/>
  <c r="AC292" i="2262"/>
  <c r="AC286" i="2262"/>
  <c r="AC275" i="2262"/>
  <c r="AC271" i="2262"/>
  <c r="AC267" i="2262"/>
  <c r="AC263" i="2262"/>
  <c r="AC259" i="2262"/>
  <c r="AC255" i="2262"/>
  <c r="AC251" i="2262"/>
  <c r="AC247" i="2262"/>
  <c r="AC243" i="2262"/>
  <c r="AC235" i="2262"/>
  <c r="AC231" i="2262"/>
  <c r="AC227" i="2262"/>
  <c r="P213" i="2262"/>
  <c r="AC276" i="2262"/>
  <c r="P276" i="2262"/>
  <c r="AC272" i="2262"/>
  <c r="AC268" i="2262"/>
  <c r="AC264" i="2262"/>
  <c r="AC260" i="2262"/>
  <c r="AC256" i="2262"/>
  <c r="AC252" i="2262"/>
  <c r="AC248" i="2262"/>
  <c r="AC244" i="2262"/>
  <c r="AC240" i="2262"/>
  <c r="AC236" i="2262"/>
  <c r="AC232" i="2262"/>
  <c r="AC228" i="2262"/>
  <c r="AC224" i="2262"/>
  <c r="AC220" i="2262"/>
  <c r="P215" i="2262"/>
  <c r="AC215" i="2262"/>
  <c r="AC277" i="2262"/>
  <c r="AC273" i="2262"/>
  <c r="AC269" i="2262"/>
  <c r="AC265" i="2262"/>
  <c r="AC261" i="2262"/>
  <c r="AC257" i="2262"/>
  <c r="AC253" i="2262"/>
  <c r="AC249" i="2262"/>
  <c r="AC245" i="2262"/>
  <c r="AC241" i="2262"/>
  <c r="AC237" i="2262"/>
  <c r="AC233" i="2262"/>
  <c r="AC229" i="2262"/>
  <c r="AC225" i="2262"/>
  <c r="AC221" i="2262"/>
  <c r="P217" i="2262"/>
  <c r="AC217" i="2262"/>
  <c r="P214" i="2262"/>
  <c r="AC214" i="2262"/>
  <c r="AC274" i="2262"/>
  <c r="AC270" i="2262"/>
  <c r="AC266" i="2262"/>
  <c r="AC262" i="2262"/>
  <c r="AC258" i="2262"/>
  <c r="AC254" i="2262"/>
  <c r="AC250" i="2262"/>
  <c r="AC246" i="2262"/>
  <c r="AC242" i="2262"/>
  <c r="AC238" i="2262"/>
  <c r="AC234" i="2262"/>
  <c r="AC230" i="2262"/>
  <c r="AC226" i="2262"/>
  <c r="P216" i="2262"/>
  <c r="AC216" i="2262"/>
  <c r="AC213" i="2262"/>
  <c r="AC209" i="2262"/>
  <c r="AC205" i="2262"/>
  <c r="AC201" i="2262"/>
  <c r="AC197" i="2262"/>
  <c r="AC193" i="2262"/>
  <c r="AC114" i="2262"/>
  <c r="AC110" i="2262"/>
  <c r="AC108" i="2262"/>
  <c r="AC210" i="2262"/>
  <c r="AC206" i="2262"/>
  <c r="AC202" i="2262"/>
  <c r="AC198" i="2262"/>
  <c r="AC194" i="2262"/>
  <c r="AC116" i="2262"/>
  <c r="P107" i="2262"/>
  <c r="AC107" i="2262"/>
  <c r="P103" i="2262"/>
  <c r="AC103" i="2262"/>
  <c r="AC211" i="2262"/>
  <c r="AC207" i="2262"/>
  <c r="AC203" i="2262"/>
  <c r="AC199" i="2262"/>
  <c r="AC195" i="2262"/>
  <c r="AC113" i="2262"/>
  <c r="P105" i="2262"/>
  <c r="AC212" i="2262"/>
  <c r="AC208" i="2262"/>
  <c r="AC204" i="2262"/>
  <c r="AC200" i="2262"/>
  <c r="AC196" i="2262"/>
  <c r="AC115" i="2262"/>
  <c r="AC106" i="2262"/>
  <c r="P106" i="2262"/>
  <c r="W22" i="2262"/>
  <c r="W19" i="2262"/>
  <c r="X16" i="2262"/>
  <c r="W11" i="2262"/>
  <c r="W8" i="2262"/>
  <c r="W16" i="2262"/>
  <c r="X13" i="2262"/>
  <c r="X18" i="2262"/>
  <c r="W13" i="2262"/>
  <c r="X10" i="2262"/>
  <c r="X12" i="2262"/>
  <c r="X14" i="2262"/>
  <c r="C14" i="2273"/>
  <c r="C7" i="2273"/>
  <c r="C6" i="2273"/>
  <c r="C5" i="2273"/>
  <c r="C4" i="2273"/>
  <c r="AJ155" i="2262" l="1"/>
  <c r="AJ160" i="2262"/>
  <c r="AK160" i="2262" s="1"/>
  <c r="AI305" i="2262"/>
  <c r="AI306" i="2262"/>
  <c r="AI303" i="2262"/>
  <c r="AI307" i="2262"/>
  <c r="AI304" i="2262"/>
  <c r="P239" i="2262"/>
  <c r="AC239" i="2262"/>
  <c r="H309" i="2262"/>
  <c r="O309" i="2262" s="1"/>
  <c r="AJ47" i="2262"/>
  <c r="AK47" i="2262" s="1"/>
  <c r="AJ50" i="2262"/>
  <c r="AK50" i="2262" s="1"/>
  <c r="AJ61" i="2262"/>
  <c r="AK61" i="2262" s="1"/>
  <c r="AJ63" i="2262"/>
  <c r="AK63" i="2262" s="1"/>
  <c r="AJ43" i="2262"/>
  <c r="AK43" i="2262" s="1"/>
  <c r="AJ49" i="2262"/>
  <c r="AK49" i="2262" s="1"/>
  <c r="AJ56" i="2262"/>
  <c r="AK56" i="2262" s="1"/>
  <c r="AJ70" i="2262"/>
  <c r="AK70" i="2262" s="1"/>
  <c r="AJ75" i="2262"/>
  <c r="AK75" i="2262" s="1"/>
  <c r="AJ79" i="2262"/>
  <c r="AK79" i="2262" s="1"/>
  <c r="AJ42" i="2262"/>
  <c r="AK42" i="2262" s="1"/>
  <c r="AJ54" i="2262"/>
  <c r="AJ62" i="2262"/>
  <c r="AK62" i="2262" s="1"/>
  <c r="AJ64" i="2262"/>
  <c r="AK64" i="2262" s="1"/>
  <c r="AJ68" i="2262"/>
  <c r="AK68" i="2262" s="1"/>
  <c r="AJ72" i="2262"/>
  <c r="AK72" i="2262" s="1"/>
  <c r="AJ77" i="2262"/>
  <c r="AK77" i="2262" s="1"/>
  <c r="AJ83" i="2262"/>
  <c r="AK83" i="2262" s="1"/>
  <c r="AJ48" i="2262"/>
  <c r="AK48" i="2262" s="1"/>
  <c r="AJ55" i="2262"/>
  <c r="AK55" i="2262" s="1"/>
  <c r="AJ67" i="2262"/>
  <c r="AK67" i="2262" s="1"/>
  <c r="AJ76" i="2262"/>
  <c r="AK76" i="2262" s="1"/>
  <c r="AJ89" i="2262"/>
  <c r="AK89" i="2262" s="1"/>
  <c r="AJ97" i="2262"/>
  <c r="AK97" i="2262" s="1"/>
  <c r="AJ99" i="2262"/>
  <c r="AK99" i="2262" s="1"/>
  <c r="AJ100" i="2262"/>
  <c r="AK100" i="2262" s="1"/>
  <c r="AJ102" i="2262"/>
  <c r="AK102" i="2262" s="1"/>
  <c r="AJ118" i="2262"/>
  <c r="AK118" i="2262" s="1"/>
  <c r="AJ120" i="2262"/>
  <c r="AK120" i="2262" s="1"/>
  <c r="AJ121" i="2262"/>
  <c r="AK121" i="2262" s="1"/>
  <c r="AJ127" i="2262"/>
  <c r="AK127" i="2262" s="1"/>
  <c r="AJ139" i="2262"/>
  <c r="AK139" i="2262" s="1"/>
  <c r="AJ141" i="2262"/>
  <c r="AK141" i="2262" s="1"/>
  <c r="AJ143" i="2262"/>
  <c r="AK143" i="2262" s="1"/>
  <c r="AJ145" i="2262"/>
  <c r="AK145" i="2262" s="1"/>
  <c r="AJ152" i="2262"/>
  <c r="AK152" i="2262" s="1"/>
  <c r="AJ65" i="2262"/>
  <c r="AK65" i="2262" s="1"/>
  <c r="AJ66" i="2262"/>
  <c r="AK66" i="2262" s="1"/>
  <c r="AJ74" i="2262"/>
  <c r="AK74" i="2262" s="1"/>
  <c r="AJ81" i="2262"/>
  <c r="AK81" i="2262" s="1"/>
  <c r="AJ86" i="2262"/>
  <c r="AK86" i="2262" s="1"/>
  <c r="AJ91" i="2262"/>
  <c r="AK91" i="2262" s="1"/>
  <c r="AJ95" i="2262"/>
  <c r="AK95" i="2262" s="1"/>
  <c r="AJ135" i="2262"/>
  <c r="AK135" i="2262" s="1"/>
  <c r="AJ138" i="2262"/>
  <c r="AK138" i="2262" s="1"/>
  <c r="AJ144" i="2262"/>
  <c r="AK144" i="2262" s="1"/>
  <c r="AJ149" i="2262"/>
  <c r="AK149" i="2262" s="1"/>
  <c r="AJ151" i="2262"/>
  <c r="AK151" i="2262" s="1"/>
  <c r="AJ157" i="2262"/>
  <c r="AK157" i="2262" s="1"/>
  <c r="AJ58" i="2262"/>
  <c r="AK58" i="2262" s="1"/>
  <c r="AJ78" i="2262"/>
  <c r="AK78" i="2262" s="1"/>
  <c r="AJ82" i="2262"/>
  <c r="AK82" i="2262" s="1"/>
  <c r="AJ88" i="2262"/>
  <c r="AK88" i="2262" s="1"/>
  <c r="AJ93" i="2262"/>
  <c r="AK93" i="2262" s="1"/>
  <c r="AJ136" i="2262"/>
  <c r="AK136" i="2262" s="1"/>
  <c r="AJ156" i="2262"/>
  <c r="AK156" i="2262" s="1"/>
  <c r="AJ57" i="2262"/>
  <c r="AK57" i="2262" s="1"/>
  <c r="AJ98" i="2262"/>
  <c r="AK98" i="2262" s="1"/>
  <c r="AJ119" i="2262"/>
  <c r="AK119" i="2262" s="1"/>
  <c r="AJ132" i="2262"/>
  <c r="AK132" i="2262" s="1"/>
  <c r="AJ142" i="2262"/>
  <c r="AK142" i="2262" s="1"/>
  <c r="AJ148" i="2262"/>
  <c r="AK148" i="2262" s="1"/>
  <c r="AJ87" i="2262"/>
  <c r="AJ90" i="2262"/>
  <c r="AK90" i="2262" s="1"/>
  <c r="AJ96" i="2262"/>
  <c r="AK96" i="2262" s="1"/>
  <c r="AJ137" i="2262"/>
  <c r="AK137" i="2262" s="1"/>
  <c r="AJ147" i="2262"/>
  <c r="AK147" i="2262" s="1"/>
  <c r="AJ150" i="2262"/>
  <c r="AK150" i="2262" s="1"/>
  <c r="AJ92" i="2262"/>
  <c r="AK92" i="2262" s="1"/>
  <c r="AJ140" i="2262"/>
  <c r="AK140" i="2262" s="1"/>
  <c r="AJ59" i="2262"/>
  <c r="AK59" i="2262" s="1"/>
  <c r="AJ101" i="2262"/>
  <c r="AK101" i="2262" s="1"/>
  <c r="AJ146" i="2262"/>
  <c r="AK146" i="2262" s="1"/>
  <c r="AJ192" i="2262"/>
  <c r="AK192" i="2262" s="1"/>
  <c r="AJ80" i="2262"/>
  <c r="AK80" i="2262" s="1"/>
  <c r="AJ94" i="2262"/>
  <c r="AK94" i="2262" s="1"/>
  <c r="AJ131" i="2262"/>
  <c r="AK131" i="2262" s="1"/>
  <c r="AJ158" i="2262"/>
  <c r="AK158" i="2262" s="1"/>
  <c r="Q76" i="2262"/>
  <c r="Q104" i="2262"/>
  <c r="Q106" i="2262"/>
  <c r="Q109" i="2262"/>
  <c r="Q111" i="2262"/>
  <c r="Q113" i="2262"/>
  <c r="Q116" i="2262"/>
  <c r="Q124" i="2262"/>
  <c r="Q142" i="2262"/>
  <c r="Q146" i="2262"/>
  <c r="Q150" i="2262"/>
  <c r="Q105" i="2262"/>
  <c r="Q107" i="2262"/>
  <c r="Q112" i="2262"/>
  <c r="Q115" i="2262"/>
  <c r="Q125" i="2262"/>
  <c r="Q129" i="2262"/>
  <c r="Q132" i="2262"/>
  <c r="Q139" i="2262"/>
  <c r="Q143" i="2262"/>
  <c r="Q145" i="2262"/>
  <c r="Q148" i="2262"/>
  <c r="Q152" i="2262"/>
  <c r="Q154" i="2262"/>
  <c r="Q158" i="2262"/>
  <c r="Q160" i="2262"/>
  <c r="Q164" i="2262"/>
  <c r="Q167" i="2262"/>
  <c r="Q103" i="2262"/>
  <c r="Q117" i="2262"/>
  <c r="Q126" i="2262"/>
  <c r="Q131" i="2262"/>
  <c r="Q133" i="2262"/>
  <c r="Q149" i="2262"/>
  <c r="Q153" i="2262"/>
  <c r="Q161" i="2262"/>
  <c r="Q163" i="2262"/>
  <c r="Q173" i="2262"/>
  <c r="Q185" i="2262"/>
  <c r="Q192" i="2262"/>
  <c r="Q97" i="2262"/>
  <c r="Q110" i="2262"/>
  <c r="Q141" i="2262"/>
  <c r="Q147" i="2262"/>
  <c r="Q159" i="2262"/>
  <c r="Q166" i="2262"/>
  <c r="Q179" i="2262"/>
  <c r="Q187" i="2262"/>
  <c r="Q190" i="2262"/>
  <c r="Q98" i="2262"/>
  <c r="Q102" i="2262"/>
  <c r="Q114" i="2262"/>
  <c r="Q122" i="2262"/>
  <c r="Q174" i="2262"/>
  <c r="Q180" i="2262"/>
  <c r="Q184" i="2262"/>
  <c r="Q188" i="2262"/>
  <c r="Q144" i="2262"/>
  <c r="Q151" i="2262"/>
  <c r="Q108" i="2262"/>
  <c r="Q128" i="2262"/>
  <c r="Q130" i="2262"/>
  <c r="Q137" i="2262"/>
  <c r="Q157" i="2262"/>
  <c r="Q162" i="2262"/>
  <c r="Q101" i="2262"/>
  <c r="Q189" i="2262"/>
  <c r="Q191" i="2262"/>
  <c r="AJ9" i="2262"/>
  <c r="AK9" i="2262" s="1"/>
  <c r="AJ15" i="2262"/>
  <c r="AK15" i="2262" s="1"/>
  <c r="AJ16" i="2262"/>
  <c r="AK16" i="2262" s="1"/>
  <c r="AJ19" i="2262"/>
  <c r="AK19" i="2262" s="1"/>
  <c r="AJ20" i="2262"/>
  <c r="AK20" i="2262" s="1"/>
  <c r="AJ24" i="2262"/>
  <c r="AK24" i="2262" s="1"/>
  <c r="AJ27" i="2262"/>
  <c r="AK27" i="2262" s="1"/>
  <c r="AJ29" i="2262"/>
  <c r="AK29" i="2262" s="1"/>
  <c r="AJ34" i="2262"/>
  <c r="AK34" i="2262" s="1"/>
  <c r="AJ38" i="2262"/>
  <c r="AJ39" i="2262"/>
  <c r="AK39" i="2262" s="1"/>
  <c r="AJ41" i="2262"/>
  <c r="AK41" i="2262" s="1"/>
  <c r="AJ10" i="2262"/>
  <c r="AK10" i="2262" s="1"/>
  <c r="AJ21" i="2262"/>
  <c r="AK21" i="2262" s="1"/>
  <c r="AJ37" i="2262"/>
  <c r="AK37" i="2262" s="1"/>
  <c r="AJ13" i="2262"/>
  <c r="AK13" i="2262" s="1"/>
  <c r="AJ14" i="2262"/>
  <c r="AK14" i="2262" s="1"/>
  <c r="AJ17" i="2262"/>
  <c r="AK17" i="2262" s="1"/>
  <c r="AJ18" i="2262"/>
  <c r="AK18" i="2262" s="1"/>
  <c r="AJ23" i="2262"/>
  <c r="AK23" i="2262" s="1"/>
  <c r="AJ26" i="2262"/>
  <c r="AK26" i="2262" s="1"/>
  <c r="AJ30" i="2262"/>
  <c r="AK30" i="2262" s="1"/>
  <c r="AJ40" i="2262"/>
  <c r="AK40" i="2262" s="1"/>
  <c r="AJ51" i="2262"/>
  <c r="AK51" i="2262" s="1"/>
  <c r="AJ53" i="2262"/>
  <c r="AK53" i="2262" s="1"/>
  <c r="AJ28" i="2262"/>
  <c r="AK28" i="2262" s="1"/>
  <c r="AJ33" i="2262"/>
  <c r="AK33" i="2262" s="1"/>
  <c r="AJ73" i="2262"/>
  <c r="AK73" i="2262" s="1"/>
  <c r="AJ123" i="2262"/>
  <c r="AK123" i="2262" s="1"/>
  <c r="AJ8" i="2262"/>
  <c r="AK8" i="2262" s="1"/>
  <c r="AJ22" i="2262"/>
  <c r="AK22" i="2262" s="1"/>
  <c r="AJ25" i="2262"/>
  <c r="AK25" i="2262" s="1"/>
  <c r="AJ32" i="2262"/>
  <c r="AK32" i="2262" s="1"/>
  <c r="AJ36" i="2262"/>
  <c r="AK36" i="2262" s="1"/>
  <c r="AJ71" i="2262"/>
  <c r="AK71" i="2262" s="1"/>
  <c r="AJ122" i="2262"/>
  <c r="AK122" i="2262" s="1"/>
  <c r="AK155" i="2262"/>
  <c r="AJ166" i="2262"/>
  <c r="AK166" i="2262" s="1"/>
  <c r="AJ167" i="2262"/>
  <c r="AK167" i="2262" s="1"/>
  <c r="AJ169" i="2262"/>
  <c r="AK169" i="2262" s="1"/>
  <c r="AJ173" i="2262"/>
  <c r="AK173" i="2262" s="1"/>
  <c r="AJ174" i="2262"/>
  <c r="AK174" i="2262" s="1"/>
  <c r="AJ177" i="2262"/>
  <c r="AK177" i="2262" s="1"/>
  <c r="AJ31" i="2262"/>
  <c r="AK31" i="2262" s="1"/>
  <c r="AJ170" i="2262"/>
  <c r="AK170" i="2262" s="1"/>
  <c r="AJ171" i="2262"/>
  <c r="AK171" i="2262" s="1"/>
  <c r="AJ180" i="2262"/>
  <c r="AK180" i="2262" s="1"/>
  <c r="AJ188" i="2262"/>
  <c r="AK188" i="2262" s="1"/>
  <c r="AJ190" i="2262"/>
  <c r="AK190" i="2262" s="1"/>
  <c r="AJ191" i="2262"/>
  <c r="AK191" i="2262" s="1"/>
  <c r="AJ35" i="2262"/>
  <c r="AK35" i="2262" s="1"/>
  <c r="AJ172" i="2262"/>
  <c r="AK172" i="2262" s="1"/>
  <c r="AJ184" i="2262"/>
  <c r="AK184" i="2262" s="1"/>
  <c r="AJ189" i="2262"/>
  <c r="AK189" i="2262" s="1"/>
  <c r="AJ60" i="2262"/>
  <c r="AK60" i="2262" s="1"/>
  <c r="AJ168" i="2262"/>
  <c r="AK168" i="2262" s="1"/>
  <c r="AJ185" i="2262"/>
  <c r="AK185" i="2262" s="1"/>
  <c r="AJ175" i="2262"/>
  <c r="AK175" i="2262" s="1"/>
  <c r="AJ7" i="2262"/>
  <c r="AK7" i="2262" s="1"/>
  <c r="AJ52" i="2262"/>
  <c r="AK52" i="2262" s="1"/>
  <c r="AJ181" i="2262"/>
  <c r="AK181" i="2262" s="1"/>
  <c r="AJ182" i="2262"/>
  <c r="AK182" i="2262" s="1"/>
  <c r="AJ69" i="2262"/>
  <c r="AK69" i="2262" s="1"/>
  <c r="AJ176" i="2262"/>
  <c r="AK176" i="2262" s="1"/>
  <c r="AJ179" i="2262"/>
  <c r="AK179" i="2262" s="1"/>
  <c r="AJ183" i="2262"/>
  <c r="AK183" i="2262" s="1"/>
  <c r="AJ187" i="2262"/>
  <c r="AK187" i="2262" s="1"/>
  <c r="AJ12" i="2262"/>
  <c r="AK12" i="2262" s="1"/>
  <c r="AJ165" i="2262"/>
  <c r="AK165" i="2262" s="1"/>
  <c r="AJ178" i="2262"/>
  <c r="AK178" i="2262" s="1"/>
  <c r="AJ186" i="2262"/>
  <c r="AK186" i="2262" s="1"/>
  <c r="AJ11" i="2262"/>
  <c r="AK11" i="2262" s="1"/>
  <c r="H308" i="2262"/>
  <c r="O308" i="2262" s="1"/>
  <c r="AJ103" i="2262"/>
  <c r="AK103" i="2262" s="1"/>
  <c r="AJ105" i="2262"/>
  <c r="AK105" i="2262" s="1"/>
  <c r="AJ108" i="2262"/>
  <c r="AK108" i="2262" s="1"/>
  <c r="AJ112" i="2262"/>
  <c r="AK112" i="2262" s="1"/>
  <c r="AJ110" i="2262"/>
  <c r="AK110" i="2262" s="1"/>
  <c r="AJ114" i="2262"/>
  <c r="AK114" i="2262" s="1"/>
  <c r="AJ117" i="2262"/>
  <c r="AK117" i="2262" s="1"/>
  <c r="AJ104" i="2262"/>
  <c r="AK104" i="2262" s="1"/>
  <c r="AJ106" i="2262"/>
  <c r="AK106" i="2262" s="1"/>
  <c r="AJ113" i="2262"/>
  <c r="AK113" i="2262" s="1"/>
  <c r="AJ115" i="2262"/>
  <c r="AK115" i="2262" s="1"/>
  <c r="AJ111" i="2262"/>
  <c r="AK111" i="2262" s="1"/>
  <c r="AJ116" i="2262"/>
  <c r="AK116" i="2262" s="1"/>
  <c r="AJ109" i="2262"/>
  <c r="AK109" i="2262" s="1"/>
  <c r="AJ107" i="2262"/>
  <c r="AK107" i="2262" s="1"/>
  <c r="AJ302" i="2262"/>
  <c r="AK302" i="2262" s="1"/>
  <c r="AJ323" i="2262"/>
  <c r="AK323" i="2262" s="1"/>
  <c r="AJ324" i="2262"/>
  <c r="AK324" i="2262" s="1"/>
  <c r="AJ327" i="2262"/>
  <c r="AK327" i="2262" s="1"/>
  <c r="AJ322" i="2262"/>
  <c r="AK322" i="2262" s="1"/>
  <c r="AJ326" i="2262"/>
  <c r="AK326" i="2262" s="1"/>
  <c r="AJ325" i="2262"/>
  <c r="AK325" i="2262" s="1"/>
  <c r="Q28" i="2262"/>
  <c r="Q30" i="2262"/>
  <c r="Q29" i="2262"/>
  <c r="Q17" i="2262"/>
  <c r="Q21" i="2262"/>
  <c r="Q40" i="2262"/>
  <c r="Q42" i="2262"/>
  <c r="Q48" i="2262"/>
  <c r="Q50" i="2262"/>
  <c r="Q64" i="2262"/>
  <c r="Q66" i="2262"/>
  <c r="Q11" i="2262"/>
  <c r="Q12" i="2262"/>
  <c r="Q13" i="2262"/>
  <c r="Q22" i="2262"/>
  <c r="Q23" i="2262"/>
  <c r="Q14" i="2262"/>
  <c r="Q15" i="2262"/>
  <c r="Q18" i="2262"/>
  <c r="Q19" i="2262"/>
  <c r="Q41" i="2262"/>
  <c r="Q43" i="2262"/>
  <c r="Q54" i="2262"/>
  <c r="Q46" i="2262" s="1"/>
  <c r="Q57" i="2262"/>
  <c r="Q63" i="2262"/>
  <c r="Q65" i="2262"/>
  <c r="Q69" i="2262"/>
  <c r="Q71" i="2262"/>
  <c r="Q78" i="2262"/>
  <c r="Q80" i="2262"/>
  <c r="Q8" i="2262"/>
  <c r="Q52" i="2262"/>
  <c r="Q55" i="2262"/>
  <c r="Q60" i="2262"/>
  <c r="Q67" i="2262"/>
  <c r="Q73" i="2262"/>
  <c r="Q84" i="2262"/>
  <c r="Q86" i="2262"/>
  <c r="Q87" i="2262"/>
  <c r="Q45" i="2262" s="1"/>
  <c r="Q16" i="2262"/>
  <c r="Q62" i="2262"/>
  <c r="Q72" i="2262"/>
  <c r="Q85" i="2262"/>
  <c r="Q90" i="2262"/>
  <c r="Q92" i="2262"/>
  <c r="Q121" i="2262"/>
  <c r="Q10" i="2262"/>
  <c r="Q59" i="2262"/>
  <c r="Q61" i="2262"/>
  <c r="Q81" i="2262"/>
  <c r="Q82" i="2262"/>
  <c r="Q94" i="2262"/>
  <c r="Q120" i="2262"/>
  <c r="Q123" i="2262"/>
  <c r="Q175" i="2262"/>
  <c r="Q58" i="2262"/>
  <c r="Q68" i="2262"/>
  <c r="Q182" i="2262"/>
  <c r="Q49" i="2262"/>
  <c r="Q51" i="2262"/>
  <c r="Q53" i="2262"/>
  <c r="Q70" i="2262"/>
  <c r="Q127" i="2262"/>
  <c r="Q176" i="2262"/>
  <c r="Q181" i="2262"/>
  <c r="Q88" i="2262"/>
  <c r="Q178" i="2262"/>
  <c r="Q186" i="2262"/>
  <c r="Q7" i="2262"/>
  <c r="Q77" i="2262"/>
  <c r="Q89" i="2262"/>
  <c r="Q91" i="2262"/>
  <c r="Q56" i="2262"/>
  <c r="Q79" i="2262"/>
  <c r="Q119" i="2262"/>
  <c r="Q177" i="2262"/>
  <c r="Q47" i="2262"/>
  <c r="Q93" i="2262"/>
  <c r="Q95" i="2262"/>
  <c r="Q183" i="2262"/>
  <c r="AJ85" i="2262"/>
  <c r="AK85" i="2262" s="1"/>
  <c r="AJ130" i="2262"/>
  <c r="AK130" i="2262" s="1"/>
  <c r="AJ162" i="2262"/>
  <c r="AK162" i="2262" s="1"/>
  <c r="AJ84" i="2262"/>
  <c r="AK84" i="2262" s="1"/>
  <c r="AJ159" i="2262"/>
  <c r="AK159" i="2262" s="1"/>
  <c r="AJ129" i="2262"/>
  <c r="AK129" i="2262" s="1"/>
  <c r="AJ125" i="2262"/>
  <c r="AK125" i="2262" s="1"/>
  <c r="AJ128" i="2262"/>
  <c r="AK128" i="2262" s="1"/>
  <c r="AJ134" i="2262"/>
  <c r="AK134" i="2262" s="1"/>
  <c r="AJ154" i="2262"/>
  <c r="AK154" i="2262" s="1"/>
  <c r="AJ164" i="2262"/>
  <c r="AK164" i="2262" s="1"/>
  <c r="AJ153" i="2262"/>
  <c r="AK153" i="2262" s="1"/>
  <c r="AJ163" i="2262"/>
  <c r="AK163" i="2262" s="1"/>
  <c r="AJ126" i="2262"/>
  <c r="AK126" i="2262" s="1"/>
  <c r="AJ133" i="2262"/>
  <c r="AK133" i="2262" s="1"/>
  <c r="AJ124" i="2262"/>
  <c r="AK124" i="2262" s="1"/>
  <c r="Q75" i="2262"/>
  <c r="Q100" i="2262"/>
  <c r="Q96" i="2262"/>
  <c r="Q118" i="2262"/>
  <c r="Q134" i="2262"/>
  <c r="Q136" i="2262"/>
  <c r="Q156" i="2262"/>
  <c r="Q74" i="2262"/>
  <c r="Q99" i="2262"/>
  <c r="Q135" i="2262"/>
  <c r="Q155" i="2262"/>
  <c r="Q165" i="2262"/>
  <c r="Q140" i="2262"/>
  <c r="Q138" i="2262"/>
  <c r="Q83" i="2262"/>
  <c r="Q25" i="2262"/>
  <c r="Q26" i="2262"/>
  <c r="Q24" i="2262"/>
  <c r="Q27" i="2262"/>
  <c r="Q31" i="2262"/>
  <c r="Q9" i="2262"/>
  <c r="Q20" i="2262"/>
  <c r="H310" i="2262"/>
  <c r="O310" i="2262" s="1"/>
  <c r="G311" i="2262"/>
  <c r="AO301" i="2262"/>
  <c r="AO300" i="2262"/>
  <c r="AO299" i="2262"/>
  <c r="AO298" i="2262"/>
  <c r="AO297" i="2262"/>
  <c r="AO296" i="2262"/>
  <c r="AO295" i="2262"/>
  <c r="AO294" i="2262"/>
  <c r="AO293" i="2262"/>
  <c r="AO292" i="2262"/>
  <c r="AO291" i="2262"/>
  <c r="AO290" i="2262"/>
  <c r="AO289" i="2262"/>
  <c r="AO288" i="2262"/>
  <c r="AO287" i="2262"/>
  <c r="AO286" i="2262"/>
  <c r="AO285" i="2262"/>
  <c r="AO284" i="2262"/>
  <c r="AO283" i="2262"/>
  <c r="AO282" i="2262"/>
  <c r="AO281" i="2262"/>
  <c r="AO280" i="2262"/>
  <c r="AO279" i="2262"/>
  <c r="AO278" i="2262"/>
  <c r="AO277" i="2262"/>
  <c r="AO276" i="2262"/>
  <c r="AO275" i="2262"/>
  <c r="AO274" i="2262"/>
  <c r="AO273" i="2262"/>
  <c r="AO272" i="2262"/>
  <c r="AO271" i="2262"/>
  <c r="AO270" i="2262"/>
  <c r="AO269" i="2262"/>
  <c r="AO268" i="2262"/>
  <c r="AO267" i="2262"/>
  <c r="AO266" i="2262"/>
  <c r="AO265" i="2262"/>
  <c r="AO264" i="2262"/>
  <c r="AO263" i="2262"/>
  <c r="AO262" i="2262"/>
  <c r="AO261" i="2262"/>
  <c r="AO260" i="2262"/>
  <c r="AO259" i="2262"/>
  <c r="AO258" i="2262"/>
  <c r="AO257" i="2262"/>
  <c r="AO256" i="2262"/>
  <c r="AO255" i="2262"/>
  <c r="AO254" i="2262"/>
  <c r="AO253" i="2262"/>
  <c r="AO252" i="2262"/>
  <c r="AO251" i="2262"/>
  <c r="AO250" i="2262"/>
  <c r="AO249" i="2262"/>
  <c r="AO248" i="2262"/>
  <c r="AO247" i="2262"/>
  <c r="AO246" i="2262"/>
  <c r="AO245" i="2262"/>
  <c r="AO244" i="2262"/>
  <c r="AO243" i="2262"/>
  <c r="AO242" i="2262"/>
  <c r="AO241" i="2262"/>
  <c r="AO240" i="2262"/>
  <c r="AO239" i="2262"/>
  <c r="AO238" i="2262"/>
  <c r="AO237" i="2262"/>
  <c r="AO236" i="2262"/>
  <c r="AO235" i="2262"/>
  <c r="AO234" i="2262"/>
  <c r="AO233" i="2262"/>
  <c r="AO232" i="2262"/>
  <c r="AO231" i="2262"/>
  <c r="AO230" i="2262"/>
  <c r="AO229" i="2262"/>
  <c r="AO228" i="2262"/>
  <c r="AO227" i="2262"/>
  <c r="AO226" i="2262"/>
  <c r="AO225" i="2262"/>
  <c r="AO224" i="2262"/>
  <c r="AO223" i="2262"/>
  <c r="AO222" i="2262"/>
  <c r="AO221" i="2262"/>
  <c r="AO220" i="2262"/>
  <c r="AO219" i="2262"/>
  <c r="AO218" i="2262"/>
  <c r="AO217" i="2262"/>
  <c r="AO216" i="2262"/>
  <c r="AO215" i="2262"/>
  <c r="AO214" i="2262"/>
  <c r="AO213" i="2262"/>
  <c r="AO212" i="2262"/>
  <c r="AO211" i="2262"/>
  <c r="AO210" i="2262"/>
  <c r="AO209" i="2262"/>
  <c r="AO208" i="2262"/>
  <c r="AO207" i="2262"/>
  <c r="AO206" i="2262"/>
  <c r="AO205" i="2262"/>
  <c r="AO204" i="2262"/>
  <c r="AO203" i="2262"/>
  <c r="AO202" i="2262"/>
  <c r="AO201" i="2262"/>
  <c r="AO200" i="2262"/>
  <c r="AO199" i="2262"/>
  <c r="AO198" i="2262"/>
  <c r="AO197" i="2262"/>
  <c r="AO196" i="2262"/>
  <c r="AO195" i="2262"/>
  <c r="AO194" i="2262"/>
  <c r="AO193" i="2262"/>
  <c r="P309" i="2262" l="1"/>
  <c r="AC309" i="2262"/>
  <c r="P308" i="2262"/>
  <c r="AC308" i="2262"/>
  <c r="AK87" i="2262"/>
  <c r="AK38" i="2262"/>
  <c r="AJ44" i="2262"/>
  <c r="AK44" i="2262" s="1"/>
  <c r="AK54" i="2262"/>
  <c r="G312" i="2262"/>
  <c r="H311" i="2262"/>
  <c r="O311" i="2262" s="1"/>
  <c r="AC310" i="2262"/>
  <c r="P310" i="2262"/>
  <c r="AI309" i="2262" l="1"/>
  <c r="AI308" i="2262"/>
  <c r="AI310" i="2262"/>
  <c r="G313" i="2262"/>
  <c r="H312" i="2262"/>
  <c r="O312" i="2262" s="1"/>
  <c r="P311" i="2262"/>
  <c r="AC311" i="2262"/>
  <c r="L48" i="2273"/>
  <c r="M48" i="2273" s="1"/>
  <c r="K47" i="2273"/>
  <c r="L46" i="2273"/>
  <c r="L47" i="2273" s="1"/>
  <c r="M47" i="2273" s="1"/>
  <c r="L45" i="2273"/>
  <c r="M45" i="2273" s="1"/>
  <c r="L44" i="2273"/>
  <c r="M44" i="2273" s="1"/>
  <c r="L43" i="2273"/>
  <c r="M43" i="2273" s="1"/>
  <c r="L42" i="2273"/>
  <c r="M42" i="2273" s="1"/>
  <c r="L40" i="2273"/>
  <c r="K40" i="2273"/>
  <c r="L38" i="2273"/>
  <c r="L39" i="2273" s="1"/>
  <c r="K38" i="2273"/>
  <c r="K39" i="2273" s="1"/>
  <c r="L37" i="2273"/>
  <c r="K37" i="2273"/>
  <c r="L36" i="2273"/>
  <c r="K36" i="2273"/>
  <c r="L35" i="2273"/>
  <c r="K35" i="2273"/>
  <c r="L34" i="2273"/>
  <c r="K34" i="2273"/>
  <c r="L31" i="2273"/>
  <c r="K30" i="2273"/>
  <c r="K31" i="2273" s="1"/>
  <c r="L29" i="2273"/>
  <c r="K29" i="2273"/>
  <c r="L28" i="2273"/>
  <c r="K28" i="2273"/>
  <c r="L27" i="2273"/>
  <c r="K27" i="2273"/>
  <c r="L26" i="2273"/>
  <c r="K26" i="2273"/>
  <c r="L24" i="2273"/>
  <c r="K24" i="2273"/>
  <c r="L22" i="2273"/>
  <c r="L23" i="2273" s="1"/>
  <c r="K22" i="2273"/>
  <c r="K23" i="2273" s="1"/>
  <c r="L21" i="2273"/>
  <c r="K21" i="2273"/>
  <c r="L20" i="2273"/>
  <c r="K20" i="2273"/>
  <c r="L19" i="2273"/>
  <c r="K19" i="2273"/>
  <c r="L18" i="2273"/>
  <c r="K18" i="2273"/>
  <c r="K15" i="2273"/>
  <c r="AI311" i="2262" l="1"/>
  <c r="P312" i="2262"/>
  <c r="AC312" i="2262"/>
  <c r="H313" i="2262"/>
  <c r="O313" i="2262" s="1"/>
  <c r="G314" i="2262"/>
  <c r="M46" i="2273"/>
  <c r="AI312" i="2262" l="1"/>
  <c r="H314" i="2262"/>
  <c r="O314" i="2262" s="1"/>
  <c r="G315" i="2262"/>
  <c r="AC313" i="2262"/>
  <c r="P313" i="2262"/>
  <c r="AI313" i="2262" l="1"/>
  <c r="G316" i="2262"/>
  <c r="H315" i="2262"/>
  <c r="O315" i="2262" s="1"/>
  <c r="AC314" i="2262"/>
  <c r="P314" i="2262"/>
  <c r="D46" i="2273"/>
  <c r="AI314" i="2262" l="1"/>
  <c r="G317" i="2262"/>
  <c r="H316" i="2262"/>
  <c r="O316" i="2262" s="1"/>
  <c r="P315" i="2262"/>
  <c r="AC315" i="2262"/>
  <c r="AI315" i="2262" l="1"/>
  <c r="H317" i="2262"/>
  <c r="O317" i="2262" s="1"/>
  <c r="G318" i="2262"/>
  <c r="P316" i="2262"/>
  <c r="AC316" i="2262"/>
  <c r="C46" i="2273"/>
  <c r="AI316" i="2262" l="1"/>
  <c r="AC317" i="2262"/>
  <c r="P317" i="2262"/>
  <c r="H318" i="2262"/>
  <c r="O318" i="2262" s="1"/>
  <c r="G319" i="2262"/>
  <c r="AI317" i="2262" l="1"/>
  <c r="U75" i="2262"/>
  <c r="U108" i="2262"/>
  <c r="U112" i="2262"/>
  <c r="U115" i="2262"/>
  <c r="U123" i="2262"/>
  <c r="U125" i="2262"/>
  <c r="U143" i="2262"/>
  <c r="U74" i="2262"/>
  <c r="U103" i="2262"/>
  <c r="U110" i="2262"/>
  <c r="U114" i="2262"/>
  <c r="U117" i="2262"/>
  <c r="U130" i="2262"/>
  <c r="U141" i="2262"/>
  <c r="U149" i="2262"/>
  <c r="U151" i="2262"/>
  <c r="U162" i="2262"/>
  <c r="U104" i="2262"/>
  <c r="U105" i="2262"/>
  <c r="U106" i="2262"/>
  <c r="U107" i="2262"/>
  <c r="U113" i="2262"/>
  <c r="U122" i="2262"/>
  <c r="U189" i="2262"/>
  <c r="U109" i="2262"/>
  <c r="U134" i="2262"/>
  <c r="U158" i="2262"/>
  <c r="U116" i="2262"/>
  <c r="U131" i="2262"/>
  <c r="U126" i="2262"/>
  <c r="U133" i="2262"/>
  <c r="U139" i="2262"/>
  <c r="U187" i="2262"/>
  <c r="U111" i="2262"/>
  <c r="U124" i="2262"/>
  <c r="U148" i="2262"/>
  <c r="U9" i="2262"/>
  <c r="U27" i="2262"/>
  <c r="U29" i="2262"/>
  <c r="U31" i="2262"/>
  <c r="U33" i="2262"/>
  <c r="U36" i="2262"/>
  <c r="U38" i="2262"/>
  <c r="U41" i="2262"/>
  <c r="U43" i="2262"/>
  <c r="U54" i="2262"/>
  <c r="U56" i="2262"/>
  <c r="U58" i="2262"/>
  <c r="U61" i="2262"/>
  <c r="U67" i="2262"/>
  <c r="U20" i="2262"/>
  <c r="U24" i="2262"/>
  <c r="U32" i="2262"/>
  <c r="U47" i="2262"/>
  <c r="U48" i="2262"/>
  <c r="U49" i="2262"/>
  <c r="U55" i="2262"/>
  <c r="U30" i="2262"/>
  <c r="U37" i="2262"/>
  <c r="U42" i="2262"/>
  <c r="U50" i="2262"/>
  <c r="U53" i="2262"/>
  <c r="U68" i="2262"/>
  <c r="U70" i="2262"/>
  <c r="U72" i="2262"/>
  <c r="U77" i="2262"/>
  <c r="U79" i="2262"/>
  <c r="U81" i="2262"/>
  <c r="U83" i="2262"/>
  <c r="U85" i="2262"/>
  <c r="U26" i="2262"/>
  <c r="U34" i="2262"/>
  <c r="U52" i="2262"/>
  <c r="U57" i="2262"/>
  <c r="U63" i="2262"/>
  <c r="U69" i="2262"/>
  <c r="U78" i="2262"/>
  <c r="U82" i="2262"/>
  <c r="U94" i="2262"/>
  <c r="U102" i="2262"/>
  <c r="U118" i="2262"/>
  <c r="U120" i="2262"/>
  <c r="U129" i="2262"/>
  <c r="U132" i="2262"/>
  <c r="U136" i="2262"/>
  <c r="U137" i="2262"/>
  <c r="U145" i="2262"/>
  <c r="U152" i="2262"/>
  <c r="U154" i="2262"/>
  <c r="U156" i="2262"/>
  <c r="U160" i="2262"/>
  <c r="U164" i="2262"/>
  <c r="U167" i="2262"/>
  <c r="U25" i="2262"/>
  <c r="U28" i="2262"/>
  <c r="U40" i="2262"/>
  <c r="U51" i="2262"/>
  <c r="U65" i="2262"/>
  <c r="U71" i="2262"/>
  <c r="U73" i="2262"/>
  <c r="U89" i="2262"/>
  <c r="U91" i="2262"/>
  <c r="U95" i="2262"/>
  <c r="U97" i="2262"/>
  <c r="U99" i="2262"/>
  <c r="U101" i="2262"/>
  <c r="U127" i="2262"/>
  <c r="U135" i="2262"/>
  <c r="U147" i="2262"/>
  <c r="U157" i="2262"/>
  <c r="U159" i="2262"/>
  <c r="U161" i="2262"/>
  <c r="U169" i="2262"/>
  <c r="U173" i="2262"/>
  <c r="U177" i="2262"/>
  <c r="U179" i="2262"/>
  <c r="U59" i="2262"/>
  <c r="U62" i="2262"/>
  <c r="U80" i="2262"/>
  <c r="U84" i="2262"/>
  <c r="U88" i="2262"/>
  <c r="U90" i="2262"/>
  <c r="U93" i="2262"/>
  <c r="U138" i="2262"/>
  <c r="U144" i="2262"/>
  <c r="U150" i="2262"/>
  <c r="U170" i="2262"/>
  <c r="U174" i="2262"/>
  <c r="U188" i="2262"/>
  <c r="U190" i="2262"/>
  <c r="U35" i="2262"/>
  <c r="U98" i="2262"/>
  <c r="U100" i="2262"/>
  <c r="U119" i="2262"/>
  <c r="U121" i="2262"/>
  <c r="U128" i="2262"/>
  <c r="U171" i="2262"/>
  <c r="U180" i="2262"/>
  <c r="U184" i="2262"/>
  <c r="U191" i="2262"/>
  <c r="U39" i="2262"/>
  <c r="U64" i="2262"/>
  <c r="U140" i="2262"/>
  <c r="U153" i="2262"/>
  <c r="U163" i="2262"/>
  <c r="U181" i="2262"/>
  <c r="U182" i="2262"/>
  <c r="U146" i="2262"/>
  <c r="U165" i="2262"/>
  <c r="U172" i="2262"/>
  <c r="U176" i="2262"/>
  <c r="U178" i="2262"/>
  <c r="U186" i="2262"/>
  <c r="U66" i="2262"/>
  <c r="U92" i="2262"/>
  <c r="U60" i="2262"/>
  <c r="U86" i="2262"/>
  <c r="U87" i="2262"/>
  <c r="U96" i="2262"/>
  <c r="U142" i="2262"/>
  <c r="U168" i="2262"/>
  <c r="U183" i="2262"/>
  <c r="U185" i="2262"/>
  <c r="U155" i="2262"/>
  <c r="U166" i="2262"/>
  <c r="U175" i="2262"/>
  <c r="U192" i="2262"/>
  <c r="AC318" i="2262"/>
  <c r="P318" i="2262"/>
  <c r="G320" i="2262"/>
  <c r="G321" i="2262" s="1"/>
  <c r="H321" i="2262" s="1"/>
  <c r="H319" i="2262"/>
  <c r="O319" i="2262" s="1"/>
  <c r="D9" i="2273"/>
  <c r="AM45" i="2262"/>
  <c r="V66" i="2262" l="1"/>
  <c r="V172" i="2262"/>
  <c r="V146" i="2262"/>
  <c r="V153" i="2262"/>
  <c r="V191" i="2262"/>
  <c r="V128" i="2262"/>
  <c r="V192" i="2262"/>
  <c r="V166" i="2262"/>
  <c r="V185" i="2262"/>
  <c r="V168" i="2262"/>
  <c r="V96" i="2262"/>
  <c r="V86" i="2262"/>
  <c r="V92" i="2262"/>
  <c r="V186" i="2262"/>
  <c r="V176" i="2262"/>
  <c r="V165" i="2262"/>
  <c r="V182" i="2262"/>
  <c r="V163" i="2262"/>
  <c r="V140" i="2262"/>
  <c r="V39" i="2262"/>
  <c r="V184" i="2262"/>
  <c r="V171" i="2262"/>
  <c r="V121" i="2262"/>
  <c r="V100" i="2262"/>
  <c r="V35" i="2262"/>
  <c r="V188" i="2262"/>
  <c r="V170" i="2262"/>
  <c r="V144" i="2262"/>
  <c r="V93" i="2262"/>
  <c r="V88" i="2262"/>
  <c r="V80" i="2262"/>
  <c r="V59" i="2262"/>
  <c r="V177" i="2262"/>
  <c r="V169" i="2262"/>
  <c r="V159" i="2262"/>
  <c r="V147" i="2262"/>
  <c r="V127" i="2262"/>
  <c r="V99" i="2262"/>
  <c r="V95" i="2262"/>
  <c r="V89" i="2262"/>
  <c r="V71" i="2262"/>
  <c r="V51" i="2262"/>
  <c r="V28" i="2262"/>
  <c r="V167" i="2262"/>
  <c r="V160" i="2262"/>
  <c r="V154" i="2262"/>
  <c r="V145" i="2262"/>
  <c r="V136" i="2262"/>
  <c r="V129" i="2262"/>
  <c r="V118" i="2262"/>
  <c r="V94" i="2262"/>
  <c r="V78" i="2262"/>
  <c r="V63" i="2262"/>
  <c r="V52" i="2262"/>
  <c r="V26" i="2262"/>
  <c r="V83" i="2262"/>
  <c r="V79" i="2262"/>
  <c r="V72" i="2262"/>
  <c r="V68" i="2262"/>
  <c r="V50" i="2262"/>
  <c r="V37" i="2262"/>
  <c r="V55" i="2262"/>
  <c r="V48" i="2262"/>
  <c r="V32" i="2262"/>
  <c r="V20" i="2262"/>
  <c r="V61" i="2262"/>
  <c r="V56" i="2262"/>
  <c r="V43" i="2262"/>
  <c r="V33" i="2262"/>
  <c r="V29" i="2262"/>
  <c r="V9" i="2262"/>
  <c r="V124" i="2262"/>
  <c r="V187" i="2262"/>
  <c r="V133" i="2262"/>
  <c r="V131" i="2262"/>
  <c r="V158" i="2262"/>
  <c r="V109" i="2262"/>
  <c r="O109" i="2262"/>
  <c r="V122" i="2262"/>
  <c r="V107" i="2262"/>
  <c r="O107" i="2262"/>
  <c r="V105" i="2262"/>
  <c r="O105" i="2262"/>
  <c r="V162" i="2262"/>
  <c r="V149" i="2262"/>
  <c r="V130" i="2262"/>
  <c r="V114" i="2262"/>
  <c r="O114" i="2262"/>
  <c r="V103" i="2262"/>
  <c r="O103" i="2262"/>
  <c r="V143" i="2262"/>
  <c r="V123" i="2262"/>
  <c r="V112" i="2262"/>
  <c r="O112" i="2262"/>
  <c r="V75" i="2262"/>
  <c r="V175" i="2262"/>
  <c r="V155" i="2262"/>
  <c r="V183" i="2262"/>
  <c r="V142" i="2262"/>
  <c r="V60" i="2262"/>
  <c r="V178" i="2262"/>
  <c r="V181" i="2262"/>
  <c r="V64" i="2262"/>
  <c r="V180" i="2262"/>
  <c r="V119" i="2262"/>
  <c r="V98" i="2262"/>
  <c r="V190" i="2262"/>
  <c r="V174" i="2262"/>
  <c r="V150" i="2262"/>
  <c r="V138" i="2262"/>
  <c r="V90" i="2262"/>
  <c r="V84" i="2262"/>
  <c r="V62" i="2262"/>
  <c r="V179" i="2262"/>
  <c r="V173" i="2262"/>
  <c r="V161" i="2262"/>
  <c r="O161" i="2262"/>
  <c r="V157" i="2262"/>
  <c r="V135" i="2262"/>
  <c r="V101" i="2262"/>
  <c r="V97" i="2262"/>
  <c r="V91" i="2262"/>
  <c r="V73" i="2262"/>
  <c r="V65" i="2262"/>
  <c r="V40" i="2262"/>
  <c r="V25" i="2262"/>
  <c r="V164" i="2262"/>
  <c r="V156" i="2262"/>
  <c r="V152" i="2262"/>
  <c r="V137" i="2262"/>
  <c r="V132" i="2262"/>
  <c r="V120" i="2262"/>
  <c r="V102" i="2262"/>
  <c r="V82" i="2262"/>
  <c r="V69" i="2262"/>
  <c r="V57" i="2262"/>
  <c r="V34" i="2262"/>
  <c r="V85" i="2262"/>
  <c r="V81" i="2262"/>
  <c r="V77" i="2262"/>
  <c r="V70" i="2262"/>
  <c r="V53" i="2262"/>
  <c r="V42" i="2262"/>
  <c r="V30" i="2262"/>
  <c r="V49" i="2262"/>
  <c r="V47" i="2262"/>
  <c r="V24" i="2262"/>
  <c r="V67" i="2262"/>
  <c r="V58" i="2262"/>
  <c r="V41" i="2262"/>
  <c r="V36" i="2262"/>
  <c r="V31" i="2262"/>
  <c r="V27" i="2262"/>
  <c r="V148" i="2262"/>
  <c r="V111" i="2262"/>
  <c r="O111" i="2262"/>
  <c r="V139" i="2262"/>
  <c r="V126" i="2262"/>
  <c r="V116" i="2262"/>
  <c r="O116" i="2262"/>
  <c r="V134" i="2262"/>
  <c r="V189" i="2262"/>
  <c r="V113" i="2262"/>
  <c r="O113" i="2262"/>
  <c r="V106" i="2262"/>
  <c r="O106" i="2262"/>
  <c r="V104" i="2262"/>
  <c r="O104" i="2262"/>
  <c r="V151" i="2262"/>
  <c r="V141" i="2262"/>
  <c r="V117" i="2262"/>
  <c r="O117" i="2262"/>
  <c r="V110" i="2262"/>
  <c r="O110" i="2262"/>
  <c r="V74" i="2262"/>
  <c r="V125" i="2262"/>
  <c r="V115" i="2262"/>
  <c r="O115" i="2262"/>
  <c r="V108" i="2262"/>
  <c r="O108" i="2262"/>
  <c r="AI318" i="2262"/>
  <c r="U44" i="2262"/>
  <c r="V38" i="2262"/>
  <c r="V87" i="2262"/>
  <c r="V45" i="2262" s="1"/>
  <c r="U45" i="2262"/>
  <c r="V54" i="2262"/>
  <c r="R15" i="2262"/>
  <c r="R27" i="2262"/>
  <c r="R31" i="2262"/>
  <c r="R38" i="2262"/>
  <c r="R42" i="2262"/>
  <c r="R56" i="2262"/>
  <c r="R64" i="2262"/>
  <c r="R96" i="2262"/>
  <c r="R99" i="2262"/>
  <c r="R102" i="2262"/>
  <c r="R106" i="2262"/>
  <c r="R110" i="2262"/>
  <c r="R7" i="2262"/>
  <c r="R10" i="2262"/>
  <c r="R18" i="2262"/>
  <c r="R21" i="2262"/>
  <c r="R35" i="2262"/>
  <c r="R48" i="2262"/>
  <c r="R59" i="2262"/>
  <c r="R67" i="2262"/>
  <c r="R70" i="2262"/>
  <c r="R73" i="2262"/>
  <c r="R76" i="2262"/>
  <c r="R79" i="2262"/>
  <c r="R82" i="2262"/>
  <c r="R87" i="2262"/>
  <c r="R89" i="2262"/>
  <c r="R13" i="2262"/>
  <c r="R24" i="2262"/>
  <c r="R28" i="2262"/>
  <c r="R39" i="2262"/>
  <c r="R43" i="2262"/>
  <c r="R46" i="2262"/>
  <c r="R51" i="2262"/>
  <c r="R54" i="2262"/>
  <c r="R62" i="2262"/>
  <c r="R85" i="2262"/>
  <c r="R94" i="2262"/>
  <c r="R97" i="2262"/>
  <c r="R103" i="2262"/>
  <c r="R107" i="2262"/>
  <c r="R111" i="2262"/>
  <c r="R120" i="2262"/>
  <c r="R16" i="2262"/>
  <c r="R32" i="2262"/>
  <c r="R36" i="2262"/>
  <c r="R57" i="2262"/>
  <c r="R65" i="2262"/>
  <c r="R68" i="2262"/>
  <c r="R74" i="2262"/>
  <c r="R77" i="2262"/>
  <c r="R92" i="2262"/>
  <c r="R100" i="2262"/>
  <c r="R8" i="2262"/>
  <c r="R11" i="2262"/>
  <c r="R19" i="2262"/>
  <c r="R22" i="2262"/>
  <c r="R25" i="2262"/>
  <c r="R29" i="2262"/>
  <c r="R40" i="2262"/>
  <c r="R49" i="2262"/>
  <c r="R60" i="2262"/>
  <c r="R71" i="2262"/>
  <c r="R80" i="2262"/>
  <c r="R83" i="2262"/>
  <c r="R90" i="2262"/>
  <c r="R104" i="2262"/>
  <c r="R14" i="2262"/>
  <c r="R33" i="2262"/>
  <c r="R52" i="2262"/>
  <c r="R55" i="2262"/>
  <c r="R63" i="2262"/>
  <c r="R86" i="2262"/>
  <c r="R88" i="2262"/>
  <c r="R95" i="2262"/>
  <c r="R98" i="2262"/>
  <c r="R17" i="2262"/>
  <c r="R26" i="2262"/>
  <c r="R30" i="2262"/>
  <c r="R37" i="2262"/>
  <c r="R41" i="2262"/>
  <c r="R47" i="2262"/>
  <c r="R58" i="2262"/>
  <c r="R66" i="2262"/>
  <c r="R69" i="2262"/>
  <c r="R72" i="2262"/>
  <c r="R75" i="2262"/>
  <c r="R78" i="2262"/>
  <c r="R101" i="2262"/>
  <c r="R105" i="2262"/>
  <c r="R109" i="2262"/>
  <c r="R9" i="2262"/>
  <c r="R12" i="2262"/>
  <c r="R20" i="2262"/>
  <c r="R23" i="2262"/>
  <c r="R34" i="2262"/>
  <c r="R50" i="2262"/>
  <c r="R53" i="2262"/>
  <c r="R61" i="2262"/>
  <c r="R81" i="2262"/>
  <c r="R84" i="2262"/>
  <c r="R91" i="2262"/>
  <c r="R93" i="2262"/>
  <c r="R114" i="2262"/>
  <c r="R123" i="2262"/>
  <c r="R126" i="2262"/>
  <c r="R135" i="2262"/>
  <c r="R138" i="2262"/>
  <c r="R141" i="2262"/>
  <c r="R155" i="2262"/>
  <c r="R166" i="2262"/>
  <c r="R168" i="2262"/>
  <c r="R180" i="2262"/>
  <c r="R182" i="2262"/>
  <c r="R108" i="2262"/>
  <c r="R129" i="2262"/>
  <c r="R132" i="2262"/>
  <c r="R144" i="2262"/>
  <c r="R150" i="2262"/>
  <c r="R164" i="2262"/>
  <c r="R171" i="2262"/>
  <c r="R187" i="2262"/>
  <c r="R193" i="2262"/>
  <c r="R197" i="2262"/>
  <c r="R201" i="2262"/>
  <c r="R205" i="2262"/>
  <c r="R209" i="2262"/>
  <c r="R213" i="2262"/>
  <c r="R217" i="2262"/>
  <c r="R112" i="2262"/>
  <c r="R117" i="2262"/>
  <c r="R121" i="2262"/>
  <c r="R147" i="2262"/>
  <c r="R153" i="2262"/>
  <c r="R158" i="2262"/>
  <c r="R161" i="2262"/>
  <c r="R174" i="2262"/>
  <c r="R176" i="2262"/>
  <c r="R178" i="2262"/>
  <c r="R185" i="2262"/>
  <c r="R191" i="2262"/>
  <c r="R115" i="2262"/>
  <c r="R124" i="2262"/>
  <c r="R127" i="2262"/>
  <c r="R136" i="2262"/>
  <c r="R139" i="2262"/>
  <c r="R142" i="2262"/>
  <c r="R156" i="2262"/>
  <c r="R162" i="2262"/>
  <c r="R169" i="2262"/>
  <c r="R188" i="2262"/>
  <c r="R196" i="2262"/>
  <c r="R200" i="2262"/>
  <c r="R204" i="2262"/>
  <c r="R208" i="2262"/>
  <c r="R212" i="2262"/>
  <c r="R216" i="2262"/>
  <c r="R118" i="2262"/>
  <c r="R130" i="2262"/>
  <c r="R133" i="2262"/>
  <c r="R145" i="2262"/>
  <c r="R151" i="2262"/>
  <c r="R159" i="2262"/>
  <c r="R165" i="2262"/>
  <c r="R167" i="2262"/>
  <c r="R172" i="2262"/>
  <c r="R181" i="2262"/>
  <c r="R183" i="2262"/>
  <c r="R192" i="2262"/>
  <c r="R113" i="2262"/>
  <c r="R122" i="2262"/>
  <c r="R125" i="2262"/>
  <c r="R140" i="2262"/>
  <c r="R148" i="2262"/>
  <c r="R154" i="2262"/>
  <c r="R179" i="2262"/>
  <c r="R189" i="2262"/>
  <c r="R195" i="2262"/>
  <c r="R199" i="2262"/>
  <c r="R203" i="2262"/>
  <c r="R207" i="2262"/>
  <c r="R211" i="2262"/>
  <c r="R215" i="2262"/>
  <c r="R119" i="2262"/>
  <c r="R128" i="2262"/>
  <c r="R131" i="2262"/>
  <c r="R134" i="2262"/>
  <c r="R137" i="2262"/>
  <c r="R143" i="2262"/>
  <c r="R157" i="2262"/>
  <c r="R163" i="2262"/>
  <c r="R170" i="2262"/>
  <c r="R175" i="2262"/>
  <c r="R177" i="2262"/>
  <c r="R186" i="2262"/>
  <c r="R116" i="2262"/>
  <c r="R146" i="2262"/>
  <c r="R149" i="2262"/>
  <c r="R152" i="2262"/>
  <c r="R160" i="2262"/>
  <c r="R173" i="2262"/>
  <c r="R184" i="2262"/>
  <c r="R190" i="2262"/>
  <c r="R194" i="2262"/>
  <c r="R198" i="2262"/>
  <c r="R202" i="2262"/>
  <c r="R206" i="2262"/>
  <c r="R210" i="2262"/>
  <c r="R214" i="2262"/>
  <c r="R218" i="2262"/>
  <c r="R219" i="2262"/>
  <c r="R223" i="2262"/>
  <c r="R227" i="2262"/>
  <c r="R231" i="2262"/>
  <c r="R235" i="2262"/>
  <c r="R239" i="2262"/>
  <c r="R243" i="2262"/>
  <c r="R247" i="2262"/>
  <c r="R251" i="2262"/>
  <c r="R255" i="2262"/>
  <c r="R259" i="2262"/>
  <c r="R263" i="2262"/>
  <c r="R267" i="2262"/>
  <c r="R271" i="2262"/>
  <c r="R275" i="2262"/>
  <c r="R279" i="2262"/>
  <c r="R283" i="2262"/>
  <c r="R222" i="2262"/>
  <c r="R226" i="2262"/>
  <c r="R230" i="2262"/>
  <c r="R234" i="2262"/>
  <c r="R238" i="2262"/>
  <c r="R242" i="2262"/>
  <c r="R246" i="2262"/>
  <c r="R250" i="2262"/>
  <c r="R254" i="2262"/>
  <c r="R258" i="2262"/>
  <c r="R262" i="2262"/>
  <c r="R266" i="2262"/>
  <c r="R270" i="2262"/>
  <c r="R274" i="2262"/>
  <c r="R278" i="2262"/>
  <c r="R282" i="2262"/>
  <c r="R286" i="2262"/>
  <c r="R290" i="2262"/>
  <c r="R221" i="2262"/>
  <c r="R225" i="2262"/>
  <c r="R229" i="2262"/>
  <c r="R233" i="2262"/>
  <c r="R237" i="2262"/>
  <c r="R241" i="2262"/>
  <c r="R245" i="2262"/>
  <c r="R249" i="2262"/>
  <c r="R253" i="2262"/>
  <c r="R257" i="2262"/>
  <c r="R261" i="2262"/>
  <c r="R265" i="2262"/>
  <c r="R269" i="2262"/>
  <c r="R273" i="2262"/>
  <c r="R277" i="2262"/>
  <c r="R281" i="2262"/>
  <c r="R285" i="2262"/>
  <c r="R220" i="2262"/>
  <c r="R224" i="2262"/>
  <c r="R228" i="2262"/>
  <c r="R232" i="2262"/>
  <c r="R236" i="2262"/>
  <c r="R240" i="2262"/>
  <c r="R244" i="2262"/>
  <c r="R248" i="2262"/>
  <c r="R252" i="2262"/>
  <c r="R256" i="2262"/>
  <c r="R260" i="2262"/>
  <c r="R264" i="2262"/>
  <c r="R268" i="2262"/>
  <c r="R272" i="2262"/>
  <c r="R276" i="2262"/>
  <c r="R280" i="2262"/>
  <c r="R284" i="2262"/>
  <c r="R288" i="2262"/>
  <c r="R293" i="2262"/>
  <c r="R297" i="2262"/>
  <c r="R292" i="2262"/>
  <c r="R296" i="2262"/>
  <c r="R300" i="2262"/>
  <c r="R295" i="2262"/>
  <c r="R299" i="2262"/>
  <c r="R287" i="2262"/>
  <c r="R289" i="2262"/>
  <c r="R291" i="2262"/>
  <c r="R294" i="2262"/>
  <c r="R298" i="2262"/>
  <c r="R301" i="2262"/>
  <c r="O321" i="2262"/>
  <c r="H320" i="2262"/>
  <c r="O320" i="2262" s="1"/>
  <c r="P319" i="2262"/>
  <c r="AC319" i="2262"/>
  <c r="AI115" i="2262" l="1"/>
  <c r="AL115" i="2262" s="1"/>
  <c r="AI112" i="2262"/>
  <c r="AL112" i="2262" s="1"/>
  <c r="AI161" i="2262"/>
  <c r="AL161" i="2262" s="1"/>
  <c r="AI113" i="2262"/>
  <c r="AL113" i="2262" s="1"/>
  <c r="AI111" i="2262"/>
  <c r="AL111" i="2262" s="1"/>
  <c r="AI105" i="2262"/>
  <c r="AL105" i="2262" s="1"/>
  <c r="AI116" i="2262"/>
  <c r="AL116" i="2262" s="1"/>
  <c r="AI114" i="2262"/>
  <c r="AL114" i="2262" s="1"/>
  <c r="AI103" i="2262"/>
  <c r="AL103" i="2262" s="1"/>
  <c r="AI110" i="2262"/>
  <c r="AL110" i="2262" s="1"/>
  <c r="AI109" i="2262"/>
  <c r="AL109" i="2262" s="1"/>
  <c r="AI107" i="2262"/>
  <c r="AL107" i="2262" s="1"/>
  <c r="AI117" i="2262"/>
  <c r="AL117" i="2262" s="1"/>
  <c r="AI108" i="2262"/>
  <c r="AL108" i="2262" s="1"/>
  <c r="AI104" i="2262"/>
  <c r="AL104" i="2262" s="1"/>
  <c r="AI106" i="2262"/>
  <c r="AL106" i="2262" s="1"/>
  <c r="AI319" i="2262"/>
  <c r="V44" i="2262"/>
  <c r="AC321" i="2262"/>
  <c r="P321" i="2262"/>
  <c r="R44" i="2262"/>
  <c r="R45" i="2262"/>
  <c r="P320" i="2262"/>
  <c r="AC320" i="2262"/>
  <c r="AI321" i="2262" l="1"/>
  <c r="AI320" i="2262"/>
  <c r="C11" i="2273"/>
  <c r="U198" i="2262" l="1"/>
  <c r="U202" i="2262"/>
  <c r="U206" i="2262"/>
  <c r="U211" i="2262"/>
  <c r="U212" i="2262"/>
  <c r="U213" i="2262"/>
  <c r="U218" i="2262"/>
  <c r="U231" i="2262"/>
  <c r="U232" i="2262"/>
  <c r="U233" i="2262"/>
  <c r="U234" i="2262"/>
  <c r="U235" i="2262"/>
  <c r="U243" i="2262"/>
  <c r="U244" i="2262"/>
  <c r="U248" i="2262"/>
  <c r="U249" i="2262"/>
  <c r="U250" i="2262"/>
  <c r="U255" i="2262"/>
  <c r="U259" i="2262"/>
  <c r="U260" i="2262"/>
  <c r="U264" i="2262"/>
  <c r="U265" i="2262"/>
  <c r="U266" i="2262"/>
  <c r="U272" i="2262"/>
  <c r="U277" i="2262"/>
  <c r="U278" i="2262"/>
  <c r="U279" i="2262"/>
  <c r="U280" i="2262"/>
  <c r="U281" i="2262"/>
  <c r="U282" i="2262"/>
  <c r="U286" i="2262"/>
  <c r="U290" i="2262"/>
  <c r="U299" i="2262"/>
  <c r="U300" i="2262"/>
  <c r="U194" i="2262"/>
  <c r="U195" i="2262"/>
  <c r="U196" i="2262"/>
  <c r="U197" i="2262"/>
  <c r="U201" i="2262"/>
  <c r="U205" i="2262"/>
  <c r="U216" i="2262"/>
  <c r="U217" i="2262"/>
  <c r="U221" i="2262"/>
  <c r="U222" i="2262"/>
  <c r="U223" i="2262"/>
  <c r="U224" i="2262"/>
  <c r="U225" i="2262"/>
  <c r="U226" i="2262"/>
  <c r="U227" i="2262"/>
  <c r="U228" i="2262"/>
  <c r="U229" i="2262"/>
  <c r="U240" i="2262"/>
  <c r="U241" i="2262"/>
  <c r="U242" i="2262"/>
  <c r="U247" i="2262"/>
  <c r="U254" i="2262"/>
  <c r="U258" i="2262"/>
  <c r="U263" i="2262"/>
  <c r="U271" i="2262"/>
  <c r="U276" i="2262"/>
  <c r="U285" i="2262"/>
  <c r="U289" i="2262"/>
  <c r="U293" i="2262"/>
  <c r="U294" i="2262"/>
  <c r="U296" i="2262"/>
  <c r="U298" i="2262"/>
  <c r="U193" i="2262"/>
  <c r="U210" i="2262"/>
  <c r="U215" i="2262"/>
  <c r="U253" i="2262"/>
  <c r="U257" i="2262"/>
  <c r="U268" i="2262"/>
  <c r="U273" i="2262"/>
  <c r="U284" i="2262"/>
  <c r="U291" i="2262"/>
  <c r="U209" i="2262"/>
  <c r="U256" i="2262"/>
  <c r="U283" i="2262"/>
  <c r="U287" i="2262"/>
  <c r="U295" i="2262"/>
  <c r="U200" i="2262"/>
  <c r="U204" i="2262"/>
  <c r="U230" i="2262"/>
  <c r="U251" i="2262"/>
  <c r="U262" i="2262"/>
  <c r="U269" i="2262"/>
  <c r="U292" i="2262"/>
  <c r="U199" i="2262"/>
  <c r="U203" i="2262"/>
  <c r="U207" i="2262"/>
  <c r="U219" i="2262"/>
  <c r="U236" i="2262"/>
  <c r="U239" i="2262"/>
  <c r="O239" i="2262" s="1"/>
  <c r="U246" i="2262"/>
  <c r="U261" i="2262"/>
  <c r="U275" i="2262"/>
  <c r="U288" i="2262"/>
  <c r="U297" i="2262"/>
  <c r="U301" i="2262"/>
  <c r="U214" i="2262"/>
  <c r="U238" i="2262"/>
  <c r="U252" i="2262"/>
  <c r="U267" i="2262"/>
  <c r="U270" i="2262"/>
  <c r="U208" i="2262"/>
  <c r="U220" i="2262"/>
  <c r="U237" i="2262"/>
  <c r="U245" i="2262"/>
  <c r="U274" i="2262"/>
  <c r="V252" i="2262" l="1"/>
  <c r="O252" i="2262"/>
  <c r="V207" i="2262"/>
  <c r="O207" i="2262"/>
  <c r="V253" i="2262"/>
  <c r="O253" i="2262"/>
  <c r="V263" i="2262"/>
  <c r="O263" i="2262"/>
  <c r="V224" i="2262"/>
  <c r="O224" i="2262"/>
  <c r="V300" i="2262"/>
  <c r="O300" i="2262"/>
  <c r="V265" i="2262"/>
  <c r="O265" i="2262"/>
  <c r="V244" i="2262"/>
  <c r="O244" i="2262"/>
  <c r="V233" i="2262"/>
  <c r="O233" i="2262"/>
  <c r="V274" i="2262"/>
  <c r="O274" i="2262"/>
  <c r="V238" i="2262"/>
  <c r="O238" i="2262"/>
  <c r="V245" i="2262"/>
  <c r="O245" i="2262"/>
  <c r="V214" i="2262"/>
  <c r="O214" i="2262"/>
  <c r="V237" i="2262"/>
  <c r="O237" i="2262"/>
  <c r="V267" i="2262"/>
  <c r="O267" i="2262"/>
  <c r="V301" i="2262"/>
  <c r="O301" i="2262"/>
  <c r="V261" i="2262"/>
  <c r="O261" i="2262"/>
  <c r="V219" i="2262"/>
  <c r="O219" i="2262"/>
  <c r="V292" i="2262"/>
  <c r="O292" i="2262"/>
  <c r="V230" i="2262"/>
  <c r="O230" i="2262"/>
  <c r="V287" i="2262"/>
  <c r="O287" i="2262"/>
  <c r="V291" i="2262"/>
  <c r="O291" i="2262"/>
  <c r="V257" i="2262"/>
  <c r="O257" i="2262"/>
  <c r="V193" i="2262"/>
  <c r="O193" i="2262"/>
  <c r="V293" i="2262"/>
  <c r="O293" i="2262"/>
  <c r="V271" i="2262"/>
  <c r="O271" i="2262"/>
  <c r="V247" i="2262"/>
  <c r="O247" i="2262"/>
  <c r="V229" i="2262"/>
  <c r="O229" i="2262"/>
  <c r="V225" i="2262"/>
  <c r="O225" i="2262"/>
  <c r="V221" i="2262"/>
  <c r="O221" i="2262"/>
  <c r="V201" i="2262"/>
  <c r="O201" i="2262"/>
  <c r="V194" i="2262"/>
  <c r="O194" i="2262"/>
  <c r="V286" i="2262"/>
  <c r="O286" i="2262"/>
  <c r="V279" i="2262"/>
  <c r="O279" i="2262"/>
  <c r="V266" i="2262"/>
  <c r="O266" i="2262"/>
  <c r="V259" i="2262"/>
  <c r="O259" i="2262"/>
  <c r="V248" i="2262"/>
  <c r="O248" i="2262"/>
  <c r="V234" i="2262"/>
  <c r="O234" i="2262"/>
  <c r="V218" i="2262"/>
  <c r="O218" i="2262"/>
  <c r="V206" i="2262"/>
  <c r="O206" i="2262"/>
  <c r="V297" i="2262"/>
  <c r="O297" i="2262"/>
  <c r="V269" i="2262"/>
  <c r="O269" i="2262"/>
  <c r="V283" i="2262"/>
  <c r="O283" i="2262"/>
  <c r="V289" i="2262"/>
  <c r="O289" i="2262"/>
  <c r="V228" i="2262"/>
  <c r="O228" i="2262"/>
  <c r="V197" i="2262"/>
  <c r="O197" i="2262"/>
  <c r="V282" i="2262"/>
  <c r="O282" i="2262"/>
  <c r="V255" i="2262"/>
  <c r="O255" i="2262"/>
  <c r="V202" i="2262"/>
  <c r="O202" i="2262"/>
  <c r="V208" i="2262"/>
  <c r="O208" i="2262"/>
  <c r="V203" i="2262"/>
  <c r="O203" i="2262"/>
  <c r="V262" i="2262"/>
  <c r="O262" i="2262"/>
  <c r="V200" i="2262"/>
  <c r="O200" i="2262"/>
  <c r="V256" i="2262"/>
  <c r="O256" i="2262"/>
  <c r="V273" i="2262"/>
  <c r="O273" i="2262"/>
  <c r="V215" i="2262"/>
  <c r="O215" i="2262"/>
  <c r="V296" i="2262"/>
  <c r="O296" i="2262"/>
  <c r="V285" i="2262"/>
  <c r="O285" i="2262"/>
  <c r="V258" i="2262"/>
  <c r="O258" i="2262"/>
  <c r="V241" i="2262"/>
  <c r="O241" i="2262"/>
  <c r="V227" i="2262"/>
  <c r="O227" i="2262"/>
  <c r="V223" i="2262"/>
  <c r="O223" i="2262"/>
  <c r="V216" i="2262"/>
  <c r="O216" i="2262"/>
  <c r="V196" i="2262"/>
  <c r="O196" i="2262"/>
  <c r="V299" i="2262"/>
  <c r="O299" i="2262"/>
  <c r="V281" i="2262"/>
  <c r="O281" i="2262"/>
  <c r="V277" i="2262"/>
  <c r="O277" i="2262"/>
  <c r="V264" i="2262"/>
  <c r="O264" i="2262"/>
  <c r="V250" i="2262"/>
  <c r="O250" i="2262"/>
  <c r="V243" i="2262"/>
  <c r="O243" i="2262"/>
  <c r="V232" i="2262"/>
  <c r="O232" i="2262"/>
  <c r="V212" i="2262"/>
  <c r="O212" i="2262"/>
  <c r="V198" i="2262"/>
  <c r="O198" i="2262"/>
  <c r="V220" i="2262"/>
  <c r="O220" i="2262"/>
  <c r="V246" i="2262"/>
  <c r="O246" i="2262"/>
  <c r="V204" i="2262"/>
  <c r="O204" i="2262"/>
  <c r="V284" i="2262"/>
  <c r="O284" i="2262"/>
  <c r="V298" i="2262"/>
  <c r="O298" i="2262"/>
  <c r="V242" i="2262"/>
  <c r="O242" i="2262"/>
  <c r="V217" i="2262"/>
  <c r="O217" i="2262"/>
  <c r="V278" i="2262"/>
  <c r="O278" i="2262"/>
  <c r="V213" i="2262"/>
  <c r="O213" i="2262"/>
  <c r="V288" i="2262"/>
  <c r="O288" i="2262"/>
  <c r="V270" i="2262"/>
  <c r="O270" i="2262"/>
  <c r="V275" i="2262"/>
  <c r="O275" i="2262"/>
  <c r="V236" i="2262"/>
  <c r="O236" i="2262"/>
  <c r="V199" i="2262"/>
  <c r="O199" i="2262"/>
  <c r="V251" i="2262"/>
  <c r="O251" i="2262"/>
  <c r="V295" i="2262"/>
  <c r="O295" i="2262"/>
  <c r="V209" i="2262"/>
  <c r="O209" i="2262"/>
  <c r="V268" i="2262"/>
  <c r="O268" i="2262"/>
  <c r="V210" i="2262"/>
  <c r="O210" i="2262"/>
  <c r="V294" i="2262"/>
  <c r="O294" i="2262"/>
  <c r="V276" i="2262"/>
  <c r="O276" i="2262"/>
  <c r="V254" i="2262"/>
  <c r="O254" i="2262"/>
  <c r="V240" i="2262"/>
  <c r="O240" i="2262"/>
  <c r="V226" i="2262"/>
  <c r="O226" i="2262"/>
  <c r="V222" i="2262"/>
  <c r="O222" i="2262"/>
  <c r="V205" i="2262"/>
  <c r="O205" i="2262"/>
  <c r="V195" i="2262"/>
  <c r="O195" i="2262"/>
  <c r="V290" i="2262"/>
  <c r="O290" i="2262"/>
  <c r="V280" i="2262"/>
  <c r="O280" i="2262"/>
  <c r="V272" i="2262"/>
  <c r="O272" i="2262"/>
  <c r="V260" i="2262"/>
  <c r="O260" i="2262"/>
  <c r="V249" i="2262"/>
  <c r="O249" i="2262"/>
  <c r="V235" i="2262"/>
  <c r="O235" i="2262"/>
  <c r="V231" i="2262"/>
  <c r="O231" i="2262"/>
  <c r="V211" i="2262"/>
  <c r="O211" i="2262"/>
  <c r="V239" i="2262"/>
  <c r="AI239" i="2262" s="1"/>
  <c r="U46" i="2262"/>
  <c r="AI211" i="2262" l="1"/>
  <c r="AI235" i="2262"/>
  <c r="AI260" i="2262"/>
  <c r="AI280" i="2262"/>
  <c r="AI195" i="2262"/>
  <c r="AI222" i="2262"/>
  <c r="AI240" i="2262"/>
  <c r="AI276" i="2262"/>
  <c r="AI210" i="2262"/>
  <c r="AI209" i="2262"/>
  <c r="AI251" i="2262"/>
  <c r="AI236" i="2262"/>
  <c r="AI270" i="2262"/>
  <c r="AI213" i="2262"/>
  <c r="AI217" i="2262"/>
  <c r="AI298" i="2262"/>
  <c r="AI204" i="2262"/>
  <c r="AI220" i="2262"/>
  <c r="AI212" i="2262"/>
  <c r="AI243" i="2262"/>
  <c r="AI264" i="2262"/>
  <c r="AI281" i="2262"/>
  <c r="AI196" i="2262"/>
  <c r="AI223" i="2262"/>
  <c r="AI241" i="2262"/>
  <c r="AI285" i="2262"/>
  <c r="AI215" i="2262"/>
  <c r="AI256" i="2262"/>
  <c r="AI262" i="2262"/>
  <c r="AI208" i="2262"/>
  <c r="AI255" i="2262"/>
  <c r="AI197" i="2262"/>
  <c r="AI289" i="2262"/>
  <c r="AI269" i="2262"/>
  <c r="AI206" i="2262"/>
  <c r="AI234" i="2262"/>
  <c r="AI259" i="2262"/>
  <c r="AI279" i="2262"/>
  <c r="AI194" i="2262"/>
  <c r="AI221" i="2262"/>
  <c r="AI229" i="2262"/>
  <c r="AI271" i="2262"/>
  <c r="AI193" i="2262"/>
  <c r="AI291" i="2262"/>
  <c r="AI230" i="2262"/>
  <c r="AI219" i="2262"/>
  <c r="AI301" i="2262"/>
  <c r="AI237" i="2262"/>
  <c r="AI245" i="2262"/>
  <c r="AI274" i="2262"/>
  <c r="AI244" i="2262"/>
  <c r="AI300" i="2262"/>
  <c r="AI263" i="2262"/>
  <c r="AI207" i="2262"/>
  <c r="V46" i="2262"/>
  <c r="AI231" i="2262"/>
  <c r="AI249" i="2262"/>
  <c r="AI272" i="2262"/>
  <c r="AI290" i="2262"/>
  <c r="AI205" i="2262"/>
  <c r="AI226" i="2262"/>
  <c r="AI254" i="2262"/>
  <c r="AI294" i="2262"/>
  <c r="AI268" i="2262"/>
  <c r="AI295" i="2262"/>
  <c r="AI199" i="2262"/>
  <c r="AI275" i="2262"/>
  <c r="AI288" i="2262"/>
  <c r="AI278" i="2262"/>
  <c r="AI242" i="2262"/>
  <c r="AI284" i="2262"/>
  <c r="AI246" i="2262"/>
  <c r="AI198" i="2262"/>
  <c r="AI232" i="2262"/>
  <c r="AI250" i="2262"/>
  <c r="AI277" i="2262"/>
  <c r="AI299" i="2262"/>
  <c r="AI216" i="2262"/>
  <c r="AI227" i="2262"/>
  <c r="AI258" i="2262"/>
  <c r="AI296" i="2262"/>
  <c r="AI273" i="2262"/>
  <c r="AI200" i="2262"/>
  <c r="AI203" i="2262"/>
  <c r="AI202" i="2262"/>
  <c r="AI282" i="2262"/>
  <c r="AI228" i="2262"/>
  <c r="AI283" i="2262"/>
  <c r="AI297" i="2262"/>
  <c r="AI218" i="2262"/>
  <c r="AI248" i="2262"/>
  <c r="AI266" i="2262"/>
  <c r="AI286" i="2262"/>
  <c r="AI201" i="2262"/>
  <c r="AI225" i="2262"/>
  <c r="AI247" i="2262"/>
  <c r="AI293" i="2262"/>
  <c r="AI257" i="2262"/>
  <c r="AI287" i="2262"/>
  <c r="AI292" i="2262"/>
  <c r="AI261" i="2262"/>
  <c r="AI267" i="2262"/>
  <c r="AI214" i="2262"/>
  <c r="AI238" i="2262"/>
  <c r="AI233" i="2262"/>
  <c r="AI265" i="2262"/>
  <c r="AI224" i="2262"/>
  <c r="AI253" i="2262"/>
  <c r="AI252" i="2262"/>
  <c r="K6" i="2273"/>
  <c r="N6" i="2273"/>
  <c r="N5" i="2273"/>
  <c r="N4" i="2273"/>
  <c r="N3" i="2273"/>
  <c r="N2" i="2273"/>
  <c r="K5" i="2273"/>
  <c r="K4" i="2273"/>
  <c r="K3" i="2273"/>
  <c r="K2" i="2273"/>
  <c r="T324" i="2262" l="1"/>
  <c r="T327" i="2262"/>
  <c r="T302" i="2262"/>
  <c r="T322" i="2262"/>
  <c r="T325" i="2262"/>
  <c r="T323" i="2262"/>
  <c r="T326" i="2262"/>
  <c r="T130" i="2262"/>
  <c r="O130" i="2262" s="1"/>
  <c r="T159" i="2262"/>
  <c r="O159" i="2262" s="1"/>
  <c r="T162" i="2262"/>
  <c r="O162" i="2262" s="1"/>
  <c r="T84" i="2262"/>
  <c r="O84" i="2262" s="1"/>
  <c r="T85" i="2262"/>
  <c r="O85" i="2262" s="1"/>
  <c r="T124" i="2262"/>
  <c r="O124" i="2262" s="1"/>
  <c r="T126" i="2262"/>
  <c r="O126" i="2262" s="1"/>
  <c r="T128" i="2262"/>
  <c r="O128" i="2262" s="1"/>
  <c r="T133" i="2262"/>
  <c r="O133" i="2262" s="1"/>
  <c r="T153" i="2262"/>
  <c r="O153" i="2262" s="1"/>
  <c r="T163" i="2262"/>
  <c r="O163" i="2262" s="1"/>
  <c r="T129" i="2262"/>
  <c r="O129" i="2262" s="1"/>
  <c r="T134" i="2262"/>
  <c r="O134" i="2262" s="1"/>
  <c r="T154" i="2262"/>
  <c r="O154" i="2262" s="1"/>
  <c r="T164" i="2262"/>
  <c r="O164" i="2262" s="1"/>
  <c r="T125" i="2262"/>
  <c r="O125" i="2262" s="1"/>
  <c r="T47" i="2262"/>
  <c r="O47" i="2262" s="1"/>
  <c r="T49" i="2262"/>
  <c r="O49" i="2262" s="1"/>
  <c r="T63" i="2262"/>
  <c r="O63" i="2262" s="1"/>
  <c r="T65" i="2262"/>
  <c r="O65" i="2262" s="1"/>
  <c r="T42" i="2262"/>
  <c r="O42" i="2262" s="1"/>
  <c r="T50" i="2262"/>
  <c r="O50" i="2262" s="1"/>
  <c r="T58" i="2262"/>
  <c r="O58" i="2262" s="1"/>
  <c r="T68" i="2262"/>
  <c r="O68" i="2262" s="1"/>
  <c r="T70" i="2262"/>
  <c r="O70" i="2262" s="1"/>
  <c r="T72" i="2262"/>
  <c r="O72" i="2262" s="1"/>
  <c r="T75" i="2262"/>
  <c r="O75" i="2262" s="1"/>
  <c r="T77" i="2262"/>
  <c r="O77" i="2262" s="1"/>
  <c r="T79" i="2262"/>
  <c r="O79" i="2262" s="1"/>
  <c r="T43" i="2262"/>
  <c r="O43" i="2262" s="1"/>
  <c r="T56" i="2262"/>
  <c r="O56" i="2262" s="1"/>
  <c r="T59" i="2262"/>
  <c r="O59" i="2262" s="1"/>
  <c r="T61" i="2262"/>
  <c r="O61" i="2262" s="1"/>
  <c r="T62" i="2262"/>
  <c r="O62" i="2262" s="1"/>
  <c r="T64" i="2262"/>
  <c r="O64" i="2262" s="1"/>
  <c r="T74" i="2262"/>
  <c r="O74" i="2262" s="1"/>
  <c r="T67" i="2262"/>
  <c r="O67" i="2262" s="1"/>
  <c r="T76" i="2262"/>
  <c r="O76" i="2262" s="1"/>
  <c r="T89" i="2262"/>
  <c r="O89" i="2262" s="1"/>
  <c r="T91" i="2262"/>
  <c r="O91" i="2262" s="1"/>
  <c r="T95" i="2262"/>
  <c r="O95" i="2262" s="1"/>
  <c r="T97" i="2262"/>
  <c r="O97" i="2262" s="1"/>
  <c r="T99" i="2262"/>
  <c r="O99" i="2262" s="1"/>
  <c r="T101" i="2262"/>
  <c r="O101" i="2262" s="1"/>
  <c r="T127" i="2262"/>
  <c r="O127" i="2262" s="1"/>
  <c r="T135" i="2262"/>
  <c r="O135" i="2262" s="1"/>
  <c r="T141" i="2262"/>
  <c r="O141" i="2262" s="1"/>
  <c r="T147" i="2262"/>
  <c r="O147" i="2262" s="1"/>
  <c r="T149" i="2262"/>
  <c r="O149" i="2262" s="1"/>
  <c r="T151" i="2262"/>
  <c r="O151" i="2262" s="1"/>
  <c r="T157" i="2262"/>
  <c r="O157" i="2262" s="1"/>
  <c r="T48" i="2262"/>
  <c r="O48" i="2262" s="1"/>
  <c r="T55" i="2262"/>
  <c r="O55" i="2262" s="1"/>
  <c r="T66" i="2262"/>
  <c r="O66" i="2262" s="1"/>
  <c r="T83" i="2262"/>
  <c r="O83" i="2262" s="1"/>
  <c r="T86" i="2262"/>
  <c r="O86" i="2262" s="1"/>
  <c r="T88" i="2262"/>
  <c r="O88" i="2262" s="1"/>
  <c r="T93" i="2262"/>
  <c r="O93" i="2262" s="1"/>
  <c r="T98" i="2262"/>
  <c r="O98" i="2262" s="1"/>
  <c r="T119" i="2262"/>
  <c r="O119" i="2262" s="1"/>
  <c r="T131" i="2262"/>
  <c r="O131" i="2262" s="1"/>
  <c r="T138" i="2262"/>
  <c r="O138" i="2262" s="1"/>
  <c r="T140" i="2262"/>
  <c r="O140" i="2262" s="1"/>
  <c r="T144" i="2262"/>
  <c r="O144" i="2262" s="1"/>
  <c r="T54" i="2262"/>
  <c r="O54" i="2262" s="1"/>
  <c r="T94" i="2262"/>
  <c r="O94" i="2262" s="1"/>
  <c r="T100" i="2262"/>
  <c r="O100" i="2262" s="1"/>
  <c r="T121" i="2262"/>
  <c r="O121" i="2262" s="1"/>
  <c r="T137" i="2262"/>
  <c r="O137" i="2262" s="1"/>
  <c r="T78" i="2262"/>
  <c r="O78" i="2262" s="1"/>
  <c r="T82" i="2262"/>
  <c r="O82" i="2262" s="1"/>
  <c r="T120" i="2262"/>
  <c r="O120" i="2262" s="1"/>
  <c r="T136" i="2262"/>
  <c r="O136" i="2262" s="1"/>
  <c r="T142" i="2262"/>
  <c r="O142" i="2262" s="1"/>
  <c r="T143" i="2262"/>
  <c r="O143" i="2262" s="1"/>
  <c r="T148" i="2262"/>
  <c r="O148" i="2262" s="1"/>
  <c r="T156" i="2262"/>
  <c r="O156" i="2262" s="1"/>
  <c r="T57" i="2262"/>
  <c r="O57" i="2262" s="1"/>
  <c r="T80" i="2262"/>
  <c r="O80" i="2262" s="1"/>
  <c r="T87" i="2262"/>
  <c r="O87" i="2262" s="1"/>
  <c r="T96" i="2262"/>
  <c r="O96" i="2262" s="1"/>
  <c r="T118" i="2262"/>
  <c r="O118" i="2262" s="1"/>
  <c r="T192" i="2262"/>
  <c r="O192" i="2262" s="1"/>
  <c r="T158" i="2262"/>
  <c r="O158" i="2262" s="1"/>
  <c r="T90" i="2262"/>
  <c r="O90" i="2262" s="1"/>
  <c r="T102" i="2262"/>
  <c r="O102" i="2262" s="1"/>
  <c r="T139" i="2262"/>
  <c r="O139" i="2262" s="1"/>
  <c r="T146" i="2262"/>
  <c r="O146" i="2262" s="1"/>
  <c r="T150" i="2262"/>
  <c r="O150" i="2262" s="1"/>
  <c r="T81" i="2262"/>
  <c r="O81" i="2262" s="1"/>
  <c r="T92" i="2262"/>
  <c r="O92" i="2262" s="1"/>
  <c r="T145" i="2262"/>
  <c r="O145" i="2262" s="1"/>
  <c r="T152" i="2262"/>
  <c r="O152" i="2262" s="1"/>
  <c r="T132" i="2262"/>
  <c r="O132" i="2262" s="1"/>
  <c r="T10" i="2262"/>
  <c r="O10" i="2262" s="1"/>
  <c r="T15" i="2262"/>
  <c r="O15" i="2262" s="1"/>
  <c r="T16" i="2262"/>
  <c r="O16" i="2262" s="1"/>
  <c r="T19" i="2262"/>
  <c r="O19" i="2262" s="1"/>
  <c r="T20" i="2262"/>
  <c r="O20" i="2262" s="1"/>
  <c r="T24" i="2262"/>
  <c r="O24" i="2262" s="1"/>
  <c r="T34" i="2262"/>
  <c r="O34" i="2262" s="1"/>
  <c r="T39" i="2262"/>
  <c r="O39" i="2262" s="1"/>
  <c r="T60" i="2262"/>
  <c r="O60" i="2262" s="1"/>
  <c r="T17" i="2262"/>
  <c r="O17" i="2262" s="1"/>
  <c r="T21" i="2262"/>
  <c r="O21" i="2262" s="1"/>
  <c r="T25" i="2262"/>
  <c r="O25" i="2262" s="1"/>
  <c r="T28" i="2262"/>
  <c r="O28" i="2262" s="1"/>
  <c r="T30" i="2262"/>
  <c r="O30" i="2262" s="1"/>
  <c r="T37" i="2262"/>
  <c r="O37" i="2262" s="1"/>
  <c r="T38" i="2262"/>
  <c r="O38" i="2262" s="1"/>
  <c r="T53" i="2262"/>
  <c r="O53" i="2262" s="1"/>
  <c r="T13" i="2262"/>
  <c r="O13" i="2262" s="1"/>
  <c r="T14" i="2262"/>
  <c r="O14" i="2262" s="1"/>
  <c r="T18" i="2262"/>
  <c r="O18" i="2262" s="1"/>
  <c r="T23" i="2262"/>
  <c r="O23" i="2262" s="1"/>
  <c r="T26" i="2262"/>
  <c r="O26" i="2262" s="1"/>
  <c r="T27" i="2262"/>
  <c r="O27" i="2262" s="1"/>
  <c r="T31" i="2262"/>
  <c r="O31" i="2262" s="1"/>
  <c r="T35" i="2262"/>
  <c r="O35" i="2262" s="1"/>
  <c r="T40" i="2262"/>
  <c r="O40" i="2262" s="1"/>
  <c r="T41" i="2262"/>
  <c r="O41" i="2262" s="1"/>
  <c r="T51" i="2262"/>
  <c r="O51" i="2262" s="1"/>
  <c r="T71" i="2262"/>
  <c r="O71" i="2262" s="1"/>
  <c r="T9" i="2262"/>
  <c r="O9" i="2262" s="1"/>
  <c r="T29" i="2262"/>
  <c r="O29" i="2262" s="1"/>
  <c r="T73" i="2262"/>
  <c r="O73" i="2262" s="1"/>
  <c r="T169" i="2262"/>
  <c r="O169" i="2262" s="1"/>
  <c r="T8" i="2262"/>
  <c r="O8" i="2262" s="1"/>
  <c r="T22" i="2262"/>
  <c r="O22" i="2262" s="1"/>
  <c r="T33" i="2262"/>
  <c r="O33" i="2262" s="1"/>
  <c r="T36" i="2262"/>
  <c r="O36" i="2262" s="1"/>
  <c r="T122" i="2262"/>
  <c r="O122" i="2262" s="1"/>
  <c r="T155" i="2262"/>
  <c r="O155" i="2262" s="1"/>
  <c r="T165" i="2262"/>
  <c r="O165" i="2262" s="1"/>
  <c r="T166" i="2262"/>
  <c r="O166" i="2262" s="1"/>
  <c r="T170" i="2262"/>
  <c r="O170" i="2262" s="1"/>
  <c r="T174" i="2262"/>
  <c r="O174" i="2262" s="1"/>
  <c r="T176" i="2262"/>
  <c r="O176" i="2262" s="1"/>
  <c r="T181" i="2262"/>
  <c r="O181" i="2262" s="1"/>
  <c r="T123" i="2262"/>
  <c r="O123" i="2262" s="1"/>
  <c r="T171" i="2262"/>
  <c r="O171" i="2262" s="1"/>
  <c r="T180" i="2262"/>
  <c r="O180" i="2262" s="1"/>
  <c r="T184" i="2262"/>
  <c r="O184" i="2262" s="1"/>
  <c r="T189" i="2262"/>
  <c r="O189" i="2262" s="1"/>
  <c r="T191" i="2262"/>
  <c r="O191" i="2262" s="1"/>
  <c r="T172" i="2262"/>
  <c r="O172" i="2262" s="1"/>
  <c r="T173" i="2262"/>
  <c r="O173" i="2262" s="1"/>
  <c r="T177" i="2262"/>
  <c r="O177" i="2262" s="1"/>
  <c r="T178" i="2262"/>
  <c r="O178" i="2262" s="1"/>
  <c r="T183" i="2262"/>
  <c r="O183" i="2262" s="1"/>
  <c r="T186" i="2262"/>
  <c r="O186" i="2262" s="1"/>
  <c r="T52" i="2262"/>
  <c r="O52" i="2262" s="1"/>
  <c r="T168" i="2262"/>
  <c r="O168" i="2262" s="1"/>
  <c r="T185" i="2262"/>
  <c r="O185" i="2262" s="1"/>
  <c r="T160" i="2262"/>
  <c r="O160" i="2262" s="1"/>
  <c r="T167" i="2262"/>
  <c r="O167" i="2262" s="1"/>
  <c r="T187" i="2262"/>
  <c r="O187" i="2262" s="1"/>
  <c r="T188" i="2262"/>
  <c r="O188" i="2262" s="1"/>
  <c r="T12" i="2262"/>
  <c r="O12" i="2262" s="1"/>
  <c r="T32" i="2262"/>
  <c r="O32" i="2262" s="1"/>
  <c r="T69" i="2262"/>
  <c r="O69" i="2262" s="1"/>
  <c r="T175" i="2262"/>
  <c r="O175" i="2262" s="1"/>
  <c r="T179" i="2262"/>
  <c r="O179" i="2262" s="1"/>
  <c r="T190" i="2262"/>
  <c r="O190" i="2262" s="1"/>
  <c r="T7" i="2262"/>
  <c r="O7" i="2262" s="1"/>
  <c r="T182" i="2262"/>
  <c r="O182" i="2262" s="1"/>
  <c r="T11" i="2262"/>
  <c r="O11" i="2262" s="1"/>
  <c r="AC7" i="2262" l="1"/>
  <c r="P7" i="2262"/>
  <c r="AC187" i="2262"/>
  <c r="P187" i="2262"/>
  <c r="P178" i="2262"/>
  <c r="AC178" i="2262"/>
  <c r="AC171" i="2262"/>
  <c r="P171" i="2262"/>
  <c r="AA171" i="2262"/>
  <c r="P155" i="2262"/>
  <c r="AC155" i="2262"/>
  <c r="P29" i="2262"/>
  <c r="AC29" i="2262"/>
  <c r="AC27" i="2262"/>
  <c r="P27" i="2262"/>
  <c r="P37" i="2262"/>
  <c r="AC37" i="2262"/>
  <c r="P34" i="2262"/>
  <c r="AC34" i="2262"/>
  <c r="AC16" i="2262"/>
  <c r="P16" i="2262"/>
  <c r="AC150" i="2262"/>
  <c r="P150" i="2262"/>
  <c r="AC96" i="2262"/>
  <c r="P96" i="2262"/>
  <c r="AC136" i="2262"/>
  <c r="P136" i="2262"/>
  <c r="T46" i="2262"/>
  <c r="O46" i="2262" s="1"/>
  <c r="P54" i="2262"/>
  <c r="AC54" i="2262"/>
  <c r="P88" i="2262"/>
  <c r="AC88" i="2262"/>
  <c r="AC149" i="2262"/>
  <c r="P149" i="2262"/>
  <c r="P95" i="2262"/>
  <c r="AC95" i="2262"/>
  <c r="P61" i="2262"/>
  <c r="AC61" i="2262"/>
  <c r="P79" i="2262"/>
  <c r="AC79" i="2262"/>
  <c r="AC42" i="2262"/>
  <c r="P42" i="2262"/>
  <c r="P47" i="2262"/>
  <c r="AC47" i="2262"/>
  <c r="AC134" i="2262"/>
  <c r="P134" i="2262"/>
  <c r="P133" i="2262"/>
  <c r="AC133" i="2262"/>
  <c r="P85" i="2262"/>
  <c r="AC85" i="2262"/>
  <c r="AC130" i="2262"/>
  <c r="P130" i="2262"/>
  <c r="AC32" i="2262"/>
  <c r="P32" i="2262"/>
  <c r="P52" i="2262"/>
  <c r="AC52" i="2262"/>
  <c r="P177" i="2262"/>
  <c r="AC177" i="2262"/>
  <c r="P123" i="2262"/>
  <c r="AC123" i="2262"/>
  <c r="AA170" i="2262"/>
  <c r="AC170" i="2262"/>
  <c r="P170" i="2262"/>
  <c r="AC122" i="2262"/>
  <c r="P122" i="2262"/>
  <c r="AC8" i="2262"/>
  <c r="P8" i="2262"/>
  <c r="AC9" i="2262"/>
  <c r="P9" i="2262"/>
  <c r="P40" i="2262"/>
  <c r="AC40" i="2262"/>
  <c r="P26" i="2262"/>
  <c r="AC26" i="2262"/>
  <c r="AC13" i="2262"/>
  <c r="P13" i="2262"/>
  <c r="P30" i="2262"/>
  <c r="AC30" i="2262"/>
  <c r="P17" i="2262"/>
  <c r="AC17" i="2262"/>
  <c r="P24" i="2262"/>
  <c r="AC24" i="2262"/>
  <c r="AC15" i="2262"/>
  <c r="P15" i="2262"/>
  <c r="AC145" i="2262"/>
  <c r="P145" i="2262"/>
  <c r="AC146" i="2262"/>
  <c r="P146" i="2262"/>
  <c r="P158" i="2262"/>
  <c r="AC158" i="2262"/>
  <c r="T45" i="2262"/>
  <c r="O45" i="2262" s="1"/>
  <c r="AC87" i="2262"/>
  <c r="P87" i="2262"/>
  <c r="P148" i="2262"/>
  <c r="AC148" i="2262"/>
  <c r="P120" i="2262"/>
  <c r="AC120" i="2262"/>
  <c r="AC121" i="2262"/>
  <c r="P121" i="2262"/>
  <c r="AC144" i="2262"/>
  <c r="P144" i="2262"/>
  <c r="AC119" i="2262"/>
  <c r="P119" i="2262"/>
  <c r="AC86" i="2262"/>
  <c r="P86" i="2262"/>
  <c r="AC48" i="2262"/>
  <c r="P48" i="2262"/>
  <c r="AC147" i="2262"/>
  <c r="P147" i="2262"/>
  <c r="AC101" i="2262"/>
  <c r="P101" i="2262"/>
  <c r="P91" i="2262"/>
  <c r="AC91" i="2262"/>
  <c r="P74" i="2262"/>
  <c r="AC74" i="2262"/>
  <c r="AC59" i="2262"/>
  <c r="P59" i="2262"/>
  <c r="P77" i="2262"/>
  <c r="AC77" i="2262"/>
  <c r="P68" i="2262"/>
  <c r="AC68" i="2262"/>
  <c r="AC65" i="2262"/>
  <c r="P65" i="2262"/>
  <c r="P125" i="2262"/>
  <c r="AC125" i="2262"/>
  <c r="AC129" i="2262"/>
  <c r="P129" i="2262"/>
  <c r="P128" i="2262"/>
  <c r="AC128" i="2262"/>
  <c r="P84" i="2262"/>
  <c r="AC84" i="2262"/>
  <c r="P326" i="2262"/>
  <c r="AC326" i="2262"/>
  <c r="P302" i="2262"/>
  <c r="AC302" i="2262"/>
  <c r="AC11" i="2262"/>
  <c r="P11" i="2262"/>
  <c r="AC179" i="2262"/>
  <c r="P179" i="2262"/>
  <c r="AC12" i="2262"/>
  <c r="P12" i="2262"/>
  <c r="AA160" i="2262"/>
  <c r="AC160" i="2262"/>
  <c r="P160" i="2262"/>
  <c r="AC186" i="2262"/>
  <c r="P186" i="2262"/>
  <c r="P173" i="2262"/>
  <c r="AC173" i="2262"/>
  <c r="AA173" i="2262"/>
  <c r="AC184" i="2262"/>
  <c r="P184" i="2262"/>
  <c r="P181" i="2262"/>
  <c r="AC181" i="2262"/>
  <c r="AC166" i="2262"/>
  <c r="AA166" i="2262"/>
  <c r="P166" i="2262"/>
  <c r="P36" i="2262"/>
  <c r="AA36" i="2262"/>
  <c r="AC36" i="2262"/>
  <c r="P169" i="2262"/>
  <c r="AA169" i="2262"/>
  <c r="AC169" i="2262"/>
  <c r="AC71" i="2262"/>
  <c r="P71" i="2262"/>
  <c r="AC35" i="2262"/>
  <c r="P35" i="2262"/>
  <c r="AC23" i="2262"/>
  <c r="P23" i="2262"/>
  <c r="AC53" i="2262"/>
  <c r="P53" i="2262"/>
  <c r="AC28" i="2262"/>
  <c r="P28" i="2262"/>
  <c r="AC60" i="2262"/>
  <c r="P60" i="2262"/>
  <c r="AC20" i="2262"/>
  <c r="P20" i="2262"/>
  <c r="AC10" i="2262"/>
  <c r="P10" i="2262"/>
  <c r="P92" i="2262"/>
  <c r="AC92" i="2262"/>
  <c r="AC139" i="2262"/>
  <c r="P139" i="2262"/>
  <c r="AC192" i="2262"/>
  <c r="P192" i="2262"/>
  <c r="AC80" i="2262"/>
  <c r="P80" i="2262"/>
  <c r="AC143" i="2262"/>
  <c r="P143" i="2262"/>
  <c r="AC82" i="2262"/>
  <c r="P82" i="2262"/>
  <c r="AC100" i="2262"/>
  <c r="P100" i="2262"/>
  <c r="P140" i="2262"/>
  <c r="AC140" i="2262"/>
  <c r="AC98" i="2262"/>
  <c r="P98" i="2262"/>
  <c r="P83" i="2262"/>
  <c r="AC83" i="2262"/>
  <c r="AC157" i="2262"/>
  <c r="P157" i="2262"/>
  <c r="P141" i="2262"/>
  <c r="AC141" i="2262"/>
  <c r="AC99" i="2262"/>
  <c r="P99" i="2262"/>
  <c r="P89" i="2262"/>
  <c r="AC89" i="2262"/>
  <c r="AC64" i="2262"/>
  <c r="P64" i="2262"/>
  <c r="AC56" i="2262"/>
  <c r="P56" i="2262"/>
  <c r="P75" i="2262"/>
  <c r="AC75" i="2262"/>
  <c r="AC58" i="2262"/>
  <c r="P58" i="2262"/>
  <c r="AC63" i="2262"/>
  <c r="P63" i="2262"/>
  <c r="P164" i="2262"/>
  <c r="AC164" i="2262"/>
  <c r="P163" i="2262"/>
  <c r="AC163" i="2262"/>
  <c r="P126" i="2262"/>
  <c r="AC126" i="2262"/>
  <c r="P162" i="2262"/>
  <c r="AC162" i="2262"/>
  <c r="AC323" i="2262"/>
  <c r="P323" i="2262"/>
  <c r="P327" i="2262"/>
  <c r="AC327" i="2262"/>
  <c r="AC69" i="2262"/>
  <c r="P69" i="2262"/>
  <c r="P168" i="2262"/>
  <c r="AC168" i="2262"/>
  <c r="AA168" i="2262"/>
  <c r="P191" i="2262"/>
  <c r="AC191" i="2262"/>
  <c r="P174" i="2262"/>
  <c r="AA174" i="2262"/>
  <c r="AC174" i="2262"/>
  <c r="AC22" i="2262"/>
  <c r="P22" i="2262"/>
  <c r="AC41" i="2262"/>
  <c r="P41" i="2262"/>
  <c r="AC14" i="2262"/>
  <c r="P14" i="2262"/>
  <c r="AC21" i="2262"/>
  <c r="P21" i="2262"/>
  <c r="P152" i="2262"/>
  <c r="AC152" i="2262"/>
  <c r="AC90" i="2262"/>
  <c r="P90" i="2262"/>
  <c r="AC156" i="2262"/>
  <c r="P156" i="2262"/>
  <c r="P137" i="2262"/>
  <c r="AC137" i="2262"/>
  <c r="P131" i="2262"/>
  <c r="AC131" i="2262"/>
  <c r="AC55" i="2262"/>
  <c r="P55" i="2262"/>
  <c r="AC127" i="2262"/>
  <c r="P127" i="2262"/>
  <c r="AC67" i="2262"/>
  <c r="P67" i="2262"/>
  <c r="AC70" i="2262"/>
  <c r="P70" i="2262"/>
  <c r="P322" i="2262"/>
  <c r="AC322" i="2262"/>
  <c r="P190" i="2262"/>
  <c r="AC190" i="2262"/>
  <c r="AA167" i="2262"/>
  <c r="P167" i="2262"/>
  <c r="AC167" i="2262"/>
  <c r="AC189" i="2262"/>
  <c r="P189" i="2262"/>
  <c r="P182" i="2262"/>
  <c r="AC182" i="2262"/>
  <c r="P175" i="2262"/>
  <c r="AC175" i="2262"/>
  <c r="AC188" i="2262"/>
  <c r="P188" i="2262"/>
  <c r="AC185" i="2262"/>
  <c r="P185" i="2262"/>
  <c r="P183" i="2262"/>
  <c r="AC183" i="2262"/>
  <c r="P172" i="2262"/>
  <c r="AC172" i="2262"/>
  <c r="AA172" i="2262"/>
  <c r="AC180" i="2262"/>
  <c r="P180" i="2262"/>
  <c r="P176" i="2262"/>
  <c r="AC176" i="2262"/>
  <c r="AA165" i="2262"/>
  <c r="P165" i="2262"/>
  <c r="AC165" i="2262"/>
  <c r="AC33" i="2262"/>
  <c r="P33" i="2262"/>
  <c r="AC73" i="2262"/>
  <c r="P73" i="2262"/>
  <c r="AC51" i="2262"/>
  <c r="P51" i="2262"/>
  <c r="AC31" i="2262"/>
  <c r="P31" i="2262"/>
  <c r="AA31" i="2262"/>
  <c r="P18" i="2262"/>
  <c r="AC18" i="2262"/>
  <c r="T44" i="2262"/>
  <c r="O44" i="2262" s="1"/>
  <c r="AC38" i="2262"/>
  <c r="P38" i="2262"/>
  <c r="AC25" i="2262"/>
  <c r="P25" i="2262"/>
  <c r="P39" i="2262"/>
  <c r="AC39" i="2262"/>
  <c r="AC19" i="2262"/>
  <c r="P19" i="2262"/>
  <c r="P132" i="2262"/>
  <c r="AC132" i="2262"/>
  <c r="AC81" i="2262"/>
  <c r="P81" i="2262"/>
  <c r="AC102" i="2262"/>
  <c r="P102" i="2262"/>
  <c r="AC118" i="2262"/>
  <c r="P118" i="2262"/>
  <c r="AC57" i="2262"/>
  <c r="P57" i="2262"/>
  <c r="P142" i="2262"/>
  <c r="AC142" i="2262"/>
  <c r="P78" i="2262"/>
  <c r="AC78" i="2262"/>
  <c r="P94" i="2262"/>
  <c r="AC94" i="2262"/>
  <c r="AC138" i="2262"/>
  <c r="P138" i="2262"/>
  <c r="AC93" i="2262"/>
  <c r="P93" i="2262"/>
  <c r="AC66" i="2262"/>
  <c r="P66" i="2262"/>
  <c r="AC151" i="2262"/>
  <c r="P151" i="2262"/>
  <c r="P135" i="2262"/>
  <c r="AC135" i="2262"/>
  <c r="P97" i="2262"/>
  <c r="AC97" i="2262"/>
  <c r="AC76" i="2262"/>
  <c r="P76" i="2262"/>
  <c r="P62" i="2262"/>
  <c r="AC62" i="2262"/>
  <c r="AC43" i="2262"/>
  <c r="P43" i="2262"/>
  <c r="AC72" i="2262"/>
  <c r="P72" i="2262"/>
  <c r="AC50" i="2262"/>
  <c r="P50" i="2262"/>
  <c r="AC49" i="2262"/>
  <c r="P49" i="2262"/>
  <c r="AC154" i="2262"/>
  <c r="P154" i="2262"/>
  <c r="AC153" i="2262"/>
  <c r="P153" i="2262"/>
  <c r="AC124" i="2262"/>
  <c r="P124" i="2262"/>
  <c r="AC159" i="2262"/>
  <c r="P159" i="2262"/>
  <c r="P325" i="2262"/>
  <c r="AC325" i="2262"/>
  <c r="P324" i="2262"/>
  <c r="AC324" i="2262"/>
  <c r="D43" i="2273"/>
  <c r="E43" i="2273" s="1"/>
  <c r="D13" i="2273"/>
  <c r="E13" i="2273" s="1"/>
  <c r="C13" i="2273" s="1"/>
  <c r="AJ299" i="2262" l="1"/>
  <c r="AJ300" i="2262"/>
  <c r="AJ228" i="2262"/>
  <c r="AJ295" i="2262"/>
  <c r="AJ291" i="2262"/>
  <c r="AJ287" i="2262"/>
  <c r="AK287" i="2262" s="1"/>
  <c r="AL287" i="2262" s="1"/>
  <c r="AJ298" i="2262"/>
  <c r="AJ294" i="2262"/>
  <c r="AJ290" i="2262"/>
  <c r="AJ297" i="2262"/>
  <c r="AJ293" i="2262"/>
  <c r="AJ289" i="2262"/>
  <c r="AJ296" i="2262"/>
  <c r="AJ292" i="2262"/>
  <c r="AJ288" i="2262"/>
  <c r="AJ226" i="2262"/>
  <c r="AJ222" i="2262"/>
  <c r="AK222" i="2262" s="1"/>
  <c r="AL222" i="2262" s="1"/>
  <c r="AJ225" i="2262"/>
  <c r="AJ224" i="2262"/>
  <c r="AJ227" i="2262"/>
  <c r="AJ223" i="2262"/>
  <c r="AK223" i="2262" s="1"/>
  <c r="AL223" i="2262" s="1"/>
  <c r="AJ303" i="2262"/>
  <c r="AK303" i="2262" s="1"/>
  <c r="AL303" i="2262" s="1"/>
  <c r="AJ304" i="2262"/>
  <c r="AK304" i="2262" s="1"/>
  <c r="AL304" i="2262" s="1"/>
  <c r="AJ305" i="2262"/>
  <c r="AJ306" i="2262"/>
  <c r="AJ193" i="2262"/>
  <c r="AJ194" i="2262"/>
  <c r="AK194" i="2262" s="1"/>
  <c r="AL194" i="2262" s="1"/>
  <c r="AJ196" i="2262"/>
  <c r="AK196" i="2262" s="1"/>
  <c r="AL196" i="2262" s="1"/>
  <c r="AJ201" i="2262"/>
  <c r="AK201" i="2262" s="1"/>
  <c r="AL201" i="2262" s="1"/>
  <c r="AJ202" i="2262"/>
  <c r="AK202" i="2262" s="1"/>
  <c r="AL202" i="2262" s="1"/>
  <c r="AJ203" i="2262"/>
  <c r="AK203" i="2262" s="1"/>
  <c r="AL203" i="2262" s="1"/>
  <c r="AJ204" i="2262"/>
  <c r="AJ205" i="2262"/>
  <c r="AK205" i="2262" s="1"/>
  <c r="AL205" i="2262" s="1"/>
  <c r="AJ207" i="2262"/>
  <c r="AK207" i="2262" s="1"/>
  <c r="AL207" i="2262" s="1"/>
  <c r="AJ208" i="2262"/>
  <c r="AK208" i="2262" s="1"/>
  <c r="AL208" i="2262" s="1"/>
  <c r="AJ209" i="2262"/>
  <c r="AK209" i="2262" s="1"/>
  <c r="AL209" i="2262" s="1"/>
  <c r="AJ218" i="2262"/>
  <c r="AK218" i="2262" s="1"/>
  <c r="AL218" i="2262" s="1"/>
  <c r="AJ230" i="2262"/>
  <c r="AK230" i="2262" s="1"/>
  <c r="AL230" i="2262" s="1"/>
  <c r="AJ231" i="2262"/>
  <c r="AK231" i="2262" s="1"/>
  <c r="AL231" i="2262" s="1"/>
  <c r="AJ232" i="2262"/>
  <c r="AK232" i="2262" s="1"/>
  <c r="AL232" i="2262" s="1"/>
  <c r="AJ233" i="2262"/>
  <c r="AK233" i="2262" s="1"/>
  <c r="AL233" i="2262" s="1"/>
  <c r="AJ234" i="2262"/>
  <c r="AK234" i="2262" s="1"/>
  <c r="AL234" i="2262" s="1"/>
  <c r="AJ237" i="2262"/>
  <c r="AK237" i="2262" s="1"/>
  <c r="AL237" i="2262" s="1"/>
  <c r="AJ238" i="2262"/>
  <c r="AK238" i="2262" s="1"/>
  <c r="AL238" i="2262" s="1"/>
  <c r="AJ239" i="2262"/>
  <c r="AJ243" i="2262"/>
  <c r="AK243" i="2262" s="1"/>
  <c r="AL243" i="2262" s="1"/>
  <c r="AJ244" i="2262"/>
  <c r="AK244" i="2262" s="1"/>
  <c r="AL244" i="2262" s="1"/>
  <c r="AJ245" i="2262"/>
  <c r="AK245" i="2262" s="1"/>
  <c r="AL245" i="2262" s="1"/>
  <c r="AJ246" i="2262"/>
  <c r="AK246" i="2262" s="1"/>
  <c r="AL246" i="2262" s="1"/>
  <c r="AJ247" i="2262"/>
  <c r="AK247" i="2262" s="1"/>
  <c r="AL247" i="2262" s="1"/>
  <c r="AJ248" i="2262"/>
  <c r="AK248" i="2262" s="1"/>
  <c r="AL248" i="2262" s="1"/>
  <c r="AJ249" i="2262"/>
  <c r="AK249" i="2262" s="1"/>
  <c r="AL249" i="2262" s="1"/>
  <c r="AJ250" i="2262"/>
  <c r="AK250" i="2262" s="1"/>
  <c r="AL250" i="2262" s="1"/>
  <c r="AJ254" i="2262"/>
  <c r="AK254" i="2262" s="1"/>
  <c r="AL254" i="2262" s="1"/>
  <c r="AJ255" i="2262"/>
  <c r="AK255" i="2262" s="1"/>
  <c r="AL255" i="2262" s="1"/>
  <c r="AJ258" i="2262"/>
  <c r="AK258" i="2262" s="1"/>
  <c r="AL258" i="2262" s="1"/>
  <c r="AJ259" i="2262"/>
  <c r="AK259" i="2262" s="1"/>
  <c r="AL259" i="2262" s="1"/>
  <c r="AJ263" i="2262"/>
  <c r="AK263" i="2262" s="1"/>
  <c r="AL263" i="2262" s="1"/>
  <c r="AJ264" i="2262"/>
  <c r="AK264" i="2262" s="1"/>
  <c r="AL264" i="2262" s="1"/>
  <c r="AJ265" i="2262"/>
  <c r="AK265" i="2262" s="1"/>
  <c r="AL265" i="2262" s="1"/>
  <c r="AJ266" i="2262"/>
  <c r="AK266" i="2262" s="1"/>
  <c r="AL266" i="2262" s="1"/>
  <c r="AJ271" i="2262"/>
  <c r="AK271" i="2262" s="1"/>
  <c r="AL271" i="2262" s="1"/>
  <c r="AJ277" i="2262"/>
  <c r="AK277" i="2262" s="1"/>
  <c r="AL277" i="2262" s="1"/>
  <c r="AJ278" i="2262"/>
  <c r="AK278" i="2262" s="1"/>
  <c r="AL278" i="2262" s="1"/>
  <c r="AJ279" i="2262"/>
  <c r="AK279" i="2262" s="1"/>
  <c r="AL279" i="2262" s="1"/>
  <c r="AJ301" i="2262"/>
  <c r="AK301" i="2262" s="1"/>
  <c r="AL301" i="2262" s="1"/>
  <c r="AJ195" i="2262"/>
  <c r="AK195" i="2262" s="1"/>
  <c r="AL195" i="2262" s="1"/>
  <c r="AJ197" i="2262"/>
  <c r="AK197" i="2262" s="1"/>
  <c r="AL197" i="2262" s="1"/>
  <c r="AJ198" i="2262"/>
  <c r="AK198" i="2262" s="1"/>
  <c r="AL198" i="2262" s="1"/>
  <c r="AJ199" i="2262"/>
  <c r="AK199" i="2262" s="1"/>
  <c r="AL199" i="2262" s="1"/>
  <c r="AJ200" i="2262"/>
  <c r="AK200" i="2262" s="1"/>
  <c r="AL200" i="2262" s="1"/>
  <c r="AJ206" i="2262"/>
  <c r="AK206" i="2262" s="1"/>
  <c r="AL206" i="2262" s="1"/>
  <c r="AJ210" i="2262"/>
  <c r="AK210" i="2262" s="1"/>
  <c r="AL210" i="2262" s="1"/>
  <c r="AJ211" i="2262"/>
  <c r="AK211" i="2262" s="1"/>
  <c r="AL211" i="2262" s="1"/>
  <c r="AJ212" i="2262"/>
  <c r="AK212" i="2262" s="1"/>
  <c r="AL212" i="2262" s="1"/>
  <c r="AJ213" i="2262"/>
  <c r="AK213" i="2262" s="1"/>
  <c r="AL213" i="2262" s="1"/>
  <c r="AJ214" i="2262"/>
  <c r="AK214" i="2262" s="1"/>
  <c r="AL214" i="2262" s="1"/>
  <c r="AJ215" i="2262"/>
  <c r="AK215" i="2262" s="1"/>
  <c r="AL215" i="2262" s="1"/>
  <c r="AJ216" i="2262"/>
  <c r="AK216" i="2262" s="1"/>
  <c r="AL216" i="2262" s="1"/>
  <c r="AJ217" i="2262"/>
  <c r="AK217" i="2262" s="1"/>
  <c r="AL217" i="2262" s="1"/>
  <c r="AJ219" i="2262"/>
  <c r="AK219" i="2262" s="1"/>
  <c r="AL219" i="2262" s="1"/>
  <c r="AJ220" i="2262"/>
  <c r="AK220" i="2262" s="1"/>
  <c r="AL220" i="2262" s="1"/>
  <c r="AJ221" i="2262"/>
  <c r="AK221" i="2262" s="1"/>
  <c r="AL221" i="2262" s="1"/>
  <c r="AJ229" i="2262"/>
  <c r="AK229" i="2262" s="1"/>
  <c r="AL229" i="2262" s="1"/>
  <c r="AJ235" i="2262"/>
  <c r="AK235" i="2262" s="1"/>
  <c r="AL235" i="2262" s="1"/>
  <c r="AJ236" i="2262"/>
  <c r="AK236" i="2262" s="1"/>
  <c r="AL236" i="2262" s="1"/>
  <c r="AJ240" i="2262"/>
  <c r="AK240" i="2262" s="1"/>
  <c r="AL240" i="2262" s="1"/>
  <c r="AJ241" i="2262"/>
  <c r="AK241" i="2262" s="1"/>
  <c r="AL241" i="2262" s="1"/>
  <c r="AJ242" i="2262"/>
  <c r="AK242" i="2262" s="1"/>
  <c r="AL242" i="2262" s="1"/>
  <c r="AJ251" i="2262"/>
  <c r="AK251" i="2262" s="1"/>
  <c r="AL251" i="2262" s="1"/>
  <c r="AJ252" i="2262"/>
  <c r="AK252" i="2262" s="1"/>
  <c r="AL252" i="2262" s="1"/>
  <c r="AJ253" i="2262"/>
  <c r="AK253" i="2262" s="1"/>
  <c r="AL253" i="2262" s="1"/>
  <c r="AJ256" i="2262"/>
  <c r="AK256" i="2262" s="1"/>
  <c r="AL256" i="2262" s="1"/>
  <c r="AJ257" i="2262"/>
  <c r="AK257" i="2262" s="1"/>
  <c r="AL257" i="2262" s="1"/>
  <c r="AJ260" i="2262"/>
  <c r="AK260" i="2262" s="1"/>
  <c r="AL260" i="2262" s="1"/>
  <c r="AJ261" i="2262"/>
  <c r="AK261" i="2262" s="1"/>
  <c r="AL261" i="2262" s="1"/>
  <c r="AJ262" i="2262"/>
  <c r="AK262" i="2262" s="1"/>
  <c r="AL262" i="2262" s="1"/>
  <c r="AJ267" i="2262"/>
  <c r="AK267" i="2262" s="1"/>
  <c r="AL267" i="2262" s="1"/>
  <c r="AJ268" i="2262"/>
  <c r="AK268" i="2262" s="1"/>
  <c r="AL268" i="2262" s="1"/>
  <c r="AJ269" i="2262"/>
  <c r="AK269" i="2262" s="1"/>
  <c r="AL269" i="2262" s="1"/>
  <c r="AJ270" i="2262"/>
  <c r="AK270" i="2262" s="1"/>
  <c r="AL270" i="2262" s="1"/>
  <c r="AJ272" i="2262"/>
  <c r="AK272" i="2262" s="1"/>
  <c r="AL272" i="2262" s="1"/>
  <c r="AJ273" i="2262"/>
  <c r="AK273" i="2262" s="1"/>
  <c r="AL273" i="2262" s="1"/>
  <c r="AJ274" i="2262"/>
  <c r="AK274" i="2262" s="1"/>
  <c r="AL274" i="2262" s="1"/>
  <c r="AJ275" i="2262"/>
  <c r="AK275" i="2262" s="1"/>
  <c r="AL275" i="2262" s="1"/>
  <c r="AJ276" i="2262"/>
  <c r="AK276" i="2262" s="1"/>
  <c r="AL276" i="2262" s="1"/>
  <c r="AJ280" i="2262"/>
  <c r="AK280" i="2262" s="1"/>
  <c r="AL280" i="2262" s="1"/>
  <c r="AJ281" i="2262"/>
  <c r="AK281" i="2262" s="1"/>
  <c r="AL281" i="2262" s="1"/>
  <c r="AJ282" i="2262"/>
  <c r="AK282" i="2262" s="1"/>
  <c r="AL282" i="2262" s="1"/>
  <c r="AJ283" i="2262"/>
  <c r="AK283" i="2262" s="1"/>
  <c r="AL283" i="2262" s="1"/>
  <c r="AJ284" i="2262"/>
  <c r="AK284" i="2262" s="1"/>
  <c r="AL284" i="2262" s="1"/>
  <c r="AJ285" i="2262"/>
  <c r="AK285" i="2262" s="1"/>
  <c r="AL285" i="2262" s="1"/>
  <c r="AJ286" i="2262"/>
  <c r="AK286" i="2262" s="1"/>
  <c r="AL286" i="2262" s="1"/>
  <c r="AI180" i="2262"/>
  <c r="AL180" i="2262" s="1"/>
  <c r="AI70" i="2262"/>
  <c r="AL70" i="2262" s="1"/>
  <c r="AI127" i="2262"/>
  <c r="AL127" i="2262" s="1"/>
  <c r="AI156" i="2262"/>
  <c r="AL156" i="2262" s="1"/>
  <c r="AI14" i="2262"/>
  <c r="AL14" i="2262" s="1"/>
  <c r="AI22" i="2262"/>
  <c r="AL22" i="2262" s="1"/>
  <c r="AI63" i="2262"/>
  <c r="AL63" i="2262" s="1"/>
  <c r="AI64" i="2262"/>
  <c r="AL64" i="2262" s="1"/>
  <c r="AI99" i="2262"/>
  <c r="AL99" i="2262" s="1"/>
  <c r="AI157" i="2262"/>
  <c r="AL157" i="2262" s="1"/>
  <c r="AI98" i="2262"/>
  <c r="AL98" i="2262" s="1"/>
  <c r="AI100" i="2262"/>
  <c r="AL100" i="2262" s="1"/>
  <c r="AI143" i="2262"/>
  <c r="AL143" i="2262" s="1"/>
  <c r="AI192" i="2262"/>
  <c r="AL192" i="2262" s="1"/>
  <c r="AI146" i="2262"/>
  <c r="AL146" i="2262" s="1"/>
  <c r="AI15" i="2262"/>
  <c r="AL15" i="2262" s="1"/>
  <c r="AI13" i="2262"/>
  <c r="AL13" i="2262" s="1"/>
  <c r="AI8" i="2262"/>
  <c r="AL8" i="2262" s="1"/>
  <c r="AI136" i="2262"/>
  <c r="AL136" i="2262" s="1"/>
  <c r="AI150" i="2262"/>
  <c r="AL150" i="2262" s="1"/>
  <c r="AI27" i="2262"/>
  <c r="AL27" i="2262" s="1"/>
  <c r="AI124" i="2262"/>
  <c r="AL124" i="2262" s="1"/>
  <c r="AI154" i="2262"/>
  <c r="AL154" i="2262" s="1"/>
  <c r="AI50" i="2262"/>
  <c r="AL50" i="2262" s="1"/>
  <c r="AI43" i="2262"/>
  <c r="AL43" i="2262" s="1"/>
  <c r="AI76" i="2262"/>
  <c r="AL76" i="2262" s="1"/>
  <c r="AI66" i="2262"/>
  <c r="AL66" i="2262" s="1"/>
  <c r="AI138" i="2262"/>
  <c r="AL138" i="2262" s="1"/>
  <c r="AI57" i="2262"/>
  <c r="AL57" i="2262" s="1"/>
  <c r="AI102" i="2262"/>
  <c r="AL102" i="2262" s="1"/>
  <c r="AI38" i="2262"/>
  <c r="AL38" i="2262" s="1"/>
  <c r="AI184" i="2262"/>
  <c r="AL184" i="2262" s="1"/>
  <c r="AI179" i="2262"/>
  <c r="AL179" i="2262" s="1"/>
  <c r="AI129" i="2262"/>
  <c r="AL129" i="2262" s="1"/>
  <c r="AI65" i="2262"/>
  <c r="AL65" i="2262" s="1"/>
  <c r="AI101" i="2262"/>
  <c r="AL101" i="2262" s="1"/>
  <c r="AI48" i="2262"/>
  <c r="AL48" i="2262" s="1"/>
  <c r="AI37" i="2262"/>
  <c r="AL37" i="2262" s="1"/>
  <c r="AI119" i="2262"/>
  <c r="AL119" i="2262" s="1"/>
  <c r="AI121" i="2262"/>
  <c r="AL121" i="2262" s="1"/>
  <c r="AI32" i="2262"/>
  <c r="AL32" i="2262" s="1"/>
  <c r="AI134" i="2262"/>
  <c r="AL134" i="2262" s="1"/>
  <c r="AI42" i="2262"/>
  <c r="AL42" i="2262" s="1"/>
  <c r="AI149" i="2262"/>
  <c r="AL149" i="2262" s="1"/>
  <c r="AI7" i="2262"/>
  <c r="AL7" i="2262" s="1"/>
  <c r="AI20" i="2262"/>
  <c r="AL20" i="2262" s="1"/>
  <c r="AI28" i="2262"/>
  <c r="AL28" i="2262" s="1"/>
  <c r="AI23" i="2262"/>
  <c r="AL23" i="2262" s="1"/>
  <c r="AI71" i="2262"/>
  <c r="AL71" i="2262" s="1"/>
  <c r="AI166" i="2262"/>
  <c r="AL166" i="2262" s="1"/>
  <c r="AI160" i="2262"/>
  <c r="AL160" i="2262" s="1"/>
  <c r="AI170" i="2262"/>
  <c r="AL170" i="2262" s="1"/>
  <c r="AI172" i="2262"/>
  <c r="AL172" i="2262" s="1"/>
  <c r="AI174" i="2262"/>
  <c r="AL174" i="2262" s="1"/>
  <c r="AI169" i="2262"/>
  <c r="AL169" i="2262" s="1"/>
  <c r="AI181" i="2262"/>
  <c r="AL181" i="2262" s="1"/>
  <c r="AI326" i="2262"/>
  <c r="AL326" i="2262" s="1"/>
  <c r="AI128" i="2262"/>
  <c r="AL128" i="2262" s="1"/>
  <c r="AI125" i="2262"/>
  <c r="AL125" i="2262" s="1"/>
  <c r="AI68" i="2262"/>
  <c r="AL68" i="2262" s="1"/>
  <c r="AI91" i="2262"/>
  <c r="AL91" i="2262" s="1"/>
  <c r="AI120" i="2262"/>
  <c r="AL120" i="2262" s="1"/>
  <c r="AI123" i="2262"/>
  <c r="AL123" i="2262" s="1"/>
  <c r="AI52" i="2262"/>
  <c r="AL52" i="2262" s="1"/>
  <c r="AI133" i="2262"/>
  <c r="AL133" i="2262" s="1"/>
  <c r="AI47" i="2262"/>
  <c r="AL47" i="2262" s="1"/>
  <c r="AI79" i="2262"/>
  <c r="AL79" i="2262" s="1"/>
  <c r="AI95" i="2262"/>
  <c r="AL95" i="2262" s="1"/>
  <c r="AI88" i="2262"/>
  <c r="AL88" i="2262" s="1"/>
  <c r="AI97" i="2262"/>
  <c r="AL97" i="2262" s="1"/>
  <c r="AI142" i="2262"/>
  <c r="AL142" i="2262" s="1"/>
  <c r="AI165" i="2262"/>
  <c r="AL165" i="2262" s="1"/>
  <c r="AI175" i="2262"/>
  <c r="AL175" i="2262" s="1"/>
  <c r="AI51" i="2262"/>
  <c r="AL51" i="2262" s="1"/>
  <c r="AI33" i="2262"/>
  <c r="AL33" i="2262" s="1"/>
  <c r="AI188" i="2262"/>
  <c r="AL188" i="2262" s="1"/>
  <c r="AI324" i="2262"/>
  <c r="AL324" i="2262" s="1"/>
  <c r="AI62" i="2262"/>
  <c r="AL62" i="2262" s="1"/>
  <c r="AI94" i="2262"/>
  <c r="AL94" i="2262" s="1"/>
  <c r="AI67" i="2262"/>
  <c r="AL67" i="2262" s="1"/>
  <c r="AI55" i="2262"/>
  <c r="AL55" i="2262" s="1"/>
  <c r="AI90" i="2262"/>
  <c r="AL90" i="2262" s="1"/>
  <c r="AI21" i="2262"/>
  <c r="AL21" i="2262" s="1"/>
  <c r="AI41" i="2262"/>
  <c r="AL41" i="2262" s="1"/>
  <c r="AI69" i="2262"/>
  <c r="AL69" i="2262" s="1"/>
  <c r="AI323" i="2262"/>
  <c r="AL323" i="2262" s="1"/>
  <c r="AI58" i="2262"/>
  <c r="AL58" i="2262" s="1"/>
  <c r="AI56" i="2262"/>
  <c r="AL56" i="2262" s="1"/>
  <c r="AI82" i="2262"/>
  <c r="AL82" i="2262" s="1"/>
  <c r="AI80" i="2262"/>
  <c r="AL80" i="2262" s="1"/>
  <c r="AI139" i="2262"/>
  <c r="AL139" i="2262" s="1"/>
  <c r="AI10" i="2262"/>
  <c r="AL10" i="2262" s="1"/>
  <c r="AI60" i="2262"/>
  <c r="AL60" i="2262" s="1"/>
  <c r="AI53" i="2262"/>
  <c r="AL53" i="2262" s="1"/>
  <c r="AI35" i="2262"/>
  <c r="AL35" i="2262" s="1"/>
  <c r="AI186" i="2262"/>
  <c r="AL186" i="2262" s="1"/>
  <c r="AI145" i="2262"/>
  <c r="AL145" i="2262" s="1"/>
  <c r="AI9" i="2262"/>
  <c r="AL9" i="2262" s="1"/>
  <c r="AI122" i="2262"/>
  <c r="AL122" i="2262" s="1"/>
  <c r="AI96" i="2262"/>
  <c r="AL96" i="2262" s="1"/>
  <c r="AI16" i="2262"/>
  <c r="AL16" i="2262" s="1"/>
  <c r="AI131" i="2262"/>
  <c r="AL131" i="2262" s="1"/>
  <c r="AI135" i="2262"/>
  <c r="AL135" i="2262" s="1"/>
  <c r="AI78" i="2262"/>
  <c r="AL78" i="2262" s="1"/>
  <c r="AI132" i="2262"/>
  <c r="AL132" i="2262" s="1"/>
  <c r="AI183" i="2262"/>
  <c r="AL183" i="2262" s="1"/>
  <c r="AI182" i="2262"/>
  <c r="AL182" i="2262" s="1"/>
  <c r="AI167" i="2262"/>
  <c r="AL167" i="2262" s="1"/>
  <c r="AI191" i="2262"/>
  <c r="AL191" i="2262" s="1"/>
  <c r="AI159" i="2262"/>
  <c r="AL159" i="2262" s="1"/>
  <c r="AI153" i="2262"/>
  <c r="AL153" i="2262" s="1"/>
  <c r="AI49" i="2262"/>
  <c r="AL49" i="2262" s="1"/>
  <c r="AI72" i="2262"/>
  <c r="AL72" i="2262" s="1"/>
  <c r="AI151" i="2262"/>
  <c r="AL151" i="2262" s="1"/>
  <c r="AI93" i="2262"/>
  <c r="AL93" i="2262" s="1"/>
  <c r="AI118" i="2262"/>
  <c r="AL118" i="2262" s="1"/>
  <c r="AI81" i="2262"/>
  <c r="AL81" i="2262" s="1"/>
  <c r="AI19" i="2262"/>
  <c r="AL19" i="2262" s="1"/>
  <c r="AI25" i="2262"/>
  <c r="AL25" i="2262" s="1"/>
  <c r="AI31" i="2262"/>
  <c r="AL31" i="2262" s="1"/>
  <c r="AI73" i="2262"/>
  <c r="AL73" i="2262" s="1"/>
  <c r="AI176" i="2262"/>
  <c r="AL176" i="2262" s="1"/>
  <c r="AI185" i="2262"/>
  <c r="AL185" i="2262" s="1"/>
  <c r="AI189" i="2262"/>
  <c r="AL189" i="2262" s="1"/>
  <c r="AI322" i="2262"/>
  <c r="AL322" i="2262" s="1"/>
  <c r="AI137" i="2262"/>
  <c r="AL137" i="2262" s="1"/>
  <c r="AI126" i="2262"/>
  <c r="AL126" i="2262" s="1"/>
  <c r="AI164" i="2262"/>
  <c r="AL164" i="2262" s="1"/>
  <c r="AI89" i="2262"/>
  <c r="AL89" i="2262" s="1"/>
  <c r="AI141" i="2262"/>
  <c r="AL141" i="2262" s="1"/>
  <c r="AI83" i="2262"/>
  <c r="AL83" i="2262" s="1"/>
  <c r="AI140" i="2262"/>
  <c r="AL140" i="2262" s="1"/>
  <c r="AI36" i="2262"/>
  <c r="AL36" i="2262" s="1"/>
  <c r="AI12" i="2262"/>
  <c r="AL12" i="2262" s="1"/>
  <c r="AI11" i="2262"/>
  <c r="AL11" i="2262" s="1"/>
  <c r="AI59" i="2262"/>
  <c r="AL59" i="2262" s="1"/>
  <c r="AI147" i="2262"/>
  <c r="AL147" i="2262" s="1"/>
  <c r="AI86" i="2262"/>
  <c r="AL86" i="2262" s="1"/>
  <c r="AI144" i="2262"/>
  <c r="AL144" i="2262" s="1"/>
  <c r="AI87" i="2262"/>
  <c r="AL87" i="2262" s="1"/>
  <c r="AI158" i="2262"/>
  <c r="AL158" i="2262" s="1"/>
  <c r="AI24" i="2262"/>
  <c r="AL24" i="2262" s="1"/>
  <c r="AI30" i="2262"/>
  <c r="AL30" i="2262" s="1"/>
  <c r="AI26" i="2262"/>
  <c r="AL26" i="2262" s="1"/>
  <c r="AI130" i="2262"/>
  <c r="AL130" i="2262" s="1"/>
  <c r="AI29" i="2262"/>
  <c r="AL29" i="2262" s="1"/>
  <c r="AI171" i="2262"/>
  <c r="AL171" i="2262" s="1"/>
  <c r="AI187" i="2262"/>
  <c r="AL187" i="2262" s="1"/>
  <c r="AI152" i="2262"/>
  <c r="AL152" i="2262" s="1"/>
  <c r="AI168" i="2262"/>
  <c r="AL168" i="2262" s="1"/>
  <c r="AI327" i="2262"/>
  <c r="AL327" i="2262" s="1"/>
  <c r="AI162" i="2262"/>
  <c r="AL162" i="2262" s="1"/>
  <c r="AI163" i="2262"/>
  <c r="AL163" i="2262" s="1"/>
  <c r="AI75" i="2262"/>
  <c r="AL75" i="2262" s="1"/>
  <c r="AI92" i="2262"/>
  <c r="AL92" i="2262" s="1"/>
  <c r="AI173" i="2262"/>
  <c r="AL173" i="2262" s="1"/>
  <c r="AI17" i="2262"/>
  <c r="AL17" i="2262" s="1"/>
  <c r="AI40" i="2262"/>
  <c r="AL40" i="2262" s="1"/>
  <c r="AI34" i="2262"/>
  <c r="AL34" i="2262" s="1"/>
  <c r="AI155" i="2262"/>
  <c r="AL155" i="2262" s="1"/>
  <c r="AI18" i="2262"/>
  <c r="AL18" i="2262" s="1"/>
  <c r="AI190" i="2262"/>
  <c r="AL190" i="2262" s="1"/>
  <c r="AI325" i="2262"/>
  <c r="AL325" i="2262" s="1"/>
  <c r="AI39" i="2262"/>
  <c r="AL39" i="2262" s="1"/>
  <c r="AI302" i="2262"/>
  <c r="AL302" i="2262" s="1"/>
  <c r="AI84" i="2262"/>
  <c r="AL84" i="2262" s="1"/>
  <c r="AI77" i="2262"/>
  <c r="AL77" i="2262" s="1"/>
  <c r="AI74" i="2262"/>
  <c r="AL74" i="2262" s="1"/>
  <c r="AI148" i="2262"/>
  <c r="AL148" i="2262" s="1"/>
  <c r="AI177" i="2262"/>
  <c r="AL177" i="2262" s="1"/>
  <c r="AI85" i="2262"/>
  <c r="AL85" i="2262" s="1"/>
  <c r="AI61" i="2262"/>
  <c r="AL61" i="2262" s="1"/>
  <c r="AI54" i="2262"/>
  <c r="AL54" i="2262" s="1"/>
  <c r="AI178" i="2262"/>
  <c r="AL178" i="2262" s="1"/>
  <c r="AC44" i="2262"/>
  <c r="P44" i="2262"/>
  <c r="P46" i="2262"/>
  <c r="AC46" i="2262"/>
  <c r="P45" i="2262"/>
  <c r="AC45" i="2262"/>
  <c r="AK239" i="2262" l="1"/>
  <c r="AL239" i="2262" s="1"/>
  <c r="AJ46" i="2262"/>
  <c r="AK46" i="2262" s="1"/>
  <c r="AK193" i="2262"/>
  <c r="AL193" i="2262" s="1"/>
  <c r="AJ307" i="2262"/>
  <c r="AK306" i="2262"/>
  <c r="AL306" i="2262" s="1"/>
  <c r="AK288" i="2262"/>
  <c r="AL288" i="2262" s="1"/>
  <c r="AK204" i="2262"/>
  <c r="AL204" i="2262" s="1"/>
  <c r="AK305" i="2262"/>
  <c r="AL305" i="2262" s="1"/>
  <c r="AJ45" i="2262"/>
  <c r="AK45" i="2262" s="1"/>
  <c r="AK224" i="2262"/>
  <c r="AL224" i="2262" s="1"/>
  <c r="AI44" i="2262"/>
  <c r="AL44" i="2262" s="1"/>
  <c r="AI45" i="2262"/>
  <c r="AI46" i="2262"/>
  <c r="D1" i="2262"/>
  <c r="AL45" i="2262" l="1"/>
  <c r="AL46" i="2262"/>
  <c r="AK289" i="2262"/>
  <c r="AL289" i="2262" s="1"/>
  <c r="AK225" i="2262"/>
  <c r="AL225" i="2262" s="1"/>
  <c r="AK307" i="2262"/>
  <c r="AL307" i="2262" s="1"/>
  <c r="AJ308" i="2262"/>
  <c r="D32" i="2273"/>
  <c r="AM288" i="2262"/>
  <c r="AM286" i="2262"/>
  <c r="AM284" i="2262"/>
  <c r="AM282" i="2262"/>
  <c r="AM280" i="2262"/>
  <c r="AM278" i="2262"/>
  <c r="AM276" i="2262"/>
  <c r="AM274" i="2262"/>
  <c r="AM272" i="2262"/>
  <c r="AM270" i="2262"/>
  <c r="AM268" i="2262"/>
  <c r="AM266" i="2262"/>
  <c r="AM264" i="2262"/>
  <c r="AM262" i="2262"/>
  <c r="AM260" i="2262"/>
  <c r="AM258" i="2262"/>
  <c r="AM256" i="2262"/>
  <c r="AM254" i="2262"/>
  <c r="AM252" i="2262"/>
  <c r="AM250" i="2262"/>
  <c r="AM248" i="2262"/>
  <c r="AM246" i="2262"/>
  <c r="AM244" i="2262"/>
  <c r="AM242" i="2262"/>
  <c r="AM240" i="2262"/>
  <c r="AM238" i="2262"/>
  <c r="AM236" i="2262"/>
  <c r="AM234" i="2262"/>
  <c r="AM232" i="2262"/>
  <c r="AM230" i="2262"/>
  <c r="AL3" i="2262"/>
  <c r="AM193" i="2262"/>
  <c r="AM194" i="2262"/>
  <c r="AM195" i="2262"/>
  <c r="AM196" i="2262"/>
  <c r="AM197" i="2262"/>
  <c r="AM198" i="2262"/>
  <c r="AM199" i="2262"/>
  <c r="AM200" i="2262"/>
  <c r="AM201" i="2262"/>
  <c r="AM202" i="2262"/>
  <c r="AM203" i="2262"/>
  <c r="AM204" i="2262"/>
  <c r="AM205" i="2262"/>
  <c r="AM206" i="2262"/>
  <c r="AM207" i="2262"/>
  <c r="AM208" i="2262"/>
  <c r="AM209" i="2262"/>
  <c r="AM210" i="2262"/>
  <c r="AM211" i="2262"/>
  <c r="AM212" i="2262"/>
  <c r="AM213" i="2262"/>
  <c r="AM214" i="2262"/>
  <c r="AM215" i="2262"/>
  <c r="AM216" i="2262"/>
  <c r="AM229" i="2262"/>
  <c r="AM231" i="2262"/>
  <c r="AM233" i="2262"/>
  <c r="AM235" i="2262"/>
  <c r="AM237" i="2262"/>
  <c r="AM239" i="2262"/>
  <c r="AM241" i="2262"/>
  <c r="AM243" i="2262"/>
  <c r="AM245" i="2262"/>
  <c r="AM247" i="2262"/>
  <c r="AM249" i="2262"/>
  <c r="AM251" i="2262"/>
  <c r="AM253" i="2262"/>
  <c r="AM255" i="2262"/>
  <c r="AM257" i="2262"/>
  <c r="AM259" i="2262"/>
  <c r="AM261" i="2262"/>
  <c r="AM263" i="2262"/>
  <c r="AM265" i="2262"/>
  <c r="AM267" i="2262"/>
  <c r="AM269" i="2262"/>
  <c r="AM271" i="2262"/>
  <c r="AM273" i="2262"/>
  <c r="AM275" i="2262"/>
  <c r="AM277" i="2262"/>
  <c r="AM279" i="2262"/>
  <c r="AM281" i="2262"/>
  <c r="AM283" i="2262"/>
  <c r="AM285" i="2262"/>
  <c r="AM287" i="2262"/>
  <c r="AK308" i="2262" l="1"/>
  <c r="AL308" i="2262" s="1"/>
  <c r="AJ309" i="2262"/>
  <c r="AK290" i="2262"/>
  <c r="AL290" i="2262" s="1"/>
  <c r="AK226" i="2262"/>
  <c r="AL226" i="2262" s="1"/>
  <c r="AK291" i="2262" l="1"/>
  <c r="AL291" i="2262" s="1"/>
  <c r="AK309" i="2262"/>
  <c r="AL309" i="2262" s="1"/>
  <c r="AJ310" i="2262"/>
  <c r="AK228" i="2262"/>
  <c r="AL228" i="2262" s="1"/>
  <c r="AK227" i="2262"/>
  <c r="AL227" i="2262" s="1"/>
  <c r="AK310" i="2262" l="1"/>
  <c r="AL310" i="2262" s="1"/>
  <c r="AJ311" i="2262"/>
  <c r="AK292" i="2262"/>
  <c r="AL292" i="2262" s="1"/>
  <c r="AP2" i="2262"/>
  <c r="D38" i="2273" s="1"/>
  <c r="C38" i="2273" s="1"/>
  <c r="AK293" i="2262" l="1"/>
  <c r="AL293" i="2262" s="1"/>
  <c r="AK311" i="2262"/>
  <c r="AL311" i="2262" s="1"/>
  <c r="AJ312" i="2262"/>
  <c r="E38" i="2273"/>
  <c r="D8" i="2273"/>
  <c r="C8" i="2273" s="1"/>
  <c r="AK312" i="2262" l="1"/>
  <c r="AL312" i="2262" s="1"/>
  <c r="AJ313" i="2262"/>
  <c r="AK294" i="2262"/>
  <c r="AL294" i="2262" s="1"/>
  <c r="AK295" i="2262" l="1"/>
  <c r="AL295" i="2262" s="1"/>
  <c r="AK313" i="2262"/>
  <c r="AL313" i="2262" s="1"/>
  <c r="AJ314" i="2262"/>
  <c r="AK314" i="2262" l="1"/>
  <c r="AL314" i="2262" s="1"/>
  <c r="AJ315" i="2262"/>
  <c r="AK296" i="2262"/>
  <c r="AL296" i="2262" s="1"/>
  <c r="AK297" i="2262" l="1"/>
  <c r="AL297" i="2262" s="1"/>
  <c r="AK315" i="2262"/>
  <c r="AL315" i="2262" s="1"/>
  <c r="AJ316" i="2262"/>
  <c r="AK316" i="2262" l="1"/>
  <c r="AL316" i="2262" s="1"/>
  <c r="AJ317" i="2262"/>
  <c r="AK298" i="2262"/>
  <c r="AL298" i="2262" s="1"/>
  <c r="AK300" i="2262" l="1"/>
  <c r="AL300" i="2262" s="1"/>
  <c r="AK299" i="2262"/>
  <c r="AL299" i="2262" s="1"/>
  <c r="AK317" i="2262"/>
  <c r="AL317" i="2262" s="1"/>
  <c r="AJ318" i="2262"/>
  <c r="AK318" i="2262" l="1"/>
  <c r="AL318" i="2262" s="1"/>
  <c r="AJ319" i="2262"/>
  <c r="AK319" i="2262" l="1"/>
  <c r="AL319" i="2262" s="1"/>
  <c r="AJ320" i="2262"/>
  <c r="AK320" i="2262" l="1"/>
  <c r="AL320" i="2262" s="1"/>
  <c r="AJ321" i="2262"/>
  <c r="AK321" i="2262" s="1"/>
  <c r="AL321" i="2262" s="1"/>
</calcChain>
</file>

<file path=xl/comments1.xml><?xml version="1.0" encoding="utf-8"?>
<comments xmlns="http://schemas.openxmlformats.org/spreadsheetml/2006/main">
  <authors>
    <author>Daniel A. Pagiola</author>
  </authors>
  <commentList>
    <comment ref="H2" authorId="0">
      <text>
        <r>
          <rPr>
            <sz val="9"/>
            <color indexed="81"/>
            <rFont val="Tahoma"/>
            <family val="2"/>
          </rPr>
          <t>Si no se actualiza cuando se cambia el valor de los años Presionar la Tecla F9</t>
        </r>
      </text>
    </comment>
  </commentList>
</comments>
</file>

<file path=xl/sharedStrings.xml><?xml version="1.0" encoding="utf-8"?>
<sst xmlns="http://schemas.openxmlformats.org/spreadsheetml/2006/main" count="1047" uniqueCount="521">
  <si>
    <t>NRO</t>
  </si>
  <si>
    <t>CGO</t>
  </si>
  <si>
    <t>DENOMINACION</t>
  </si>
  <si>
    <t>P001</t>
  </si>
  <si>
    <t>P1723</t>
  </si>
  <si>
    <t>P1763</t>
  </si>
  <si>
    <t>P1821</t>
  </si>
  <si>
    <t>LIQUIDO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</si>
  <si>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</si>
  <si>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</si>
  <si>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</si>
  <si>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</si>
  <si>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</si>
  <si>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</si>
  <si>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</si>
  <si>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</si>
  <si>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</si>
  <si>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</si>
  <si>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</si>
  <si>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</si>
  <si>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</si>
  <si>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</si>
  <si>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</si>
  <si>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</si>
  <si>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</si>
  <si>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</si>
  <si>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</si>
  <si>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</si>
  <si>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</si>
  <si>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</si>
  <si>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</si>
  <si>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</si>
  <si>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</si>
  <si>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</si>
  <si>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</si>
  <si>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</si>
  <si>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</si>
  <si>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</si>
  <si>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</si>
  <si>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</si>
  <si>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</si>
  <si>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</si>
  <si>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</si>
  <si>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</si>
  <si>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</si>
  <si>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</si>
  <si>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</si>
  <si>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</si>
  <si>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</si>
  <si>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</si>
  <si>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</si>
  <si>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</si>
  <si>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</si>
  <si>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</si>
  <si>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</si>
  <si>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</si>
  <si>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</si>
  <si>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</si>
  <si>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</si>
  <si>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</si>
  <si>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</si>
  <si>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</si>
  <si>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</si>
  <si>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</si>
  <si>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</si>
  <si>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</si>
  <si>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</si>
  <si>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</si>
  <si>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</si>
  <si>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</si>
  <si>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</si>
  <si>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</si>
  <si>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</si>
  <si>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</si>
  <si>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</si>
  <si>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</si>
  <si>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</si>
  <si>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</si>
  <si>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</si>
  <si>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</si>
  <si>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</si>
  <si>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</si>
  <si>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</si>
  <si>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</si>
  <si>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</si>
  <si>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</si>
  <si>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</si>
  <si>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</si>
  <si>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</si>
  <si>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</si>
  <si>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</si>
  <si>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</si>
  <si>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</si>
  <si>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</si>
  <si>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</si>
  <si>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</si>
  <si>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</si>
  <si>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</si>
  <si>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</si>
  <si>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</si>
  <si>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</si>
  <si>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</si>
  <si>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</si>
  <si>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</si>
  <si>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</si>
  <si>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</si>
  <si>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</si>
  <si>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</si>
  <si>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</si>
  <si>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</si>
  <si>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</si>
  <si>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</si>
  <si>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</si>
  <si>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</si>
  <si>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</si>
  <si>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</si>
  <si>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</si>
  <si>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</si>
  <si>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</si>
  <si>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</si>
  <si>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</si>
  <si>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</si>
  <si>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</si>
  <si>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</si>
  <si>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</si>
  <si>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</si>
  <si>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</si>
  <si>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</si>
  <si>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</si>
  <si>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</si>
  <si>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</si>
  <si>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</si>
  <si>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</si>
  <si>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</si>
  <si>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</si>
  <si>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</si>
  <si>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</si>
  <si>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</si>
  <si>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</si>
  <si>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</si>
  <si>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</si>
  <si>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</si>
  <si>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</si>
  <si>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</si>
  <si>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</si>
  <si>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</si>
  <si>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</si>
  <si>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</si>
  <si>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</si>
  <si>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</si>
  <si>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</si>
  <si>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</si>
  <si>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</si>
  <si>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</si>
  <si>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</si>
  <si>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</si>
  <si>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</si>
  <si>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</si>
  <si>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</si>
  <si>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13-256</t>
  </si>
  <si>
    <t>Director de 1ª Ens. Prim.T. P. P.</t>
  </si>
  <si>
    <t>13-260</t>
  </si>
  <si>
    <t>Director de 2ª Ens. Primaria</t>
  </si>
  <si>
    <t>13-265</t>
  </si>
  <si>
    <t>Director de 3ª Ens. Primaria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</si>
  <si>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</si>
  <si>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</si>
  <si>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</si>
  <si>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</si>
  <si>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</si>
  <si>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</si>
  <si>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</si>
  <si>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</si>
  <si>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</si>
  <si>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</si>
  <si>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</si>
  <si>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</si>
  <si>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</si>
  <si>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</si>
  <si>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</si>
  <si>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</si>
  <si>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</si>
  <si>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</si>
  <si>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</si>
  <si>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</si>
  <si>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</si>
  <si>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</si>
  <si>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</si>
  <si>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</si>
  <si>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</si>
  <si>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</si>
  <si>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</si>
  <si>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</si>
  <si>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</si>
  <si>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</si>
  <si>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</si>
  <si>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</si>
  <si>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</si>
  <si>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</si>
  <si>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</si>
  <si>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</si>
  <si>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</si>
  <si>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</si>
  <si>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</si>
  <si>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</si>
  <si>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</si>
  <si>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</si>
  <si>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</si>
  <si>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</si>
  <si>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</si>
  <si>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</si>
  <si>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</si>
  <si>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</si>
  <si>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</si>
  <si>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</si>
  <si>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</si>
  <si>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</si>
  <si>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</si>
  <si>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</si>
  <si>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</si>
  <si>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</si>
  <si>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</si>
  <si>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</si>
  <si>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</si>
  <si>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</si>
  <si>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</si>
  <si>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</si>
  <si>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</si>
  <si>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</si>
  <si>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</si>
  <si>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</si>
  <si>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</si>
  <si>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</si>
  <si>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</si>
  <si>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</si>
  <si>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</si>
  <si>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</si>
  <si>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</si>
  <si>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</si>
  <si>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</si>
  <si>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</si>
  <si>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</si>
  <si>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</si>
  <si>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</si>
  <si>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</si>
  <si>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</si>
  <si>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</si>
  <si>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</si>
  <si>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</si>
  <si>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</si>
  <si>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</si>
  <si>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</si>
  <si>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</si>
  <si>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</si>
  <si>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</si>
  <si>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</si>
  <si>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</si>
  <si>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</si>
  <si>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</si>
  <si>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</si>
  <si>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</si>
  <si>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</si>
  <si>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</si>
  <si>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</si>
  <si>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</si>
  <si>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</si>
  <si>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</si>
  <si>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</si>
  <si>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</si>
  <si>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</si>
  <si>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</si>
  <si>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</si>
  <si>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</si>
  <si>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</si>
  <si>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</si>
  <si>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</si>
  <si>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</si>
  <si>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</si>
  <si>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</si>
  <si>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</si>
  <si>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</si>
  <si>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</si>
  <si>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</si>
  <si>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</si>
  <si>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</si>
  <si>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</si>
  <si>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</si>
  <si>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</si>
  <si>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</si>
  <si>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</si>
  <si>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</si>
  <si>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</si>
  <si>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</si>
  <si>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</si>
  <si>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</si>
  <si>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</si>
  <si>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</si>
  <si>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13-517</t>
  </si>
  <si>
    <t>Maestro Esp Artística</t>
  </si>
  <si>
    <t>13-520</t>
  </si>
  <si>
    <t>Preceptor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</si>
  <si>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</si>
  <si>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</si>
  <si>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</si>
  <si>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</si>
  <si>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</si>
  <si>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</si>
  <si>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</si>
  <si>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</si>
  <si>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</si>
  <si>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</si>
  <si>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</si>
  <si>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</si>
  <si>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</si>
  <si>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</si>
  <si>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</si>
  <si>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</si>
  <si>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</si>
  <si>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</si>
  <si>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</si>
  <si>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</si>
  <si>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</si>
  <si>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</si>
  <si>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</si>
  <si>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</si>
  <si>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</si>
  <si>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</si>
  <si>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</si>
  <si>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</si>
  <si>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</si>
  <si>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</si>
  <si>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</si>
  <si>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</si>
  <si>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</si>
  <si>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</si>
  <si>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</si>
  <si>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</si>
  <si>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</si>
  <si>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</si>
  <si>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</si>
  <si>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</si>
  <si>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</si>
  <si>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</si>
  <si>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</si>
  <si>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</si>
  <si>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</si>
  <si>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</si>
  <si>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</si>
  <si>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</si>
  <si>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</si>
  <si>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</si>
  <si>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</si>
  <si>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</si>
  <si>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13-800</t>
  </si>
  <si>
    <t>Mtro. Mat. Esp. Esc. Hogar</t>
  </si>
  <si>
    <t>13-900</t>
  </si>
  <si>
    <t>13-910</t>
  </si>
  <si>
    <t>13-920</t>
  </si>
  <si>
    <t>Hs. Cat. Ley 22416 01 Hora</t>
  </si>
  <si>
    <t>Presidente Junta Clas. Primaria</t>
  </si>
  <si>
    <t>Vocal Junta Clas. Primaria</t>
  </si>
  <si>
    <t>Miembro Vocal de Junta D.E.M.E.S.</t>
  </si>
  <si>
    <t xml:space="preserve">Basico </t>
  </si>
  <si>
    <t>Ded. Funcional</t>
  </si>
  <si>
    <t>Ded. Excl.</t>
  </si>
  <si>
    <t>Compl. Esp.</t>
  </si>
  <si>
    <t xml:space="preserve">Ad. Rem </t>
  </si>
  <si>
    <t>Est. Doc</t>
  </si>
  <si>
    <t>Supl. Cap.</t>
  </si>
  <si>
    <t>P.Cal Ed.</t>
  </si>
  <si>
    <t>Func. Jer</t>
  </si>
  <si>
    <t>Pr.Jor Func.</t>
  </si>
  <si>
    <t>Pr.Jor Pts.</t>
  </si>
  <si>
    <t>Bon Minor.</t>
  </si>
  <si>
    <t>Fun. Dif</t>
  </si>
  <si>
    <t>M.Did Men.</t>
  </si>
  <si>
    <t>Antig</t>
  </si>
  <si>
    <t>Valor del Punto</t>
  </si>
  <si>
    <t>P1839</t>
  </si>
  <si>
    <t>Bon. Por Minoridad</t>
  </si>
  <si>
    <t>Años</t>
  </si>
  <si>
    <t>Porcentaje</t>
  </si>
  <si>
    <t>P1803</t>
  </si>
  <si>
    <t>Maestro Mat. Esp. - Ex. Cons. Menor</t>
  </si>
  <si>
    <t>Estado Docente</t>
  </si>
  <si>
    <t>Ad Rem Hs</t>
  </si>
  <si>
    <t>Compl. Inicial</t>
  </si>
  <si>
    <t>Prom hs</t>
  </si>
  <si>
    <t>13-041</t>
  </si>
  <si>
    <t>Inspector de Jovenes y Adultos</t>
  </si>
  <si>
    <t>13-020</t>
  </si>
  <si>
    <t xml:space="preserve">Inspector Gral. De Adultos </t>
  </si>
  <si>
    <t>Fondo</t>
  </si>
  <si>
    <t>Ad R Doc</t>
  </si>
  <si>
    <t>Nuevo  A.R.D.</t>
  </si>
  <si>
    <t>C100003</t>
  </si>
  <si>
    <t>C117230</t>
  </si>
  <si>
    <t>C117630</t>
  </si>
  <si>
    <t>C118210</t>
  </si>
  <si>
    <t>C130300</t>
  </si>
  <si>
    <t>C110230</t>
  </si>
  <si>
    <t>C117730</t>
  </si>
  <si>
    <t>C117430</t>
  </si>
  <si>
    <t>C118420</t>
  </si>
  <si>
    <t>C117930</t>
  </si>
  <si>
    <t>C117830</t>
  </si>
  <si>
    <t>C118030</t>
  </si>
  <si>
    <t>C118510</t>
  </si>
  <si>
    <t>C 117900</t>
  </si>
  <si>
    <t>C114200</t>
  </si>
  <si>
    <t>C118390</t>
  </si>
  <si>
    <t>C117530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</si>
  <si>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</si>
  <si>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</si>
  <si>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</si>
  <si>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</si>
  <si>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</si>
  <si>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</si>
  <si>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</si>
  <si>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</si>
  <si>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</si>
  <si>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</si>
  <si>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</si>
  <si>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</si>
  <si>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</si>
  <si>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</si>
  <si>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</si>
  <si>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</si>
  <si>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</si>
  <si>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</si>
  <si>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</si>
  <si>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</si>
  <si>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</si>
  <si>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</si>
  <si>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</si>
  <si>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</si>
  <si>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</si>
  <si>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Preceptor Escuela de Mod Especial</t>
  </si>
  <si>
    <t>13-797</t>
  </si>
  <si>
    <t>Preceptor Jor Compl, Esc Hogar, An Alb</t>
  </si>
  <si>
    <t>13-930</t>
  </si>
  <si>
    <t>Zona</t>
  </si>
  <si>
    <t>ANTIGÜEDAD (EN AÑOS)</t>
  </si>
  <si>
    <t>ZONA DESFAVORABLE (EN NUMEROS)</t>
  </si>
  <si>
    <t>Jornada Extendida Modulo de 2 hs</t>
  </si>
  <si>
    <t>Mat. Did. Mens (5%)</t>
  </si>
  <si>
    <t>Mat. Did. Hs.</t>
  </si>
  <si>
    <t>Adel Inc Docente</t>
  </si>
  <si>
    <t>C130030</t>
  </si>
  <si>
    <t>HS FONID</t>
  </si>
  <si>
    <t>HS SEM</t>
  </si>
  <si>
    <t>Adic Rem Cgo 1</t>
  </si>
  <si>
    <t>Adic Rem Cgo 2</t>
  </si>
  <si>
    <t>Adic Rem Cgo 4</t>
  </si>
  <si>
    <t>Adic Rem Cgo 5</t>
  </si>
  <si>
    <t>Adic Rem Cgo 6</t>
  </si>
  <si>
    <t>C118360</t>
  </si>
  <si>
    <t>Prom Cgos 1</t>
  </si>
  <si>
    <t>Prom Cgos 2</t>
  </si>
  <si>
    <t>C118460</t>
  </si>
  <si>
    <t>x</t>
  </si>
  <si>
    <t>Maestro Mat. Esp. - Ex. Cons. Menor Jubilado</t>
  </si>
  <si>
    <t>Ad. Extr</t>
  </si>
  <si>
    <t>Adic Rem Cgo 7</t>
  </si>
  <si>
    <t>NO</t>
  </si>
  <si>
    <t>SI</t>
  </si>
  <si>
    <t>LIQ PN</t>
  </si>
  <si>
    <t>Mat. Did. Mensual 01</t>
  </si>
  <si>
    <t>Mat. Did. Mensual 03</t>
  </si>
  <si>
    <t>Mat. Did. Mensual 02</t>
  </si>
  <si>
    <t>Mat. Did. Mensual 04</t>
  </si>
  <si>
    <t>Supl. Cap 01</t>
  </si>
  <si>
    <t>Supl. Cap 02</t>
  </si>
  <si>
    <t>Gto. Inh. Lab. Doc (5%)</t>
  </si>
  <si>
    <t>Gtos. Inh. Lab. Doc.</t>
  </si>
  <si>
    <t>Mat. Did. 930</t>
  </si>
  <si>
    <t>Gto. Inh. Lab. Doc 930</t>
  </si>
  <si>
    <t>Gto. Inh. Lab. Doc hs</t>
  </si>
  <si>
    <t>Gto. Inh. Lab. Doc 04</t>
  </si>
  <si>
    <t>Gto. Inh. Lab. Doc 03</t>
  </si>
  <si>
    <t>Gto. Inh. Lab. Doc 02</t>
  </si>
  <si>
    <t>Gto. Inh. Lab. Doc 01</t>
  </si>
  <si>
    <t>C112620</t>
  </si>
  <si>
    <t>MAT DID</t>
  </si>
  <si>
    <t>G.I.L.Do.</t>
  </si>
  <si>
    <t>bruto</t>
  </si>
  <si>
    <t>jub</t>
  </si>
  <si>
    <t>apross</t>
  </si>
  <si>
    <t>77,50%</t>
  </si>
  <si>
    <t>4,50%</t>
  </si>
  <si>
    <t>18,00%</t>
  </si>
  <si>
    <t>100,00%</t>
  </si>
  <si>
    <t>Total Rem</t>
  </si>
  <si>
    <t>Total No Rem</t>
  </si>
  <si>
    <t>Fonid hs</t>
  </si>
  <si>
    <t>13-100</t>
  </si>
  <si>
    <t>13-101</t>
  </si>
  <si>
    <t>13-102</t>
  </si>
  <si>
    <t>Director de 1ª Ens. Primaria (Jardin Inf)</t>
  </si>
  <si>
    <t>Director de 2ª Ens. Primaria (Jardin Inf)</t>
  </si>
  <si>
    <t>Director de 3ª Ens. Primaria (Jardin Inf)</t>
  </si>
  <si>
    <t>Fonid cgos</t>
  </si>
  <si>
    <t>MES</t>
  </si>
  <si>
    <t>TIPO</t>
  </si>
  <si>
    <t>MD</t>
  </si>
  <si>
    <t>GILDO</t>
  </si>
  <si>
    <t>CGO 1</t>
  </si>
  <si>
    <t>CGO 2</t>
  </si>
  <si>
    <t>CGO 3</t>
  </si>
  <si>
    <t>CGO 4</t>
  </si>
  <si>
    <t>HS 1</t>
  </si>
  <si>
    <t>HS 30</t>
  </si>
  <si>
    <t>HS 930</t>
  </si>
  <si>
    <t>TR</t>
  </si>
  <si>
    <t>TNR</t>
  </si>
  <si>
    <t>C120170</t>
  </si>
  <si>
    <t>Ap Mat Did Rem.</t>
  </si>
  <si>
    <t>Ap Mat Did Rem. Compl</t>
  </si>
  <si>
    <t>C121170</t>
  </si>
  <si>
    <t>Ap Mat Did Rem.Compl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</si>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</sst>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_-;\-* #,##0_-;_-* &quot;-&quot;_-;_-@_-"/>
    <numFmt numFmtId="165" formatCode="_(&quot;$&quot;* #,##0.00_);_(&quot;$&quot;* \(#,##0.00\);_(&quot;$&quot;* &quot;-&quot;??_);_(@_)"/>
    <numFmt numFmtId="166" formatCode="_ * #,##0_ ;_ * \-#,##0_ ;_ * &quot;-&quot;??_ ;_ @_ "/>
    <numFmt numFmtId="167" formatCode="0.0000"/>
    <numFmt numFmtId="168" formatCode="0_ ;\-0\ "/>
  </numFmts>
  <fonts count="3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0"/>
      <color indexed="12"/>
      <name val="Arial"/>
      <family val="2"/>
    </font>
    <font>
      <sz val="7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color indexed="9"/>
      <name val="Times New Roman"/>
      <family val="1"/>
    </font>
    <font>
      <sz val="6"/>
      <color indexed="9"/>
      <name val="Times New Roman"/>
      <family val="1"/>
    </font>
    <font>
      <b/>
      <sz val="20"/>
      <color indexed="8"/>
      <name val="Times New Roman"/>
      <family val="1"/>
    </font>
    <font>
      <b/>
      <sz val="7"/>
      <name val="Times New Roman"/>
      <family val="1"/>
    </font>
    <font>
      <sz val="6"/>
      <color theme="3" tint="0.79998168889431442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sz val="10"/>
      <color indexed="8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9" fontId="36" fillId="0" borderId="0" applyFont="0" applyFill="0" applyBorder="0" applyAlignment="0" applyProtection="0"/>
  </cellStyleXfs>
  <cellXfs count="145">
    <xf numFmtId="0" fontId="0" fillId="0" borderId="0" xfId="0"/>
    <xf numFmtId="2" fontId="0" fillId="0" borderId="0" xfId="0" applyNumberFormat="1"/>
    <xf numFmtId="0" fontId="4" fillId="0" borderId="0" xfId="37" applyFont="1" applyFill="1" applyBorder="1"/>
    <xf numFmtId="43" fontId="4" fillId="0" borderId="0" xfId="35" applyNumberFormat="1" applyFont="1" applyFill="1" applyBorder="1"/>
    <xf numFmtId="43" fontId="4" fillId="0" borderId="0" xfId="37" applyNumberFormat="1" applyFont="1" applyFill="1" applyBorder="1"/>
    <xf numFmtId="2" fontId="4" fillId="0" borderId="0" xfId="37" applyNumberFormat="1" applyFont="1" applyFill="1" applyBorder="1"/>
    <xf numFmtId="0" fontId="4" fillId="0" borderId="10" xfId="37" applyFont="1" applyFill="1" applyBorder="1"/>
    <xf numFmtId="43" fontId="6" fillId="0" borderId="0" xfId="35" applyNumberFormat="1" applyFont="1" applyFill="1" applyBorder="1" applyAlignment="1"/>
    <xf numFmtId="0" fontId="6" fillId="0" borderId="0" xfId="37" applyFont="1" applyFill="1" applyBorder="1" applyAlignment="1"/>
    <xf numFmtId="0" fontId="6" fillId="0" borderId="0" xfId="37" applyFont="1" applyFill="1" applyBorder="1"/>
    <xf numFmtId="0" fontId="6" fillId="0" borderId="0" xfId="37" applyFont="1" applyFill="1" applyBorder="1" applyAlignment="1">
      <alignment horizontal="left" wrapText="1"/>
    </xf>
    <xf numFmtId="0" fontId="4" fillId="0" borderId="0" xfId="37" applyFont="1" applyFill="1" applyBorder="1" applyAlignment="1">
      <alignment horizontal="center"/>
    </xf>
    <xf numFmtId="43" fontId="7" fillId="0" borderId="0" xfId="37" applyNumberFormat="1" applyFont="1" applyFill="1" applyBorder="1" applyAlignment="1">
      <alignment wrapText="1"/>
    </xf>
    <xf numFmtId="43" fontId="6" fillId="0" borderId="0" xfId="37" applyNumberFormat="1" applyFont="1" applyFill="1" applyBorder="1" applyAlignment="1"/>
    <xf numFmtId="43" fontId="0" fillId="0" borderId="0" xfId="0" applyNumberFormat="1"/>
    <xf numFmtId="43" fontId="7" fillId="0" borderId="0" xfId="37" applyNumberFormat="1" applyFont="1" applyFill="1" applyBorder="1" applyAlignment="1">
      <alignment horizontal="right" wrapText="1"/>
    </xf>
    <xf numFmtId="43" fontId="8" fillId="0" borderId="0" xfId="31" applyNumberFormat="1" applyFill="1" applyBorder="1" applyAlignment="1" applyProtection="1"/>
    <xf numFmtId="43" fontId="4" fillId="0" borderId="0" xfId="33" applyFont="1" applyFill="1" applyBorder="1"/>
    <xf numFmtId="43" fontId="0" fillId="0" borderId="0" xfId="33" applyFont="1"/>
    <xf numFmtId="43" fontId="4" fillId="0" borderId="0" xfId="33" applyFont="1" applyFill="1" applyBorder="1" applyAlignment="1"/>
    <xf numFmtId="0" fontId="6" fillId="0" borderId="0" xfId="37" applyFont="1" applyFill="1" applyBorder="1" applyAlignment="1">
      <alignment horizontal="center"/>
    </xf>
    <xf numFmtId="0" fontId="1" fillId="0" borderId="0" xfId="0" applyFont="1"/>
    <xf numFmtId="0" fontId="30" fillId="0" borderId="0" xfId="37" applyFont="1" applyFill="1" applyBorder="1"/>
    <xf numFmtId="0" fontId="5" fillId="0" borderId="0" xfId="37" applyFont="1" applyFill="1" applyBorder="1" applyAlignment="1">
      <alignment horizontal="left"/>
    </xf>
    <xf numFmtId="1" fontId="0" fillId="0" borderId="0" xfId="0" applyNumberFormat="1" applyFill="1" applyBorder="1"/>
    <xf numFmtId="43" fontId="31" fillId="0" borderId="0" xfId="37" applyNumberFormat="1" applyFont="1" applyFill="1" applyBorder="1"/>
    <xf numFmtId="0" fontId="31" fillId="0" borderId="0" xfId="37" applyFont="1" applyFill="1" applyBorder="1"/>
    <xf numFmtId="167" fontId="12" fillId="0" borderId="0" xfId="34" applyNumberFormat="1" applyFont="1" applyFill="1" applyBorder="1" applyAlignment="1">
      <alignment horizontal="center"/>
    </xf>
    <xf numFmtId="0" fontId="10" fillId="0" borderId="0" xfId="37" applyFont="1" applyFill="1" applyAlignment="1">
      <alignment horizontal="center"/>
    </xf>
    <xf numFmtId="167" fontId="12" fillId="0" borderId="0" xfId="34" applyNumberFormat="1" applyFont="1" applyFill="1" applyBorder="1" applyAlignment="1">
      <alignment vertical="center"/>
    </xf>
    <xf numFmtId="0" fontId="10" fillId="0" borderId="0" xfId="37" applyFont="1" applyFill="1" applyBorder="1" applyAlignment="1"/>
    <xf numFmtId="0" fontId="5" fillId="0" borderId="0" xfId="37" applyFont="1" applyFill="1" applyBorder="1" applyAlignment="1">
      <alignment horizontal="right"/>
    </xf>
    <xf numFmtId="166" fontId="7" fillId="0" borderId="0" xfId="33" applyNumberFormat="1" applyFont="1" applyFill="1" applyBorder="1" applyAlignment="1">
      <alignment horizontal="right"/>
    </xf>
    <xf numFmtId="43" fontId="7" fillId="0" borderId="0" xfId="35" applyNumberFormat="1" applyFont="1" applyFill="1" applyBorder="1" applyAlignment="1">
      <alignment horizontal="right"/>
    </xf>
    <xf numFmtId="0" fontId="34" fillId="0" borderId="0" xfId="37" applyFont="1" applyFill="1" applyBorder="1"/>
    <xf numFmtId="43" fontId="0" fillId="0" borderId="0" xfId="33" applyNumberFormat="1" applyFont="1"/>
    <xf numFmtId="0" fontId="6" fillId="0" borderId="13" xfId="37" applyFont="1" applyFill="1" applyBorder="1" applyAlignment="1"/>
    <xf numFmtId="43" fontId="6" fillId="0" borderId="13" xfId="37" applyNumberFormat="1" applyFont="1" applyFill="1" applyBorder="1" applyAlignmen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47" applyNumberFormat="1" applyFont="1" applyAlignment="1">
      <alignment horizontal="center"/>
    </xf>
    <xf numFmtId="0" fontId="6" fillId="0" borderId="12" xfId="37" applyFont="1" applyFill="1" applyBorder="1"/>
    <xf numFmtId="0" fontId="6" fillId="0" borderId="12" xfId="37" applyFont="1" applyFill="1" applyBorder="1" applyAlignment="1">
      <alignment horizontal="left" wrapText="1"/>
    </xf>
    <xf numFmtId="43" fontId="7" fillId="0" borderId="12" xfId="37" applyNumberFormat="1" applyFont="1" applyFill="1" applyBorder="1" applyAlignment="1">
      <alignment horizontal="right" wrapText="1"/>
    </xf>
    <xf numFmtId="43" fontId="7" fillId="0" borderId="12" xfId="37" applyNumberFormat="1" applyFont="1" applyFill="1" applyBorder="1" applyAlignment="1">
      <alignment wrapText="1"/>
    </xf>
    <xf numFmtId="0" fontId="6" fillId="0" borderId="12" xfId="37" applyFont="1" applyFill="1" applyBorder="1" applyAlignment="1">
      <alignment horizontal="center"/>
    </xf>
    <xf numFmtId="0" fontId="4" fillId="0" borderId="12" xfId="37" applyFont="1" applyFill="1" applyBorder="1" applyAlignment="1">
      <alignment horizontal="center"/>
    </xf>
    <xf numFmtId="1" fontId="0" fillId="0" borderId="12" xfId="0" applyNumberFormat="1" applyFill="1" applyBorder="1"/>
    <xf numFmtId="0" fontId="6" fillId="0" borderId="12" xfId="37" applyFont="1" applyFill="1" applyBorder="1" applyAlignment="1"/>
    <xf numFmtId="0" fontId="4" fillId="0" borderId="12" xfId="37" applyFont="1" applyFill="1" applyBorder="1"/>
    <xf numFmtId="43" fontId="7" fillId="0" borderId="12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/>
    </xf>
    <xf numFmtId="43" fontId="37" fillId="0" borderId="0" xfId="37" applyNumberFormat="1" applyFont="1" applyFill="1" applyBorder="1"/>
    <xf numFmtId="0" fontId="10" fillId="0" borderId="0" xfId="37" applyFont="1" applyFill="1" applyBorder="1" applyAlignment="1">
      <alignment horizontal="center"/>
    </xf>
    <xf numFmtId="166" fontId="7" fillId="0" borderId="12" xfId="33" applyNumberFormat="1" applyFont="1" applyFill="1" applyBorder="1" applyAlignment="1">
      <alignment horizontal="right"/>
    </xf>
    <xf numFmtId="0" fontId="7" fillId="0" borderId="16" xfId="37" applyFont="1" applyFill="1" applyBorder="1" applyAlignment="1">
      <alignment horizontal="right"/>
    </xf>
    <xf numFmtId="43" fontId="6" fillId="0" borderId="14" xfId="37" applyNumberFormat="1" applyFont="1" applyFill="1" applyBorder="1" applyAlignment="1"/>
    <xf numFmtId="43" fontId="6" fillId="0" borderId="13" xfId="33" applyFont="1" applyFill="1" applyBorder="1" applyAlignment="1"/>
    <xf numFmtId="43" fontId="4" fillId="0" borderId="10" xfId="37" applyNumberFormat="1" applyFont="1" applyFill="1" applyBorder="1"/>
    <xf numFmtId="0" fontId="6" fillId="0" borderId="13" xfId="37" applyFont="1" applyFill="1" applyBorder="1"/>
    <xf numFmtId="43" fontId="6" fillId="0" borderId="14" xfId="35" applyNumberFormat="1" applyFont="1" applyFill="1" applyBorder="1" applyAlignment="1"/>
    <xf numFmtId="43" fontId="5" fillId="0" borderId="10" xfId="37" applyNumberFormat="1" applyFont="1" applyFill="1" applyBorder="1" applyAlignment="1">
      <alignment horizontal="center" vertical="center" wrapText="1"/>
    </xf>
    <xf numFmtId="43" fontId="5" fillId="0" borderId="10" xfId="37" applyNumberFormat="1" applyFont="1" applyFill="1" applyBorder="1" applyAlignment="1">
      <alignment horizontal="center" vertical="center"/>
    </xf>
    <xf numFmtId="43" fontId="5" fillId="0" borderId="10" xfId="33" applyFont="1" applyFill="1" applyBorder="1" applyAlignment="1">
      <alignment vertical="center" wrapText="1"/>
    </xf>
    <xf numFmtId="43" fontId="5" fillId="0" borderId="10" xfId="33" applyFont="1" applyFill="1" applyBorder="1" applyAlignment="1">
      <alignment horizontal="center" vertical="center" wrapText="1"/>
    </xf>
    <xf numFmtId="43" fontId="6" fillId="0" borderId="0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 wrapText="1"/>
    </xf>
    <xf numFmtId="43" fontId="9" fillId="0" borderId="0" xfId="35" applyNumberFormat="1" applyFont="1" applyFill="1" applyBorder="1" applyAlignment="1">
      <alignment horizontal="right"/>
    </xf>
    <xf numFmtId="43" fontId="6" fillId="0" borderId="12" xfId="35" applyNumberFormat="1" applyFont="1" applyFill="1" applyBorder="1" applyAlignment="1">
      <alignment horizontal="right"/>
    </xf>
    <xf numFmtId="43" fontId="6" fillId="0" borderId="12" xfId="37" applyNumberFormat="1" applyFont="1" applyFill="1" applyBorder="1" applyAlignment="1">
      <alignment horizontal="right" wrapText="1"/>
    </xf>
    <xf numFmtId="43" fontId="9" fillId="0" borderId="12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 wrapText="1"/>
    </xf>
    <xf numFmtId="43" fontId="9" fillId="0" borderId="12" xfId="37" applyNumberFormat="1" applyFont="1" applyFill="1" applyBorder="1" applyAlignment="1">
      <alignment horizontal="right" wrapText="1"/>
    </xf>
    <xf numFmtId="43" fontId="6" fillId="0" borderId="12" xfId="37" applyNumberFormat="1" applyFont="1" applyFill="1" applyBorder="1" applyAlignment="1">
      <alignment horizontal="right"/>
    </xf>
    <xf numFmtId="43" fontId="9" fillId="24" borderId="0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/>
    </xf>
    <xf numFmtId="43" fontId="9" fillId="0" borderId="12" xfId="37" applyNumberFormat="1" applyFont="1" applyFill="1" applyBorder="1" applyAlignment="1">
      <alignment horizontal="right"/>
    </xf>
    <xf numFmtId="43" fontId="6" fillId="0" borderId="0" xfId="33" applyNumberFormat="1" applyFont="1" applyFill="1" applyBorder="1" applyAlignment="1">
      <alignment horizontal="right"/>
    </xf>
    <xf numFmtId="43" fontId="6" fillId="0" borderId="12" xfId="33" applyNumberFormat="1" applyFont="1" applyFill="1" applyBorder="1" applyAlignment="1">
      <alignment horizontal="right"/>
    </xf>
    <xf numFmtId="0" fontId="6" fillId="0" borderId="13" xfId="37" applyFont="1" applyFill="1" applyBorder="1" applyAlignment="1">
      <alignment horizontal="center"/>
    </xf>
    <xf numFmtId="0" fontId="6" fillId="0" borderId="10" xfId="37" applyFont="1" applyFill="1" applyBorder="1" applyAlignment="1">
      <alignment horizontal="center" vertical="center" wrapText="1"/>
    </xf>
    <xf numFmtId="14" fontId="0" fillId="0" borderId="0" xfId="0" applyNumberFormat="1"/>
    <xf numFmtId="43" fontId="7" fillId="0" borderId="10" xfId="37" applyNumberFormat="1" applyFont="1" applyFill="1" applyBorder="1" applyAlignment="1">
      <alignment horizontal="center" vertical="center" wrapText="1"/>
    </xf>
    <xf numFmtId="43" fontId="7" fillId="0" borderId="13" xfId="37" applyNumberFormat="1" applyFont="1" applyFill="1" applyBorder="1" applyAlignment="1">
      <alignment horizontal="center" vertical="center" wrapText="1"/>
    </xf>
    <xf numFmtId="43" fontId="7" fillId="0" borderId="13" xfId="37" applyNumberFormat="1" applyFont="1" applyFill="1" applyBorder="1" applyAlignment="1">
      <alignment horizontal="center" vertical="center"/>
    </xf>
    <xf numFmtId="0" fontId="6" fillId="0" borderId="17" xfId="37" applyFont="1" applyFill="1" applyBorder="1" applyAlignment="1">
      <alignment horizontal="center"/>
    </xf>
    <xf numFmtId="43" fontId="0" fillId="24" borderId="0" xfId="33" applyFont="1" applyFill="1"/>
    <xf numFmtId="2" fontId="0" fillId="24" borderId="0" xfId="0" applyNumberFormat="1" applyFill="1"/>
    <xf numFmtId="164" fontId="4" fillId="0" borderId="0" xfId="37" applyNumberFormat="1" applyFont="1" applyFill="1" applyBorder="1" applyAlignment="1">
      <alignment horizontal="right"/>
    </xf>
    <xf numFmtId="164" fontId="7" fillId="0" borderId="16" xfId="37" applyNumberFormat="1" applyFont="1" applyFill="1" applyBorder="1" applyAlignment="1">
      <alignment horizontal="right"/>
    </xf>
    <xf numFmtId="164" fontId="7" fillId="0" borderId="0" xfId="37" applyNumberFormat="1" applyFont="1" applyFill="1" applyBorder="1" applyAlignment="1">
      <alignment horizontal="right" wrapText="1"/>
    </xf>
    <xf numFmtId="164" fontId="7" fillId="0" borderId="12" xfId="37" applyNumberFormat="1" applyFont="1" applyFill="1" applyBorder="1" applyAlignment="1">
      <alignment horizontal="right" wrapText="1"/>
    </xf>
    <xf numFmtId="164" fontId="7" fillId="0" borderId="12" xfId="35" applyNumberFormat="1" applyFont="1" applyFill="1" applyBorder="1" applyAlignment="1">
      <alignment horizontal="right"/>
    </xf>
    <xf numFmtId="164" fontId="7" fillId="0" borderId="0" xfId="35" applyNumberFormat="1" applyFont="1" applyFill="1" applyBorder="1" applyAlignment="1">
      <alignment horizontal="right"/>
    </xf>
    <xf numFmtId="164" fontId="6" fillId="0" borderId="0" xfId="37" applyNumberFormat="1" applyFont="1" applyFill="1" applyBorder="1" applyAlignment="1">
      <alignment horizontal="right"/>
    </xf>
    <xf numFmtId="166" fontId="4" fillId="0" borderId="0" xfId="37" applyNumberFormat="1" applyFont="1" applyFill="1" applyBorder="1" applyAlignment="1">
      <alignment horizontal="right"/>
    </xf>
    <xf numFmtId="166" fontId="7" fillId="0" borderId="16" xfId="37" applyNumberFormat="1" applyFont="1" applyFill="1" applyBorder="1" applyAlignment="1">
      <alignment horizontal="right"/>
    </xf>
    <xf numFmtId="166" fontId="7" fillId="0" borderId="0" xfId="35" applyNumberFormat="1" applyFont="1" applyFill="1" applyBorder="1" applyAlignment="1">
      <alignment horizontal="right"/>
    </xf>
    <xf numFmtId="166" fontId="7" fillId="0" borderId="12" xfId="35" applyNumberFormat="1" applyFont="1" applyFill="1" applyBorder="1" applyAlignment="1">
      <alignment horizontal="right"/>
    </xf>
    <xf numFmtId="166" fontId="6" fillId="0" borderId="0" xfId="37" applyNumberFormat="1" applyFont="1" applyFill="1" applyBorder="1" applyAlignment="1">
      <alignment horizontal="right"/>
    </xf>
    <xf numFmtId="166" fontId="7" fillId="0" borderId="0" xfId="37" applyNumberFormat="1" applyFont="1" applyFill="1" applyBorder="1" applyAlignment="1">
      <alignment horizontal="right"/>
    </xf>
    <xf numFmtId="166" fontId="7" fillId="0" borderId="12" xfId="37" applyNumberFormat="1" applyFont="1" applyFill="1" applyBorder="1" applyAlignment="1">
      <alignment horizontal="right"/>
    </xf>
    <xf numFmtId="43" fontId="0" fillId="24" borderId="0" xfId="0" applyNumberFormat="1" applyFill="1"/>
    <xf numFmtId="164" fontId="33" fillId="0" borderId="0" xfId="35" applyNumberFormat="1" applyFont="1" applyFill="1" applyBorder="1" applyAlignment="1">
      <alignment horizontal="right"/>
    </xf>
    <xf numFmtId="164" fontId="4" fillId="0" borderId="0" xfId="35" applyNumberFormat="1" applyFont="1" applyFill="1" applyBorder="1"/>
    <xf numFmtId="0" fontId="7" fillId="0" borderId="0" xfId="37" applyFont="1" applyFill="1" applyBorder="1" applyAlignment="1">
      <alignment horizontal="right"/>
    </xf>
    <xf numFmtId="168" fontId="4" fillId="0" borderId="0" xfId="35" applyNumberFormat="1" applyFont="1" applyFill="1" applyBorder="1" applyAlignment="1"/>
    <xf numFmtId="43" fontId="9" fillId="0" borderId="0" xfId="35" applyNumberFormat="1" applyFont="1" applyFill="1" applyBorder="1" applyAlignment="1"/>
    <xf numFmtId="43" fontId="6" fillId="0" borderId="12" xfId="35" applyNumberFormat="1" applyFont="1" applyFill="1" applyBorder="1" applyAlignment="1"/>
    <xf numFmtId="43" fontId="4" fillId="0" borderId="0" xfId="35" applyNumberFormat="1" applyFont="1" applyFill="1" applyBorder="1" applyAlignment="1"/>
    <xf numFmtId="164" fontId="4" fillId="0" borderId="0" xfId="37" applyNumberFormat="1" applyFont="1" applyFill="1" applyBorder="1" applyAlignment="1">
      <alignment horizontal="right" wrapText="1"/>
    </xf>
    <xf numFmtId="164" fontId="7" fillId="0" borderId="16" xfId="37" applyNumberFormat="1" applyFont="1" applyFill="1" applyBorder="1" applyAlignment="1">
      <alignment horizontal="right" wrapText="1"/>
    </xf>
    <xf numFmtId="164" fontId="7" fillId="0" borderId="12" xfId="35" applyNumberFormat="1" applyFont="1" applyFill="1" applyBorder="1" applyAlignment="1">
      <alignment horizontal="right" wrapText="1"/>
    </xf>
    <xf numFmtId="164" fontId="7" fillId="0" borderId="0" xfId="35" applyNumberFormat="1" applyFont="1" applyFill="1" applyBorder="1" applyAlignment="1">
      <alignment horizontal="right" wrapText="1"/>
    </xf>
    <xf numFmtId="164" fontId="6" fillId="0" borderId="0" xfId="37" applyNumberFormat="1" applyFont="1" applyFill="1" applyBorder="1" applyAlignment="1">
      <alignment horizontal="right" wrapText="1"/>
    </xf>
    <xf numFmtId="2" fontId="31" fillId="0" borderId="0" xfId="33" applyNumberFormat="1" applyFont="1" applyFill="1" applyBorder="1" applyAlignment="1"/>
    <xf numFmtId="43" fontId="4" fillId="0" borderId="0" xfId="37" applyNumberFormat="1" applyFont="1" applyFill="1" applyBorder="1" applyAlignment="1"/>
    <xf numFmtId="43" fontId="0" fillId="24" borderId="0" xfId="33" applyNumberFormat="1" applyFont="1" applyFill="1"/>
    <xf numFmtId="43" fontId="0" fillId="0" borderId="0" xfId="33" applyFont="1" applyFill="1"/>
    <xf numFmtId="167" fontId="0" fillId="0" borderId="0" xfId="0" applyNumberFormat="1" applyFill="1"/>
    <xf numFmtId="43" fontId="9" fillId="24" borderId="0" xfId="37" applyNumberFormat="1" applyFont="1" applyFill="1" applyBorder="1" applyAlignment="1">
      <alignment horizontal="right"/>
    </xf>
    <xf numFmtId="43" fontId="7" fillId="0" borderId="0" xfId="37" applyNumberFormat="1" applyFont="1" applyFill="1" applyBorder="1" applyAlignment="1">
      <alignment horizontal="right"/>
    </xf>
    <xf numFmtId="43" fontId="7" fillId="0" borderId="0" xfId="37" applyNumberFormat="1" applyFont="1" applyFill="1" applyBorder="1" applyAlignment="1"/>
    <xf numFmtId="43" fontId="7" fillId="0" borderId="12" xfId="37" applyNumberFormat="1" applyFont="1" applyFill="1" applyBorder="1" applyAlignment="1">
      <alignment horizontal="right"/>
    </xf>
    <xf numFmtId="43" fontId="7" fillId="0" borderId="12" xfId="37" applyNumberFormat="1" applyFont="1" applyFill="1" applyBorder="1" applyAlignment="1"/>
    <xf numFmtId="166" fontId="4" fillId="0" borderId="0" xfId="34" applyNumberFormat="1" applyFont="1" applyFill="1" applyBorder="1" applyAlignment="1">
      <alignment horizontal="right"/>
    </xf>
    <xf numFmtId="166" fontId="7" fillId="0" borderId="16" xfId="34" applyNumberFormat="1" applyFont="1" applyFill="1" applyBorder="1" applyAlignment="1">
      <alignment horizontal="right"/>
    </xf>
    <xf numFmtId="166" fontId="7" fillId="0" borderId="0" xfId="34" applyNumberFormat="1" applyFont="1" applyFill="1" applyBorder="1" applyAlignment="1">
      <alignment horizontal="right" wrapText="1"/>
    </xf>
    <xf numFmtId="166" fontId="7" fillId="0" borderId="12" xfId="34" applyNumberFormat="1" applyFont="1" applyFill="1" applyBorder="1" applyAlignment="1">
      <alignment horizontal="right" wrapText="1"/>
    </xf>
    <xf numFmtId="166" fontId="7" fillId="0" borderId="0" xfId="34" applyNumberFormat="1" applyFont="1" applyFill="1" applyBorder="1" applyAlignment="1">
      <alignment horizontal="right"/>
    </xf>
    <xf numFmtId="166" fontId="7" fillId="0" borderId="12" xfId="34" applyNumberFormat="1" applyFont="1" applyFill="1" applyBorder="1" applyAlignment="1">
      <alignment horizontal="right"/>
    </xf>
    <xf numFmtId="166" fontId="6" fillId="0" borderId="0" xfId="34" applyNumberFormat="1" applyFont="1" applyFill="1" applyBorder="1" applyAlignment="1">
      <alignment horizontal="right"/>
    </xf>
    <xf numFmtId="0" fontId="32" fillId="0" borderId="0" xfId="37" applyFont="1" applyFill="1" applyBorder="1" applyAlignment="1">
      <alignment horizontal="center" vertical="center" wrapText="1"/>
    </xf>
    <xf numFmtId="164" fontId="32" fillId="0" borderId="0" xfId="37" applyNumberFormat="1" applyFont="1" applyFill="1" applyBorder="1" applyAlignment="1">
      <alignment horizontal="center" vertical="center" wrapText="1"/>
    </xf>
    <xf numFmtId="0" fontId="5" fillId="0" borderId="15" xfId="37" applyFont="1" applyFill="1" applyBorder="1" applyAlignment="1">
      <alignment horizontal="center" vertical="center" wrapText="1"/>
    </xf>
    <xf numFmtId="0" fontId="5" fillId="0" borderId="11" xfId="37" applyFont="1" applyFill="1" applyBorder="1" applyAlignment="1">
      <alignment horizontal="center" vertical="center" wrapText="1"/>
    </xf>
    <xf numFmtId="164" fontId="5" fillId="0" borderId="15" xfId="37" applyNumberFormat="1" applyFont="1" applyFill="1" applyBorder="1" applyAlignment="1">
      <alignment horizontal="center" vertical="center" wrapText="1"/>
    </xf>
    <xf numFmtId="0" fontId="5" fillId="0" borderId="15" xfId="37" applyFont="1" applyFill="1" applyBorder="1" applyAlignment="1">
      <alignment horizontal="center" vertical="center"/>
    </xf>
    <xf numFmtId="0" fontId="5" fillId="0" borderId="11" xfId="37" applyFont="1" applyFill="1" applyBorder="1" applyAlignment="1">
      <alignment horizontal="center" vertical="center"/>
    </xf>
    <xf numFmtId="1" fontId="5" fillId="0" borderId="15" xfId="37" applyNumberFormat="1" applyFont="1" applyFill="1" applyBorder="1" applyAlignment="1">
      <alignment horizontal="center" vertical="center" wrapText="1"/>
    </xf>
    <xf numFmtId="1" fontId="5" fillId="0" borderId="11" xfId="37" applyNumberFormat="1" applyFont="1" applyFill="1" applyBorder="1" applyAlignment="1">
      <alignment horizontal="center" vertical="center" wrapText="1"/>
    </xf>
    <xf numFmtId="44" fontId="5" fillId="0" borderId="15" xfId="37" applyNumberFormat="1" applyFont="1" applyFill="1" applyBorder="1" applyAlignment="1">
      <alignment horizontal="center" vertical="center"/>
    </xf>
    <xf numFmtId="44" fontId="5" fillId="0" borderId="11" xfId="37" applyNumberFormat="1" applyFont="1" applyFill="1" applyBorder="1" applyAlignment="1">
      <alignment horizontal="center" vertic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Moneda_Tabla Docente 2003" xfId="35"/>
    <cellStyle name="Neutral" xfId="36" builtinId="28" customBuiltin="1"/>
    <cellStyle name="Normal" xfId="0" builtinId="0"/>
    <cellStyle name="Normal_Tabla Docente 2003" xfId="37"/>
    <cellStyle name="Notas" xfId="38" builtinId="10" customBuiltin="1"/>
    <cellStyle name="Porcentaje" xfId="47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17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53"/>
  <sheetViews>
    <sheetView topLeftCell="A34" workbookViewId="0">
      <selection activeCell="C59" sqref="C59"/>
    </sheetView>
  </sheetViews>
  <sheetFormatPr baseColWidth="10" defaultRowHeight="12.75" x14ac:dyDescent="0.2"/>
  <cols>
    <col min="2" max="2" width="22.85546875" customWidth="1"/>
    <col min="3" max="3" width="11.42578125" customWidth="1"/>
    <col min="4" max="4" width="13.28515625" bestFit="1" customWidth="1"/>
    <col min="6" max="6" width="5.28515625" bestFit="1" customWidth="1"/>
    <col min="12" max="12" width="11.140625" customWidth="1"/>
    <col min="15" max="15" width="8.140625" customWidth="1"/>
  </cols>
  <sheetData>
    <row r="1" spans="1:16" x14ac:dyDescent="0.2">
      <c r="A1" t="s">
        <v>520</v>
      </c>
      <c r="F1" t="s">
        <v>380</v>
      </c>
      <c r="G1" t="s">
        <v>381</v>
      </c>
      <c r="J1" s="40" t="s">
        <v>483</v>
      </c>
      <c r="K1" s="41">
        <v>0.25</v>
      </c>
      <c r="M1" s="40" t="s">
        <v>484</v>
      </c>
      <c r="N1" s="42">
        <v>0.77500000000000002</v>
      </c>
    </row>
    <row r="2" spans="1:16" x14ac:dyDescent="0.2">
      <c r="B2" t="s">
        <v>377</v>
      </c>
      <c r="C2" s="121">
        <v>4.5126999999999997</v>
      </c>
      <c r="F2">
        <v>0</v>
      </c>
      <c r="G2" s="1">
        <v>0</v>
      </c>
      <c r="J2" s="1">
        <v>1200</v>
      </c>
      <c r="K2" s="1">
        <f>J2*0.25</f>
        <v>300</v>
      </c>
      <c r="M2" s="1">
        <v>387.1</v>
      </c>
      <c r="N2" s="1">
        <f>M2*0.775</f>
        <v>300.00250000000005</v>
      </c>
      <c r="O2" s="38" t="s">
        <v>485</v>
      </c>
      <c r="P2" s="39" t="s">
        <v>491</v>
      </c>
    </row>
    <row r="3" spans="1:16" x14ac:dyDescent="0.2">
      <c r="B3" t="s">
        <v>379</v>
      </c>
      <c r="C3" s="18">
        <v>0.15</v>
      </c>
      <c r="F3">
        <v>1</v>
      </c>
      <c r="G3" s="1">
        <v>0.15</v>
      </c>
      <c r="J3" s="1">
        <v>800</v>
      </c>
      <c r="K3" s="1">
        <f>J3*0.25</f>
        <v>200</v>
      </c>
      <c r="M3" s="1">
        <v>258.06</v>
      </c>
      <c r="N3" s="1">
        <f>M3*0.775</f>
        <v>199.9965</v>
      </c>
      <c r="O3" s="38" t="s">
        <v>486</v>
      </c>
      <c r="P3" s="39" t="s">
        <v>490</v>
      </c>
    </row>
    <row r="4" spans="1:16" x14ac:dyDescent="0.2">
      <c r="B4" t="s">
        <v>467</v>
      </c>
      <c r="C4" s="88">
        <f>D4*0.5</f>
        <v>300</v>
      </c>
      <c r="D4" s="18">
        <v>600</v>
      </c>
      <c r="F4">
        <v>2</v>
      </c>
      <c r="G4" s="1">
        <v>0.15</v>
      </c>
      <c r="J4" s="1">
        <v>700</v>
      </c>
      <c r="K4" s="1">
        <f>J4*0.25</f>
        <v>175</v>
      </c>
      <c r="M4" s="1">
        <v>225.81</v>
      </c>
      <c r="N4" s="1">
        <f>M4*0.775</f>
        <v>175.00275000000002</v>
      </c>
      <c r="O4" s="38" t="s">
        <v>487</v>
      </c>
      <c r="P4" s="39" t="s">
        <v>489</v>
      </c>
    </row>
    <row r="5" spans="1:16" x14ac:dyDescent="0.2">
      <c r="B5" t="s">
        <v>469</v>
      </c>
      <c r="C5" s="88">
        <f>D5*0.5</f>
        <v>350</v>
      </c>
      <c r="D5" s="18">
        <v>700</v>
      </c>
      <c r="F5">
        <v>3</v>
      </c>
      <c r="G5" s="1">
        <v>0.15</v>
      </c>
      <c r="J5" s="1">
        <v>600</v>
      </c>
      <c r="K5" s="1">
        <f>J5*0.25</f>
        <v>150</v>
      </c>
      <c r="M5" s="1">
        <v>193.55</v>
      </c>
      <c r="N5" s="1">
        <f>M5*0.775</f>
        <v>150.00125000000003</v>
      </c>
      <c r="P5" s="39" t="s">
        <v>488</v>
      </c>
    </row>
    <row r="6" spans="1:16" x14ac:dyDescent="0.2">
      <c r="B6" t="s">
        <v>468</v>
      </c>
      <c r="C6" s="88">
        <f>D6*0.5</f>
        <v>400</v>
      </c>
      <c r="D6" s="18">
        <v>800</v>
      </c>
      <c r="F6">
        <v>4</v>
      </c>
      <c r="G6" s="1">
        <v>0.15</v>
      </c>
      <c r="J6" s="1">
        <v>33.340000000000003</v>
      </c>
      <c r="K6" s="1">
        <f>INT((J6*0.25*100)+0.49)/100</f>
        <v>8.33</v>
      </c>
      <c r="M6" s="1">
        <v>10.75</v>
      </c>
      <c r="N6" s="1">
        <f>M6*0.775</f>
        <v>8.3312500000000007</v>
      </c>
    </row>
    <row r="7" spans="1:16" x14ac:dyDescent="0.2">
      <c r="B7" t="s">
        <v>470</v>
      </c>
      <c r="C7" s="88">
        <f>D7*0.5</f>
        <v>600</v>
      </c>
      <c r="D7" s="18">
        <v>1200</v>
      </c>
      <c r="F7">
        <v>5</v>
      </c>
      <c r="G7" s="1">
        <v>0.3</v>
      </c>
    </row>
    <row r="8" spans="1:16" x14ac:dyDescent="0.2">
      <c r="B8" t="s">
        <v>445</v>
      </c>
      <c r="C8" s="18">
        <f>D8*0.5</f>
        <v>339.73186250000003</v>
      </c>
      <c r="D8" s="18">
        <f>'Escala Docente'!AP2</f>
        <v>679.46372500000007</v>
      </c>
      <c r="F8">
        <v>6</v>
      </c>
      <c r="G8" s="1">
        <v>0.3</v>
      </c>
    </row>
    <row r="9" spans="1:16" x14ac:dyDescent="0.2">
      <c r="B9" t="s">
        <v>384</v>
      </c>
      <c r="C9" s="18">
        <v>0.35</v>
      </c>
      <c r="D9" s="104">
        <f>INT(('Escala Docente'!H139*0.35*100)+0.5)/100</f>
        <v>2018.53</v>
      </c>
      <c r="F9">
        <v>7</v>
      </c>
      <c r="G9" s="1">
        <v>0.4</v>
      </c>
      <c r="I9" t="s">
        <v>502</v>
      </c>
      <c r="J9" t="s">
        <v>503</v>
      </c>
      <c r="K9" t="s">
        <v>504</v>
      </c>
      <c r="L9" t="s">
        <v>505</v>
      </c>
    </row>
    <row r="10" spans="1:16" x14ac:dyDescent="0.2">
      <c r="B10" t="s">
        <v>385</v>
      </c>
      <c r="C10" s="88">
        <v>89</v>
      </c>
      <c r="F10">
        <v>8</v>
      </c>
      <c r="G10" s="1">
        <v>0.4</v>
      </c>
      <c r="I10" s="83">
        <v>42278</v>
      </c>
      <c r="J10" t="s">
        <v>506</v>
      </c>
      <c r="K10" s="1">
        <v>600</v>
      </c>
      <c r="L10" s="1">
        <v>0</v>
      </c>
    </row>
    <row r="11" spans="1:16" x14ac:dyDescent="0.2">
      <c r="B11" t="s">
        <v>387</v>
      </c>
      <c r="C11" s="88">
        <f>17+10+2.5+16</f>
        <v>45.5</v>
      </c>
      <c r="F11">
        <v>9</v>
      </c>
      <c r="G11" s="1">
        <v>0.4</v>
      </c>
      <c r="J11" t="s">
        <v>507</v>
      </c>
      <c r="K11" s="1">
        <v>700</v>
      </c>
      <c r="L11" s="1">
        <v>0</v>
      </c>
    </row>
    <row r="12" spans="1:16" x14ac:dyDescent="0.2">
      <c r="B12" t="s">
        <v>392</v>
      </c>
      <c r="C12" s="18">
        <v>0.5</v>
      </c>
      <c r="F12">
        <v>10</v>
      </c>
      <c r="G12" s="1">
        <v>0.5</v>
      </c>
      <c r="J12" t="s">
        <v>508</v>
      </c>
      <c r="K12" s="1">
        <v>800</v>
      </c>
      <c r="L12" s="1">
        <v>0</v>
      </c>
    </row>
    <row r="13" spans="1:16" x14ac:dyDescent="0.2">
      <c r="B13" t="s">
        <v>446</v>
      </c>
      <c r="C13" s="119">
        <f>E13/30</f>
        <v>16.670000000000002</v>
      </c>
      <c r="D13" s="18">
        <f>33.34*30</f>
        <v>1000.2</v>
      </c>
      <c r="E13" s="14">
        <f>D13*0.5</f>
        <v>500.1</v>
      </c>
      <c r="F13">
        <v>11</v>
      </c>
      <c r="G13" s="1">
        <v>0.5</v>
      </c>
      <c r="J13" t="s">
        <v>509</v>
      </c>
      <c r="K13" s="1">
        <v>1200</v>
      </c>
      <c r="L13" s="1">
        <v>0</v>
      </c>
    </row>
    <row r="14" spans="1:16" x14ac:dyDescent="0.2">
      <c r="B14" s="21" t="s">
        <v>475</v>
      </c>
      <c r="C14" s="89">
        <f>D14*0.5</f>
        <v>40</v>
      </c>
      <c r="D14" s="1">
        <v>80</v>
      </c>
      <c r="F14">
        <v>12</v>
      </c>
      <c r="G14" s="1">
        <v>0.6</v>
      </c>
      <c r="J14" t="s">
        <v>510</v>
      </c>
      <c r="K14" s="1">
        <v>33.340000000000003</v>
      </c>
      <c r="L14" s="1">
        <v>0</v>
      </c>
    </row>
    <row r="15" spans="1:16" x14ac:dyDescent="0.2">
      <c r="A15" t="s">
        <v>465</v>
      </c>
      <c r="B15" t="s">
        <v>451</v>
      </c>
      <c r="C15" s="18">
        <v>2474</v>
      </c>
      <c r="D15" s="14"/>
      <c r="E15" s="14"/>
      <c r="F15">
        <v>13</v>
      </c>
      <c r="G15" s="1">
        <v>0.6</v>
      </c>
      <c r="J15" t="s">
        <v>511</v>
      </c>
      <c r="K15" s="1">
        <f>K14*30</f>
        <v>1000.2</v>
      </c>
      <c r="L15" s="1">
        <v>0</v>
      </c>
    </row>
    <row r="16" spans="1:16" x14ac:dyDescent="0.2">
      <c r="A16" t="s">
        <v>465</v>
      </c>
      <c r="B16" t="s">
        <v>452</v>
      </c>
      <c r="C16" s="18">
        <v>2494</v>
      </c>
      <c r="D16" s="14"/>
      <c r="E16" s="14"/>
      <c r="F16">
        <v>14</v>
      </c>
      <c r="G16" s="1">
        <v>0.6</v>
      </c>
      <c r="J16" t="s">
        <v>512</v>
      </c>
      <c r="K16" s="1">
        <v>80</v>
      </c>
      <c r="L16" s="1">
        <v>0</v>
      </c>
    </row>
    <row r="17" spans="1:16" x14ac:dyDescent="0.2">
      <c r="C17" s="18"/>
      <c r="F17">
        <v>15</v>
      </c>
      <c r="G17" s="1">
        <v>0.7</v>
      </c>
    </row>
    <row r="18" spans="1:16" x14ac:dyDescent="0.2">
      <c r="A18" t="s">
        <v>465</v>
      </c>
      <c r="B18" t="s">
        <v>453</v>
      </c>
      <c r="C18" s="120">
        <v>2594</v>
      </c>
      <c r="D18" s="14"/>
      <c r="E18" s="14"/>
      <c r="F18">
        <v>16</v>
      </c>
      <c r="G18" s="1">
        <v>0.7</v>
      </c>
      <c r="I18" s="83">
        <v>42309</v>
      </c>
      <c r="J18" t="s">
        <v>506</v>
      </c>
      <c r="K18" s="1">
        <f>K10*0.75</f>
        <v>450</v>
      </c>
      <c r="L18" s="1">
        <f>INT(($K$10*0.25*1.29034)*100)/100</f>
        <v>193.55</v>
      </c>
    </row>
    <row r="19" spans="1:16" x14ac:dyDescent="0.2">
      <c r="A19" t="s">
        <v>465</v>
      </c>
      <c r="B19" t="s">
        <v>454</v>
      </c>
      <c r="C19" s="120">
        <v>4660</v>
      </c>
      <c r="D19" s="14"/>
      <c r="E19" s="14"/>
      <c r="F19">
        <v>17</v>
      </c>
      <c r="G19" s="1">
        <v>0.8</v>
      </c>
      <c r="J19" t="s">
        <v>507</v>
      </c>
      <c r="K19" s="1">
        <f>K11*0.75</f>
        <v>525</v>
      </c>
      <c r="L19" s="1">
        <f>INT(($K$11*0.25*1.29034)*100)/100</f>
        <v>225.8</v>
      </c>
    </row>
    <row r="20" spans="1:16" x14ac:dyDescent="0.2">
      <c r="A20" t="s">
        <v>465</v>
      </c>
      <c r="B20" t="s">
        <v>455</v>
      </c>
      <c r="C20" s="120">
        <v>2644</v>
      </c>
      <c r="D20" s="14"/>
      <c r="E20" s="14"/>
      <c r="F20">
        <v>18</v>
      </c>
      <c r="G20" s="1">
        <v>0.8</v>
      </c>
      <c r="J20" t="s">
        <v>508</v>
      </c>
      <c r="K20" s="1">
        <f>K12*0.75</f>
        <v>600</v>
      </c>
      <c r="L20" s="1">
        <f>INT(($K$12*0.25*1.29039)*100)/100</f>
        <v>258.07</v>
      </c>
    </row>
    <row r="21" spans="1:16" x14ac:dyDescent="0.2">
      <c r="A21" t="s">
        <v>465</v>
      </c>
      <c r="B21" t="s">
        <v>463</v>
      </c>
      <c r="C21" s="120">
        <v>2324</v>
      </c>
      <c r="D21" s="14"/>
      <c r="E21" s="14"/>
      <c r="F21">
        <v>19</v>
      </c>
      <c r="G21" s="1">
        <v>0.8</v>
      </c>
      <c r="J21" t="s">
        <v>509</v>
      </c>
      <c r="K21" s="1">
        <f>K13*0.75</f>
        <v>900</v>
      </c>
      <c r="L21" s="1">
        <f>INT(($K$13*0.25*1.29034)*100)/100</f>
        <v>387.1</v>
      </c>
    </row>
    <row r="22" spans="1:16" x14ac:dyDescent="0.2">
      <c r="B22" s="21"/>
      <c r="C22" s="18"/>
      <c r="F22">
        <v>20</v>
      </c>
      <c r="G22" s="1">
        <v>1</v>
      </c>
      <c r="J22" t="s">
        <v>510</v>
      </c>
      <c r="K22" s="1">
        <f>INT((K14*0.75*100)+0.5)/100</f>
        <v>25.01</v>
      </c>
      <c r="L22" s="1">
        <f>INT(($K$14*0.25*1.29034)*100)/100</f>
        <v>10.75</v>
      </c>
    </row>
    <row r="23" spans="1:16" x14ac:dyDescent="0.2">
      <c r="A23" t="s">
        <v>465</v>
      </c>
      <c r="B23" t="s">
        <v>457</v>
      </c>
      <c r="C23" s="120">
        <v>2079</v>
      </c>
      <c r="F23">
        <v>21</v>
      </c>
      <c r="G23" s="1">
        <v>1</v>
      </c>
      <c r="J23" t="s">
        <v>511</v>
      </c>
      <c r="K23" s="1">
        <f>K22*30</f>
        <v>750.30000000000007</v>
      </c>
      <c r="L23" s="1">
        <f>L22*30</f>
        <v>322.5</v>
      </c>
    </row>
    <row r="24" spans="1:16" x14ac:dyDescent="0.2">
      <c r="A24" t="s">
        <v>465</v>
      </c>
      <c r="B24" t="s">
        <v>458</v>
      </c>
      <c r="C24" s="120">
        <f>1975+74</f>
        <v>2049</v>
      </c>
      <c r="F24">
        <v>22</v>
      </c>
      <c r="G24" s="1">
        <v>1.1000000000000001</v>
      </c>
      <c r="J24" t="s">
        <v>512</v>
      </c>
      <c r="K24" s="1">
        <f>K16*0.75</f>
        <v>60</v>
      </c>
      <c r="L24" s="1">
        <f>INT(($K$16*0.25*1.29034)*100)/100</f>
        <v>25.8</v>
      </c>
    </row>
    <row r="25" spans="1:16" x14ac:dyDescent="0.2">
      <c r="F25">
        <v>23</v>
      </c>
      <c r="G25" s="1">
        <v>1.1000000000000001</v>
      </c>
    </row>
    <row r="26" spans="1:16" x14ac:dyDescent="0.2">
      <c r="A26" t="s">
        <v>465</v>
      </c>
      <c r="B26" s="21" t="s">
        <v>471</v>
      </c>
      <c r="C26" s="120">
        <v>2048</v>
      </c>
      <c r="F26">
        <v>24</v>
      </c>
      <c r="G26" s="1">
        <v>1.2</v>
      </c>
      <c r="I26" s="83">
        <v>42675</v>
      </c>
      <c r="J26" t="s">
        <v>506</v>
      </c>
      <c r="K26" s="1">
        <f>K10*0.5</f>
        <v>300</v>
      </c>
      <c r="L26" s="1">
        <f>INT(($K$10*0.5*1.29034)*100)/100</f>
        <v>387.1</v>
      </c>
    </row>
    <row r="27" spans="1:16" x14ac:dyDescent="0.2">
      <c r="A27" t="s">
        <v>465</v>
      </c>
      <c r="B27" s="21" t="s">
        <v>472</v>
      </c>
      <c r="C27" s="120">
        <v>1853</v>
      </c>
      <c r="F27">
        <v>25</v>
      </c>
      <c r="G27" s="1">
        <v>1.2</v>
      </c>
      <c r="J27" t="s">
        <v>507</v>
      </c>
      <c r="K27" s="1">
        <f>K11*0.5</f>
        <v>350</v>
      </c>
      <c r="L27" s="1">
        <f>INT(($K$11*0.5*1.29034)*100)/100</f>
        <v>451.61</v>
      </c>
    </row>
    <row r="28" spans="1:16" x14ac:dyDescent="0.2">
      <c r="B28" s="21"/>
      <c r="C28" s="18"/>
      <c r="F28">
        <v>26</v>
      </c>
      <c r="G28" s="1">
        <v>1.3</v>
      </c>
      <c r="J28" t="s">
        <v>508</v>
      </c>
      <c r="K28" s="1">
        <f>K12*0.5</f>
        <v>400</v>
      </c>
      <c r="L28" s="1">
        <f>INT(($K$12*0.5*1.29039)*100)/100</f>
        <v>516.15</v>
      </c>
      <c r="O28">
        <v>118.34</v>
      </c>
      <c r="P28">
        <f>O28*0.845</f>
        <v>99.997299999999996</v>
      </c>
    </row>
    <row r="29" spans="1:16" x14ac:dyDescent="0.2">
      <c r="B29" s="21"/>
      <c r="C29" s="18"/>
      <c r="F29">
        <v>27</v>
      </c>
      <c r="G29" s="1">
        <v>1.3</v>
      </c>
      <c r="J29" t="s">
        <v>509</v>
      </c>
      <c r="K29" s="1">
        <f>K13*0.5</f>
        <v>600</v>
      </c>
      <c r="L29" s="1">
        <f>INT(($K$13*0.5*1.29034)*100)/100</f>
        <v>774.2</v>
      </c>
      <c r="O29" s="1">
        <f>P29*1.1834</f>
        <v>118.34</v>
      </c>
      <c r="P29">
        <v>100</v>
      </c>
    </row>
    <row r="30" spans="1:16" x14ac:dyDescent="0.2">
      <c r="B30" s="21"/>
      <c r="C30" s="18"/>
      <c r="F30">
        <v>28</v>
      </c>
      <c r="G30" s="1">
        <v>1.4</v>
      </c>
      <c r="J30" t="s">
        <v>510</v>
      </c>
      <c r="K30" s="1">
        <f>INT((K14*0.5*100)+0.5)/100</f>
        <v>16.670000000000002</v>
      </c>
      <c r="L30" s="1">
        <f>INT(($K$14*0.5*1.2505)*100)/100</f>
        <v>20.84</v>
      </c>
    </row>
    <row r="31" spans="1:16" x14ac:dyDescent="0.2">
      <c r="B31" s="21"/>
      <c r="C31" s="18"/>
      <c r="F31">
        <v>29</v>
      </c>
      <c r="G31" s="1">
        <v>1.4</v>
      </c>
      <c r="J31" t="s">
        <v>511</v>
      </c>
      <c r="K31" s="1">
        <f>K30*30</f>
        <v>500.1</v>
      </c>
      <c r="L31" s="1">
        <f>L30*30</f>
        <v>625.20000000000005</v>
      </c>
      <c r="O31">
        <f>100-84.5</f>
        <v>15.5</v>
      </c>
    </row>
    <row r="32" spans="1:16" x14ac:dyDescent="0.2">
      <c r="B32" t="s">
        <v>462</v>
      </c>
      <c r="C32" s="18">
        <v>0</v>
      </c>
      <c r="D32" s="14">
        <f>IF(C32&gt;0,(C32/30-0.01),0)</f>
        <v>0</v>
      </c>
      <c r="F32">
        <v>30</v>
      </c>
      <c r="G32" s="1">
        <v>1.4</v>
      </c>
      <c r="J32" t="s">
        <v>512</v>
      </c>
      <c r="K32" s="1">
        <f>K16*0.5</f>
        <v>40</v>
      </c>
      <c r="L32" s="1">
        <f>INT(($K$16*0.5*1.1834)*100)/100</f>
        <v>47.33</v>
      </c>
    </row>
    <row r="33" spans="2:13" x14ac:dyDescent="0.2">
      <c r="F33">
        <v>31</v>
      </c>
      <c r="G33" s="1">
        <v>1.4</v>
      </c>
    </row>
    <row r="34" spans="2:13" x14ac:dyDescent="0.2">
      <c r="B34" s="21" t="s">
        <v>481</v>
      </c>
      <c r="C34" s="18">
        <f>E34*1.25</f>
        <v>375</v>
      </c>
      <c r="D34" s="18">
        <v>600</v>
      </c>
      <c r="E34" s="14">
        <f>D34*0.5</f>
        <v>300</v>
      </c>
      <c r="F34">
        <v>32</v>
      </c>
      <c r="G34" s="1">
        <v>1.4</v>
      </c>
      <c r="I34" s="83">
        <v>43040</v>
      </c>
      <c r="J34" t="s">
        <v>506</v>
      </c>
      <c r="K34" s="1">
        <f>K10*0.25</f>
        <v>150</v>
      </c>
      <c r="L34" s="1">
        <f>INT(($K$10*0.75*1.29034)*100)/100</f>
        <v>580.65</v>
      </c>
    </row>
    <row r="35" spans="2:13" x14ac:dyDescent="0.2">
      <c r="B35" s="21" t="s">
        <v>480</v>
      </c>
      <c r="C35" s="18">
        <f>E35*1.25</f>
        <v>437.5</v>
      </c>
      <c r="D35" s="18">
        <v>700</v>
      </c>
      <c r="E35" s="14">
        <f>D35*0.5</f>
        <v>350</v>
      </c>
      <c r="F35">
        <v>33</v>
      </c>
      <c r="G35" s="1">
        <v>1.4</v>
      </c>
      <c r="J35" t="s">
        <v>507</v>
      </c>
      <c r="K35" s="1">
        <f>K11*0.25</f>
        <v>175</v>
      </c>
      <c r="L35" s="1">
        <f>INT(($K$11*0.75*1.29034)*100)/100</f>
        <v>677.42</v>
      </c>
    </row>
    <row r="36" spans="2:13" x14ac:dyDescent="0.2">
      <c r="B36" s="21" t="s">
        <v>479</v>
      </c>
      <c r="C36" s="18">
        <f>E36*1.25</f>
        <v>500</v>
      </c>
      <c r="D36" s="18">
        <v>800</v>
      </c>
      <c r="E36" s="14">
        <f>D36*0.5</f>
        <v>400</v>
      </c>
      <c r="F36">
        <v>34</v>
      </c>
      <c r="G36" s="1">
        <v>1.4</v>
      </c>
      <c r="J36" t="s">
        <v>508</v>
      </c>
      <c r="K36" s="1">
        <f>K12*0.25</f>
        <v>200</v>
      </c>
      <c r="L36" s="1">
        <f>INT(($K$12*0.75*1.29039)*100)/100</f>
        <v>774.23</v>
      </c>
    </row>
    <row r="37" spans="2:13" x14ac:dyDescent="0.2">
      <c r="B37" s="21" t="s">
        <v>478</v>
      </c>
      <c r="C37" s="18">
        <f>E37*1.25</f>
        <v>750</v>
      </c>
      <c r="D37" s="18">
        <v>1200</v>
      </c>
      <c r="E37" s="14">
        <f>D37*0.5</f>
        <v>600</v>
      </c>
      <c r="F37">
        <v>35</v>
      </c>
      <c r="G37" s="1">
        <v>1.4</v>
      </c>
      <c r="J37" t="s">
        <v>509</v>
      </c>
      <c r="K37" s="1">
        <f>K13*0.25</f>
        <v>300</v>
      </c>
      <c r="L37" s="1">
        <f>INT(($K$13*0.75*1.29034)*100)/100</f>
        <v>1161.3</v>
      </c>
    </row>
    <row r="38" spans="2:13" x14ac:dyDescent="0.2">
      <c r="B38" t="s">
        <v>473</v>
      </c>
      <c r="C38" s="18">
        <f>D38*0.25*1.2904</f>
        <v>219.19499768500003</v>
      </c>
      <c r="D38" s="18">
        <f>'Escala Docente'!AP2</f>
        <v>679.46372500000007</v>
      </c>
      <c r="E38" s="14">
        <f>D38*0.25</f>
        <v>169.86593125000002</v>
      </c>
      <c r="F38">
        <v>36</v>
      </c>
      <c r="G38" s="1">
        <v>1.4</v>
      </c>
      <c r="J38" t="s">
        <v>510</v>
      </c>
      <c r="K38" s="1">
        <f>INT((K14*0.25*100)+0.5)/100</f>
        <v>8.34</v>
      </c>
      <c r="L38" s="1">
        <f>INT(($K$14*0.75*1.29034)*100)/100</f>
        <v>32.26</v>
      </c>
    </row>
    <row r="39" spans="2:13" x14ac:dyDescent="0.2">
      <c r="F39">
        <v>39</v>
      </c>
      <c r="G39" s="1">
        <v>1.4</v>
      </c>
      <c r="J39" t="s">
        <v>511</v>
      </c>
      <c r="K39" s="1">
        <f>K38*30</f>
        <v>250.2</v>
      </c>
      <c r="L39" s="1">
        <f>L38*30</f>
        <v>967.8</v>
      </c>
    </row>
    <row r="40" spans="2:13" x14ac:dyDescent="0.2">
      <c r="F40">
        <v>40</v>
      </c>
      <c r="G40" s="1">
        <v>1.4</v>
      </c>
      <c r="J40" t="s">
        <v>512</v>
      </c>
      <c r="K40" s="1">
        <f>K16*0.25</f>
        <v>20</v>
      </c>
      <c r="L40" s="1">
        <f>INT(($K$16*0.75*1.29034)*100)/100</f>
        <v>77.42</v>
      </c>
    </row>
    <row r="41" spans="2:13" x14ac:dyDescent="0.2">
      <c r="F41">
        <v>41</v>
      </c>
      <c r="G41" s="1">
        <v>1.4</v>
      </c>
    </row>
    <row r="42" spans="2:13" x14ac:dyDescent="0.2">
      <c r="F42">
        <v>42</v>
      </c>
      <c r="G42" s="1">
        <v>1.4</v>
      </c>
      <c r="I42" s="83">
        <v>43040</v>
      </c>
      <c r="J42" t="s">
        <v>506</v>
      </c>
      <c r="K42" s="1">
        <v>0</v>
      </c>
      <c r="L42" s="1">
        <f>INT(($K$10*1*1.29033)*100)/100</f>
        <v>774.19</v>
      </c>
      <c r="M42" s="1">
        <f t="shared" ref="M42:M48" si="0">L42*0.775</f>
        <v>599.99725000000001</v>
      </c>
    </row>
    <row r="43" spans="2:13" x14ac:dyDescent="0.2">
      <c r="B43" s="21" t="s">
        <v>477</v>
      </c>
      <c r="C43" s="35">
        <f>L30</f>
        <v>20.84</v>
      </c>
      <c r="D43" s="18">
        <f>33.34*30</f>
        <v>1000.2</v>
      </c>
      <c r="E43" s="14">
        <f>D43*0.5</f>
        <v>500.1</v>
      </c>
      <c r="F43">
        <v>43</v>
      </c>
      <c r="G43" s="1">
        <v>1.4</v>
      </c>
      <c r="J43" t="s">
        <v>507</v>
      </c>
      <c r="K43" s="1">
        <v>0</v>
      </c>
      <c r="L43" s="1">
        <f>INT(($K$11*1*1.29034)*100)/100</f>
        <v>903.23</v>
      </c>
      <c r="M43" s="1">
        <f t="shared" si="0"/>
        <v>700.00324999999998</v>
      </c>
    </row>
    <row r="44" spans="2:13" x14ac:dyDescent="0.2">
      <c r="B44" s="21" t="s">
        <v>476</v>
      </c>
      <c r="C44" s="1">
        <v>50</v>
      </c>
      <c r="D44">
        <v>80</v>
      </c>
      <c r="E44">
        <f>D44*0.5</f>
        <v>40</v>
      </c>
      <c r="F44">
        <v>44</v>
      </c>
      <c r="G44" s="1">
        <v>1.4</v>
      </c>
      <c r="J44" t="s">
        <v>508</v>
      </c>
      <c r="K44" s="1">
        <v>0</v>
      </c>
      <c r="L44" s="1">
        <f>INT(($K$12*1*1.29039)*100)/100</f>
        <v>1032.31</v>
      </c>
      <c r="M44" s="1">
        <f t="shared" si="0"/>
        <v>800.04025000000001</v>
      </c>
    </row>
    <row r="45" spans="2:13" x14ac:dyDescent="0.2">
      <c r="F45">
        <v>45</v>
      </c>
      <c r="G45" s="1">
        <v>1.4</v>
      </c>
      <c r="J45" t="s">
        <v>509</v>
      </c>
      <c r="K45" s="1">
        <v>0</v>
      </c>
      <c r="L45" s="1">
        <f>INT(($K$13*1*1.29034)*100)/100</f>
        <v>1548.4</v>
      </c>
      <c r="M45" s="1">
        <f t="shared" si="0"/>
        <v>1200.0100000000002</v>
      </c>
    </row>
    <row r="46" spans="2:13" x14ac:dyDescent="0.2">
      <c r="B46" s="21" t="s">
        <v>494</v>
      </c>
      <c r="C46" s="1">
        <f>INT((D46/15*100)+0.49)/100</f>
        <v>80.67</v>
      </c>
      <c r="D46">
        <f>D47</f>
        <v>1210</v>
      </c>
      <c r="F46">
        <v>46</v>
      </c>
      <c r="G46" s="1">
        <v>1.4</v>
      </c>
      <c r="J46" t="s">
        <v>510</v>
      </c>
      <c r="K46" s="1">
        <v>0</v>
      </c>
      <c r="L46" s="1">
        <f>INT(($K$14*1*1.29034)*100)/100</f>
        <v>43.01</v>
      </c>
      <c r="M46" s="1">
        <f t="shared" si="0"/>
        <v>33.332749999999997</v>
      </c>
    </row>
    <row r="47" spans="2:13" x14ac:dyDescent="0.2">
      <c r="B47" s="21" t="s">
        <v>501</v>
      </c>
      <c r="D47">
        <v>1210</v>
      </c>
      <c r="F47">
        <v>47</v>
      </c>
      <c r="G47" s="1">
        <v>1.4</v>
      </c>
      <c r="J47" t="s">
        <v>511</v>
      </c>
      <c r="K47" s="1">
        <f>K46*30</f>
        <v>0</v>
      </c>
      <c r="L47" s="1">
        <f>L46*30</f>
        <v>1290.3</v>
      </c>
      <c r="M47" s="1">
        <f t="shared" si="0"/>
        <v>999.98249999999996</v>
      </c>
    </row>
    <row r="48" spans="2:13" x14ac:dyDescent="0.2">
      <c r="D48" s="21"/>
      <c r="F48">
        <v>48</v>
      </c>
      <c r="G48" s="1">
        <v>1.4</v>
      </c>
      <c r="J48" t="s">
        <v>512</v>
      </c>
      <c r="K48" s="1">
        <v>0</v>
      </c>
      <c r="L48" s="1">
        <f>INT(($K$16*1*1.29034)*100)/100</f>
        <v>103.22</v>
      </c>
      <c r="M48" s="1">
        <f t="shared" si="0"/>
        <v>79.995500000000007</v>
      </c>
    </row>
    <row r="49" spans="2:7" x14ac:dyDescent="0.2">
      <c r="B49" s="21" t="s">
        <v>516</v>
      </c>
      <c r="C49" s="1">
        <v>262.5</v>
      </c>
      <c r="D49" s="1">
        <f>C49/15</f>
        <v>17.5</v>
      </c>
      <c r="F49">
        <v>49</v>
      </c>
      <c r="G49" s="1">
        <v>1.4</v>
      </c>
    </row>
    <row r="50" spans="2:7" ht="12" customHeight="1" x14ac:dyDescent="0.2">
      <c r="B50" s="21" t="s">
        <v>519</v>
      </c>
      <c r="C50" s="1">
        <v>75</v>
      </c>
      <c r="D50" s="1">
        <f>C50/15</f>
        <v>5</v>
      </c>
      <c r="F50">
        <v>50</v>
      </c>
      <c r="G50" s="1">
        <v>1.4</v>
      </c>
    </row>
    <row r="51" spans="2:7" hidden="1" x14ac:dyDescent="0.2">
      <c r="F51">
        <v>51</v>
      </c>
      <c r="G51" s="1">
        <v>1.4</v>
      </c>
    </row>
    <row r="52" spans="2:7" x14ac:dyDescent="0.2">
      <c r="F52">
        <v>52</v>
      </c>
      <c r="G52" s="1">
        <v>1.4</v>
      </c>
    </row>
    <row r="53" spans="2:7" x14ac:dyDescent="0.2">
      <c r="F53">
        <v>53</v>
      </c>
      <c r="G53" s="1">
        <v>1.4</v>
      </c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P331"/>
  <sheetViews>
    <sheetView showGridLines="0" tabSelected="1" zoomScale="120" zoomScaleNormal="120" zoomScaleSheetLayoutView="100" workbookViewId="0">
      <pane xSplit="6" ySplit="6" topLeftCell="G7" activePane="bottomRight" state="frozen"/>
      <selection activeCell="B1" sqref="B1"/>
      <selection pane="topRight" activeCell="F1" sqref="F1"/>
      <selection pane="bottomLeft" activeCell="B6" sqref="B6"/>
      <selection pane="bottomRight" activeCell="H2" sqref="H2"/>
    </sheetView>
  </sheetViews>
  <sheetFormatPr baseColWidth="10" defaultRowHeight="11.25" customHeight="1" x14ac:dyDescent="0.15"/>
  <cols>
    <col min="1" max="1" width="14.5703125" style="2" hidden="1" customWidth="1"/>
    <col min="2" max="2" width="6.85546875" style="2" hidden="1" customWidth="1"/>
    <col min="3" max="3" width="13.28515625" style="2" hidden="1" customWidth="1"/>
    <col min="4" max="4" width="5.42578125" style="2" customWidth="1"/>
    <col min="5" max="5" width="3.140625" style="2" hidden="1" customWidth="1"/>
    <col min="6" max="6" width="29.7109375" style="2" customWidth="1"/>
    <col min="7" max="7" width="4.7109375" style="31" customWidth="1"/>
    <col min="8" max="8" width="7.5703125" style="111" customWidth="1"/>
    <col min="9" max="9" width="5" style="112" customWidth="1"/>
    <col min="10" max="10" width="7.7109375" style="118" customWidth="1"/>
    <col min="11" max="11" width="4.7109375" style="127" customWidth="1"/>
    <col min="12" max="12" width="7.28515625" style="4" customWidth="1"/>
    <col min="13" max="13" width="5.140625" style="97" customWidth="1"/>
    <col min="14" max="14" width="6.7109375" style="4" customWidth="1"/>
    <col min="15" max="15" width="7.85546875" style="4" customWidth="1"/>
    <col min="16" max="16" width="8.42578125" style="4" customWidth="1"/>
    <col min="17" max="18" width="6.5703125" style="4" customWidth="1"/>
    <col min="19" max="19" width="7.140625" style="4" customWidth="1"/>
    <col min="20" max="20" width="7.7109375" style="4" customWidth="1"/>
    <col min="21" max="21" width="8.85546875" style="118" hidden="1" customWidth="1"/>
    <col min="22" max="22" width="7.140625" style="4" customWidth="1"/>
    <col min="23" max="23" width="7" style="4" customWidth="1"/>
    <col min="24" max="24" width="6.28515625" style="4" customWidth="1"/>
    <col min="25" max="25" width="4.28515625" style="90" customWidth="1"/>
    <col min="26" max="26" width="7.140625" style="4" customWidth="1"/>
    <col min="27" max="27" width="7.42578125" style="4" customWidth="1"/>
    <col min="28" max="28" width="6.140625" style="19" customWidth="1"/>
    <col min="29" max="29" width="7.140625" style="4" customWidth="1"/>
    <col min="30" max="30" width="6.28515625" style="4" customWidth="1"/>
    <col min="31" max="31" width="3" style="90" customWidth="1"/>
    <col min="32" max="32" width="6.28515625" style="4" customWidth="1"/>
    <col min="33" max="33" width="6" style="4" customWidth="1"/>
    <col min="34" max="34" width="6.28515625" style="4" customWidth="1"/>
    <col min="35" max="35" width="7" style="4" customWidth="1"/>
    <col min="36" max="36" width="6.140625" style="17" customWidth="1"/>
    <col min="37" max="37" width="7.28515625" style="4" customWidth="1"/>
    <col min="38" max="38" width="7.140625" style="4" hidden="1" customWidth="1"/>
    <col min="39" max="39" width="7.140625" style="17" hidden="1" customWidth="1"/>
    <col min="40" max="40" width="5" style="11" hidden="1" customWidth="1"/>
    <col min="41" max="41" width="3.7109375" style="11" hidden="1" customWidth="1"/>
    <col min="42" max="42" width="3.42578125" style="9" hidden="1" customWidth="1"/>
    <col min="43" max="43" width="9.85546875" style="2" customWidth="1"/>
    <col min="44" max="16384" width="11.42578125" style="2"/>
  </cols>
  <sheetData>
    <row r="1" spans="1:42" ht="50.25" customHeight="1" x14ac:dyDescent="0.15">
      <c r="D1" s="134" t="str">
        <f ca="1">MID(CELL("FILENAME",N33),FIND("[",CELL("FILENAME",N33))+1,FIND("]",CELL("FILENAME",N33))-FIND("[",CELL("FILENAME",N33))-1)</f>
        <v>Esc Doc 2017 07 Cba v1 1.xlsx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5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1:42" ht="11.25" customHeight="1" x14ac:dyDescent="0.2">
      <c r="B2" s="30"/>
      <c r="C2" s="30"/>
      <c r="D2" s="30" t="s">
        <v>442</v>
      </c>
      <c r="E2" s="30"/>
      <c r="F2" s="30"/>
      <c r="H2" s="108">
        <v>24</v>
      </c>
      <c r="J2" s="117">
        <f>LOOKUP(H2,Valores!F:F,Valores!G:G)</f>
        <v>1.2</v>
      </c>
      <c r="O2" s="25">
        <v>0.15</v>
      </c>
      <c r="P2" s="16"/>
      <c r="AP2" s="22">
        <f>(((H139+U139)*1.15)+Q139+R139+S139+AB139+AD139)*0.05</f>
        <v>679.46372500000007</v>
      </c>
    </row>
    <row r="3" spans="1:42" ht="11.25" customHeight="1" x14ac:dyDescent="0.25">
      <c r="B3" s="30"/>
      <c r="C3" s="30"/>
      <c r="D3" s="30" t="s">
        <v>443</v>
      </c>
      <c r="E3" s="30"/>
      <c r="F3" s="30"/>
      <c r="H3" s="108">
        <v>0</v>
      </c>
      <c r="AK3" s="29"/>
      <c r="AL3" s="27">
        <f>Valores!C2</f>
        <v>4.5126999999999997</v>
      </c>
    </row>
    <row r="4" spans="1:42" ht="11.25" customHeight="1" x14ac:dyDescent="0.25">
      <c r="A4" s="28"/>
      <c r="B4" s="55"/>
      <c r="C4" s="55"/>
      <c r="D4" s="55"/>
      <c r="E4" s="55"/>
      <c r="F4" s="55"/>
      <c r="H4" s="108"/>
      <c r="AK4" s="29">
        <f>Valores!C2</f>
        <v>4.5126999999999997</v>
      </c>
      <c r="AL4" s="27"/>
    </row>
    <row r="5" spans="1:42" ht="31.5" customHeight="1" x14ac:dyDescent="0.15">
      <c r="A5" s="5"/>
      <c r="B5" s="5"/>
      <c r="C5" s="5"/>
      <c r="D5" s="6"/>
      <c r="F5" s="6"/>
      <c r="G5" s="139" t="s">
        <v>362</v>
      </c>
      <c r="H5" s="140"/>
      <c r="I5" s="141" t="s">
        <v>363</v>
      </c>
      <c r="J5" s="142"/>
      <c r="K5" s="143" t="s">
        <v>364</v>
      </c>
      <c r="L5" s="144"/>
      <c r="M5" s="136" t="s">
        <v>365</v>
      </c>
      <c r="N5" s="137"/>
      <c r="O5" s="63" t="s">
        <v>386</v>
      </c>
      <c r="P5" s="64" t="s">
        <v>376</v>
      </c>
      <c r="Q5" s="63" t="s">
        <v>366</v>
      </c>
      <c r="R5" s="63" t="s">
        <v>367</v>
      </c>
      <c r="S5" s="63" t="s">
        <v>368</v>
      </c>
      <c r="T5" s="63" t="s">
        <v>474</v>
      </c>
      <c r="U5" s="64" t="s">
        <v>369</v>
      </c>
      <c r="V5" s="63" t="s">
        <v>369</v>
      </c>
      <c r="W5" s="63" t="s">
        <v>370</v>
      </c>
      <c r="X5" s="63" t="s">
        <v>371</v>
      </c>
      <c r="Y5" s="138" t="s">
        <v>372</v>
      </c>
      <c r="Z5" s="137"/>
      <c r="AA5" s="63" t="s">
        <v>373</v>
      </c>
      <c r="AB5" s="65" t="s">
        <v>393</v>
      </c>
      <c r="AC5" s="63" t="s">
        <v>441</v>
      </c>
      <c r="AD5" s="63" t="s">
        <v>394</v>
      </c>
      <c r="AE5" s="136" t="s">
        <v>374</v>
      </c>
      <c r="AF5" s="137"/>
      <c r="AG5" s="63" t="s">
        <v>516</v>
      </c>
      <c r="AH5" s="63" t="s">
        <v>517</v>
      </c>
      <c r="AI5" s="84" t="s">
        <v>492</v>
      </c>
      <c r="AJ5" s="66" t="s">
        <v>375</v>
      </c>
      <c r="AK5" s="84" t="s">
        <v>493</v>
      </c>
      <c r="AL5" s="60"/>
      <c r="AM5" s="66" t="s">
        <v>447</v>
      </c>
      <c r="AN5" s="66" t="s">
        <v>449</v>
      </c>
      <c r="AO5" s="66" t="s">
        <v>450</v>
      </c>
      <c r="AP5" s="82" t="s">
        <v>466</v>
      </c>
    </row>
    <row r="6" spans="1:42" s="8" customFormat="1" ht="11.25" customHeight="1" x14ac:dyDescent="0.15">
      <c r="A6" s="8" t="s">
        <v>0</v>
      </c>
      <c r="D6" s="36" t="s">
        <v>1</v>
      </c>
      <c r="F6" s="37" t="s">
        <v>2</v>
      </c>
      <c r="G6" s="57" t="s">
        <v>3</v>
      </c>
      <c r="H6" s="62" t="s">
        <v>395</v>
      </c>
      <c r="I6" s="113" t="s">
        <v>4</v>
      </c>
      <c r="J6" s="58" t="s">
        <v>396</v>
      </c>
      <c r="K6" s="128" t="s">
        <v>5</v>
      </c>
      <c r="L6" s="58" t="s">
        <v>397</v>
      </c>
      <c r="M6" s="98" t="s">
        <v>6</v>
      </c>
      <c r="N6" s="58" t="s">
        <v>398</v>
      </c>
      <c r="O6" s="37" t="s">
        <v>399</v>
      </c>
      <c r="P6" s="37" t="s">
        <v>456</v>
      </c>
      <c r="Q6" s="37" t="s">
        <v>400</v>
      </c>
      <c r="R6" s="37" t="s">
        <v>401</v>
      </c>
      <c r="S6" s="37" t="s">
        <v>402</v>
      </c>
      <c r="T6" s="37" t="s">
        <v>482</v>
      </c>
      <c r="U6" s="13" t="s">
        <v>403</v>
      </c>
      <c r="V6" s="37" t="s">
        <v>403</v>
      </c>
      <c r="W6" s="37" t="s">
        <v>404</v>
      </c>
      <c r="X6" s="37" t="s">
        <v>405</v>
      </c>
      <c r="Y6" s="91" t="s">
        <v>382</v>
      </c>
      <c r="Z6" s="58" t="s">
        <v>406</v>
      </c>
      <c r="AA6" s="37" t="s">
        <v>407</v>
      </c>
      <c r="AB6" s="59" t="s">
        <v>408</v>
      </c>
      <c r="AC6" s="59" t="s">
        <v>459</v>
      </c>
      <c r="AD6" s="37" t="s">
        <v>409</v>
      </c>
      <c r="AE6" s="91" t="s">
        <v>378</v>
      </c>
      <c r="AF6" s="58" t="s">
        <v>410</v>
      </c>
      <c r="AG6" s="37" t="s">
        <v>515</v>
      </c>
      <c r="AH6" s="37" t="s">
        <v>518</v>
      </c>
      <c r="AI6" s="86" t="s">
        <v>513</v>
      </c>
      <c r="AJ6" s="59" t="s">
        <v>411</v>
      </c>
      <c r="AK6" s="85" t="s">
        <v>514</v>
      </c>
      <c r="AL6" s="37" t="s">
        <v>7</v>
      </c>
      <c r="AM6" s="59" t="s">
        <v>448</v>
      </c>
      <c r="AN6" s="81"/>
      <c r="AO6" s="81"/>
      <c r="AP6" s="61"/>
    </row>
    <row r="7" spans="1:42" s="9" customFormat="1" ht="11.25" customHeight="1" x14ac:dyDescent="0.15">
      <c r="A7" s="9">
        <v>6</v>
      </c>
      <c r="D7" s="9" t="s">
        <v>8</v>
      </c>
      <c r="F7" s="10" t="s">
        <v>9</v>
      </c>
      <c r="G7" s="102">
        <v>107</v>
      </c>
      <c r="H7" s="7">
        <f>INT((G7*Valores!$C$2*100)+0.5)/100</f>
        <v>482.86</v>
      </c>
      <c r="I7" s="92">
        <v>3779</v>
      </c>
      <c r="J7" s="67">
        <f>INT((I7*Valores!$C$2*100)+0.5)/100</f>
        <v>17053.490000000002</v>
      </c>
      <c r="K7" s="129">
        <v>219</v>
      </c>
      <c r="L7" s="67">
        <f>INT((K7*Valores!$C$2*100)+0.5)/100</f>
        <v>988.28</v>
      </c>
      <c r="M7" s="102">
        <v>0</v>
      </c>
      <c r="N7" s="67">
        <f>INT((M7*Valores!$C$2*100)+0.5)/100</f>
        <v>0</v>
      </c>
      <c r="O7" s="67">
        <f t="shared" ref="O7:O70" si="0">IF($J$2=0,IF(D7&lt;&gt;"13-930",(SUM(H7,J7,L7,N7,Z7,U7,T7)*$O$2),0),0)</f>
        <v>0</v>
      </c>
      <c r="P7" s="67">
        <f t="shared" ref="P7:P70" si="1">SUM(H7,J7,L7,N7,Z7,T7)*$J$2</f>
        <v>23129.556</v>
      </c>
      <c r="Q7" s="68">
        <f>Valores!$C$16</f>
        <v>2494</v>
      </c>
      <c r="R7" s="68">
        <f>Valores!$D$9</f>
        <v>2018.53</v>
      </c>
      <c r="S7" s="67">
        <v>0</v>
      </c>
      <c r="T7" s="69">
        <f>Valores!$C$37</f>
        <v>750</v>
      </c>
      <c r="U7" s="67">
        <v>0</v>
      </c>
      <c r="V7" s="67">
        <f t="shared" ref="V7:V44" si="2">U7*(1+$J$2)</f>
        <v>0</v>
      </c>
      <c r="W7" s="68">
        <f>SUM(H7,J7,L7)</f>
        <v>18524.63</v>
      </c>
      <c r="X7" s="68">
        <f>INT((SUM(H7,J7,L7)*0.4*100)+0.49)/100</f>
        <v>7409.85</v>
      </c>
      <c r="Y7" s="95">
        <v>0</v>
      </c>
      <c r="Z7" s="67">
        <f>Y7*Valores!$C$2</f>
        <v>0</v>
      </c>
      <c r="AA7" s="67">
        <v>0</v>
      </c>
      <c r="AB7" s="79">
        <v>129.04</v>
      </c>
      <c r="AC7" s="67">
        <f t="shared" ref="AC7:AC70" si="3">SUM(H7,J7,L7,Z7,T7,N7)*$H$3/100</f>
        <v>0</v>
      </c>
      <c r="AD7" s="67">
        <v>129.04</v>
      </c>
      <c r="AE7" s="95">
        <v>0</v>
      </c>
      <c r="AF7" s="67">
        <f>AE7*Valores!$C$2</f>
        <v>0</v>
      </c>
      <c r="AG7" s="67">
        <f>Valores!$C$49</f>
        <v>262.5</v>
      </c>
      <c r="AH7" s="67">
        <f>Valores!$C$50</f>
        <v>75</v>
      </c>
      <c r="AI7" s="15">
        <f>SUM(H7,J7,L7,N7,O7,P7,Q7,R7,S7,V7,W7,X7,Z7,AA7,AB7,AC7,AD7,AF7,T7,AG7,AH7)</f>
        <v>73446.775999999998</v>
      </c>
      <c r="AJ7" s="69">
        <f>Valores!$C$7</f>
        <v>600</v>
      </c>
      <c r="AK7" s="12">
        <f t="shared" ref="AK7:AK70" si="4">SUM(AJ7:AJ7)</f>
        <v>600</v>
      </c>
      <c r="AL7" s="68">
        <f t="shared" ref="AL7:AL70" si="5">(AI7*(0.16+0.025+0.045)+AK7)</f>
        <v>17492.758479999997</v>
      </c>
      <c r="AM7" s="79">
        <v>0</v>
      </c>
      <c r="AN7" s="20">
        <v>33</v>
      </c>
      <c r="AO7" s="20">
        <v>45</v>
      </c>
      <c r="AP7" s="9" t="s">
        <v>464</v>
      </c>
    </row>
    <row r="8" spans="1:42" s="9" customFormat="1" ht="11.25" customHeight="1" x14ac:dyDescent="0.15">
      <c r="A8" s="9">
        <v>7</v>
      </c>
      <c r="D8" s="9" t="s">
        <v>10</v>
      </c>
      <c r="F8" s="10" t="s">
        <v>11</v>
      </c>
      <c r="G8" s="102">
        <v>107</v>
      </c>
      <c r="H8" s="7">
        <f>INT((G8*Valores!$C$2*100)+0.5)/100</f>
        <v>482.86</v>
      </c>
      <c r="I8" s="92">
        <v>3779</v>
      </c>
      <c r="J8" s="67">
        <f>INT((I8*Valores!$C$2*100)+0.5)/100</f>
        <v>17053.490000000002</v>
      </c>
      <c r="K8" s="129">
        <v>219</v>
      </c>
      <c r="L8" s="67">
        <f>INT((K8*Valores!$C$2*100)+0.5)/100</f>
        <v>988.28</v>
      </c>
      <c r="M8" s="102">
        <v>0</v>
      </c>
      <c r="N8" s="67">
        <f>INT((M8*Valores!$C$2*100)+0.5)/100</f>
        <v>0</v>
      </c>
      <c r="O8" s="67">
        <f t="shared" si="0"/>
        <v>0</v>
      </c>
      <c r="P8" s="67">
        <f t="shared" si="1"/>
        <v>23129.556</v>
      </c>
      <c r="Q8" s="68">
        <f>Valores!$C$16</f>
        <v>2494</v>
      </c>
      <c r="R8" s="68">
        <f>Valores!$D$9</f>
        <v>2018.53</v>
      </c>
      <c r="S8" s="67">
        <v>0</v>
      </c>
      <c r="T8" s="69">
        <f>Valores!$C$37</f>
        <v>750</v>
      </c>
      <c r="U8" s="67">
        <v>0</v>
      </c>
      <c r="V8" s="67">
        <f t="shared" si="2"/>
        <v>0</v>
      </c>
      <c r="W8" s="68">
        <f>SUM(H8,J8,L8)</f>
        <v>18524.63</v>
      </c>
      <c r="X8" s="68">
        <f>INT((SUM(H8,J8,L8)*0.4*100)+0.49)/100</f>
        <v>7409.85</v>
      </c>
      <c r="Y8" s="95">
        <v>0</v>
      </c>
      <c r="Z8" s="67">
        <f>Y8*Valores!$C$2</f>
        <v>0</v>
      </c>
      <c r="AA8" s="67">
        <v>0</v>
      </c>
      <c r="AB8" s="79">
        <v>129.04</v>
      </c>
      <c r="AC8" s="67">
        <f t="shared" si="3"/>
        <v>0</v>
      </c>
      <c r="AD8" s="67">
        <v>129.04</v>
      </c>
      <c r="AE8" s="95">
        <v>0</v>
      </c>
      <c r="AF8" s="67">
        <f>INT(((AE8*Valores!$C$2)*100)+0.5)/100</f>
        <v>0</v>
      </c>
      <c r="AG8" s="67">
        <f>Valores!$C$49</f>
        <v>262.5</v>
      </c>
      <c r="AH8" s="67">
        <f>Valores!$C$50</f>
        <v>75</v>
      </c>
      <c r="AI8" s="15">
        <f t="shared" ref="AI8:AI71" si="6">SUM(H8,J8,L8,N8,O8,P8,Q8,R8,S8,V8,W8,X8,Z8,AA8,AB8,AC8,AD8,AF8,T8,AG8,AH8)</f>
        <v>73446.775999999998</v>
      </c>
      <c r="AJ8" s="69">
        <f>Valores!$C$7</f>
        <v>600</v>
      </c>
      <c r="AK8" s="12">
        <f t="shared" si="4"/>
        <v>600</v>
      </c>
      <c r="AL8" s="68">
        <f t="shared" si="5"/>
        <v>17492.758479999997</v>
      </c>
      <c r="AM8" s="79">
        <v>0</v>
      </c>
      <c r="AN8" s="20">
        <v>33</v>
      </c>
      <c r="AO8" s="20">
        <v>45</v>
      </c>
      <c r="AP8" s="9" t="s">
        <v>464</v>
      </c>
    </row>
    <row r="9" spans="1:42" s="9" customFormat="1" ht="11.25" customHeight="1" x14ac:dyDescent="0.15">
      <c r="A9" s="9">
        <v>8</v>
      </c>
      <c r="D9" s="9" t="s">
        <v>12</v>
      </c>
      <c r="F9" s="10" t="s">
        <v>13</v>
      </c>
      <c r="G9" s="102">
        <v>107</v>
      </c>
      <c r="H9" s="109">
        <f>INT((G9*Valores!$C$2*100)+0.5)/100</f>
        <v>482.86</v>
      </c>
      <c r="I9" s="92">
        <v>3720</v>
      </c>
      <c r="J9" s="67">
        <f>INT((I9*Valores!$C$2*100)+0.5)/100</f>
        <v>16787.240000000002</v>
      </c>
      <c r="K9" s="129">
        <v>1226</v>
      </c>
      <c r="L9" s="67">
        <f>INT((K9*Valores!$C$2*100)+0.5)/100</f>
        <v>5532.57</v>
      </c>
      <c r="M9" s="102">
        <v>0</v>
      </c>
      <c r="N9" s="67">
        <f>INT((M9*Valores!$C$2*100)+0.5)/100</f>
        <v>0</v>
      </c>
      <c r="O9" s="67">
        <f t="shared" si="0"/>
        <v>0</v>
      </c>
      <c r="P9" s="67">
        <f t="shared" si="1"/>
        <v>28263.204000000002</v>
      </c>
      <c r="Q9" s="68">
        <f>Valores!$C$20</f>
        <v>2644</v>
      </c>
      <c r="R9" s="68">
        <f>Valores!$D$9</f>
        <v>2018.53</v>
      </c>
      <c r="S9" s="67">
        <v>0</v>
      </c>
      <c r="T9" s="69">
        <f>Valores!$C$37</f>
        <v>750</v>
      </c>
      <c r="U9" s="67">
        <f>Valores!$C$23</f>
        <v>2079</v>
      </c>
      <c r="V9" s="67">
        <f t="shared" si="2"/>
        <v>4573.8</v>
      </c>
      <c r="W9" s="67">
        <v>0</v>
      </c>
      <c r="X9" s="67">
        <v>0</v>
      </c>
      <c r="Y9" s="95">
        <v>0</v>
      </c>
      <c r="Z9" s="67">
        <f>Y9*Valores!$C$2</f>
        <v>0</v>
      </c>
      <c r="AA9" s="67">
        <v>0</v>
      </c>
      <c r="AB9" s="79">
        <v>129.04</v>
      </c>
      <c r="AC9" s="67">
        <f t="shared" si="3"/>
        <v>0</v>
      </c>
      <c r="AD9" s="67">
        <v>129.04</v>
      </c>
      <c r="AE9" s="95">
        <v>0</v>
      </c>
      <c r="AF9" s="67">
        <f>INT(((AE9*Valores!$C$2)*100)+0.5)/100</f>
        <v>0</v>
      </c>
      <c r="AG9" s="67">
        <f>Valores!$C$49</f>
        <v>262.5</v>
      </c>
      <c r="AH9" s="67">
        <f>Valores!$C$50</f>
        <v>75</v>
      </c>
      <c r="AI9" s="15">
        <f t="shared" si="6"/>
        <v>61647.784000000007</v>
      </c>
      <c r="AJ9" s="69">
        <f>Valores!$C$7</f>
        <v>600</v>
      </c>
      <c r="AK9" s="12">
        <f t="shared" si="4"/>
        <v>600</v>
      </c>
      <c r="AL9" s="68">
        <f t="shared" si="5"/>
        <v>14778.990320000001</v>
      </c>
      <c r="AM9" s="79">
        <v>0</v>
      </c>
      <c r="AN9" s="20">
        <v>35</v>
      </c>
      <c r="AO9" s="20">
        <v>45</v>
      </c>
      <c r="AP9" s="9" t="s">
        <v>465</v>
      </c>
    </row>
    <row r="10" spans="1:42" s="9" customFormat="1" ht="11.25" customHeight="1" x14ac:dyDescent="0.15">
      <c r="A10" s="9">
        <v>9</v>
      </c>
      <c r="D10" s="9" t="s">
        <v>14</v>
      </c>
      <c r="F10" s="10" t="s">
        <v>15</v>
      </c>
      <c r="G10" s="102">
        <v>107</v>
      </c>
      <c r="H10" s="7">
        <f>INT((G10*Valores!$C$2*100)+0.5)/100</f>
        <v>482.86</v>
      </c>
      <c r="I10" s="92">
        <v>3779</v>
      </c>
      <c r="J10" s="67">
        <f>INT((I10*Valores!$C$2*100)+0.5)/100</f>
        <v>17053.490000000002</v>
      </c>
      <c r="K10" s="129">
        <v>219</v>
      </c>
      <c r="L10" s="67">
        <f>INT((K10*Valores!$C$2*100)+0.5)/100</f>
        <v>988.28</v>
      </c>
      <c r="M10" s="102">
        <v>0</v>
      </c>
      <c r="N10" s="67">
        <f>INT((M10*Valores!$C$2*100)+0.5)/100</f>
        <v>0</v>
      </c>
      <c r="O10" s="67">
        <f t="shared" si="0"/>
        <v>0</v>
      </c>
      <c r="P10" s="67">
        <f t="shared" si="1"/>
        <v>23129.556</v>
      </c>
      <c r="Q10" s="68">
        <f>Valores!$C$16</f>
        <v>2494</v>
      </c>
      <c r="R10" s="68">
        <f>Valores!$D$9</f>
        <v>2018.53</v>
      </c>
      <c r="S10" s="67">
        <v>0</v>
      </c>
      <c r="T10" s="69">
        <f>Valores!$C$37</f>
        <v>750</v>
      </c>
      <c r="U10" s="67">
        <v>0</v>
      </c>
      <c r="V10" s="67">
        <f t="shared" si="2"/>
        <v>0</v>
      </c>
      <c r="W10" s="68">
        <f t="shared" ref="W10:W19" si="7">SUM(H10,J10,L10)</f>
        <v>18524.63</v>
      </c>
      <c r="X10" s="68">
        <f t="shared" ref="X10:X19" si="8">INT((SUM(H10,J10,L10)*0.4*100)+0.49)/100</f>
        <v>7409.85</v>
      </c>
      <c r="Y10" s="95">
        <v>0</v>
      </c>
      <c r="Z10" s="67">
        <f>Y10*Valores!$C$2</f>
        <v>0</v>
      </c>
      <c r="AA10" s="67">
        <v>0</v>
      </c>
      <c r="AB10" s="79">
        <v>129.04</v>
      </c>
      <c r="AC10" s="67">
        <f t="shared" si="3"/>
        <v>0</v>
      </c>
      <c r="AD10" s="67">
        <v>129.04</v>
      </c>
      <c r="AE10" s="95">
        <v>0</v>
      </c>
      <c r="AF10" s="67">
        <f>INT(((AE10*Valores!$C$2)*100)+0.5)/100</f>
        <v>0</v>
      </c>
      <c r="AG10" s="67">
        <f>Valores!$C$49</f>
        <v>262.5</v>
      </c>
      <c r="AH10" s="67">
        <f>Valores!$C$50</f>
        <v>75</v>
      </c>
      <c r="AI10" s="15">
        <f t="shared" si="6"/>
        <v>73446.775999999998</v>
      </c>
      <c r="AJ10" s="69">
        <f>Valores!$C$7</f>
        <v>600</v>
      </c>
      <c r="AK10" s="12">
        <f t="shared" si="4"/>
        <v>600</v>
      </c>
      <c r="AL10" s="68">
        <f t="shared" si="5"/>
        <v>17492.758479999997</v>
      </c>
      <c r="AM10" s="79">
        <v>0</v>
      </c>
      <c r="AN10" s="20">
        <v>33</v>
      </c>
      <c r="AO10" s="20">
        <v>45</v>
      </c>
      <c r="AP10" s="9" t="s">
        <v>464</v>
      </c>
    </row>
    <row r="11" spans="1:42" s="9" customFormat="1" ht="11.25" customHeight="1" x14ac:dyDescent="0.15">
      <c r="A11" s="43">
        <v>10</v>
      </c>
      <c r="B11" s="43" t="s">
        <v>460</v>
      </c>
      <c r="C11" s="43"/>
      <c r="D11" s="43" t="s">
        <v>16</v>
      </c>
      <c r="E11" s="43"/>
      <c r="F11" s="44" t="s">
        <v>17</v>
      </c>
      <c r="G11" s="103">
        <v>107</v>
      </c>
      <c r="H11" s="110">
        <f>INT((G11*Valores!$C$2*100)+0.5)/100</f>
        <v>482.86</v>
      </c>
      <c r="I11" s="93">
        <v>3779</v>
      </c>
      <c r="J11" s="70">
        <f>INT((I11*Valores!$C$2*100)+0.5)/100</f>
        <v>17053.490000000002</v>
      </c>
      <c r="K11" s="130">
        <v>219</v>
      </c>
      <c r="L11" s="70">
        <f>INT((K11*Valores!$C$2*100)+0.5)/100</f>
        <v>988.28</v>
      </c>
      <c r="M11" s="103">
        <v>0</v>
      </c>
      <c r="N11" s="70">
        <f>INT((M11*Valores!$C$2*100)+0.5)/100</f>
        <v>0</v>
      </c>
      <c r="O11" s="70">
        <f t="shared" si="0"/>
        <v>0</v>
      </c>
      <c r="P11" s="70">
        <f t="shared" si="1"/>
        <v>23129.556</v>
      </c>
      <c r="Q11" s="71">
        <f>Valores!$C$16</f>
        <v>2494</v>
      </c>
      <c r="R11" s="71">
        <f>Valores!$D$9</f>
        <v>2018.53</v>
      </c>
      <c r="S11" s="70">
        <v>0</v>
      </c>
      <c r="T11" s="72">
        <f>Valores!$C$37</f>
        <v>750</v>
      </c>
      <c r="U11" s="70">
        <v>0</v>
      </c>
      <c r="V11" s="70">
        <f t="shared" si="2"/>
        <v>0</v>
      </c>
      <c r="W11" s="71">
        <f t="shared" si="7"/>
        <v>18524.63</v>
      </c>
      <c r="X11" s="71">
        <f t="shared" si="8"/>
        <v>7409.85</v>
      </c>
      <c r="Y11" s="94">
        <v>0</v>
      </c>
      <c r="Z11" s="70">
        <f>Y11*Valores!$C$2</f>
        <v>0</v>
      </c>
      <c r="AA11" s="70">
        <v>0</v>
      </c>
      <c r="AB11" s="80">
        <v>129.04</v>
      </c>
      <c r="AC11" s="70">
        <f t="shared" si="3"/>
        <v>0</v>
      </c>
      <c r="AD11" s="70">
        <v>129.04</v>
      </c>
      <c r="AE11" s="94">
        <v>0</v>
      </c>
      <c r="AF11" s="70">
        <f>INT(((AE11*Valores!$C$2)*100)+0.5)/100</f>
        <v>0</v>
      </c>
      <c r="AG11" s="70">
        <f>Valores!$C$49</f>
        <v>262.5</v>
      </c>
      <c r="AH11" s="70">
        <f>Valores!$C$50</f>
        <v>75</v>
      </c>
      <c r="AI11" s="45">
        <f t="shared" si="6"/>
        <v>73446.775999999998</v>
      </c>
      <c r="AJ11" s="72">
        <f>Valores!$C$7</f>
        <v>600</v>
      </c>
      <c r="AK11" s="46">
        <f t="shared" si="4"/>
        <v>600</v>
      </c>
      <c r="AL11" s="71">
        <f t="shared" si="5"/>
        <v>17492.758479999997</v>
      </c>
      <c r="AM11" s="80">
        <v>0</v>
      </c>
      <c r="AN11" s="47">
        <v>33</v>
      </c>
      <c r="AO11" s="47">
        <v>45</v>
      </c>
      <c r="AP11" s="43" t="s">
        <v>464</v>
      </c>
    </row>
    <row r="12" spans="1:42" s="9" customFormat="1" ht="11.25" customHeight="1" x14ac:dyDescent="0.15">
      <c r="A12" s="9">
        <v>11</v>
      </c>
      <c r="D12" s="9" t="s">
        <v>18</v>
      </c>
      <c r="F12" s="10" t="s">
        <v>19</v>
      </c>
      <c r="G12" s="102">
        <v>107</v>
      </c>
      <c r="H12" s="7">
        <f>INT((G12*Valores!$C$2*100)+0.5)/100</f>
        <v>482.86</v>
      </c>
      <c r="I12" s="92">
        <v>3779</v>
      </c>
      <c r="J12" s="67">
        <f>INT((I12*Valores!$C$2*100)+0.5)/100</f>
        <v>17053.490000000002</v>
      </c>
      <c r="K12" s="129">
        <v>219</v>
      </c>
      <c r="L12" s="67">
        <f>INT((K12*Valores!$C$2*100)+0.5)/100</f>
        <v>988.28</v>
      </c>
      <c r="M12" s="102">
        <v>0</v>
      </c>
      <c r="N12" s="67">
        <f>INT((M12*Valores!$C$2*100)+0.5)/100</f>
        <v>0</v>
      </c>
      <c r="O12" s="67">
        <f t="shared" si="0"/>
        <v>0</v>
      </c>
      <c r="P12" s="67">
        <f t="shared" si="1"/>
        <v>23129.556</v>
      </c>
      <c r="Q12" s="68">
        <f>Valores!$C$16</f>
        <v>2494</v>
      </c>
      <c r="R12" s="68">
        <f>Valores!$D$9</f>
        <v>2018.53</v>
      </c>
      <c r="S12" s="67">
        <v>0</v>
      </c>
      <c r="T12" s="69">
        <f>Valores!$C$37</f>
        <v>750</v>
      </c>
      <c r="U12" s="67">
        <v>0</v>
      </c>
      <c r="V12" s="67">
        <f t="shared" si="2"/>
        <v>0</v>
      </c>
      <c r="W12" s="68">
        <f t="shared" si="7"/>
        <v>18524.63</v>
      </c>
      <c r="X12" s="68">
        <f t="shared" si="8"/>
        <v>7409.85</v>
      </c>
      <c r="Y12" s="95">
        <v>0</v>
      </c>
      <c r="Z12" s="67">
        <f>Y12*Valores!$C$2</f>
        <v>0</v>
      </c>
      <c r="AA12" s="67">
        <v>0</v>
      </c>
      <c r="AB12" s="79">
        <v>129.04</v>
      </c>
      <c r="AC12" s="67">
        <f t="shared" si="3"/>
        <v>0</v>
      </c>
      <c r="AD12" s="67">
        <v>129.04</v>
      </c>
      <c r="AE12" s="95">
        <v>0</v>
      </c>
      <c r="AF12" s="67">
        <f>INT(((AE12*Valores!$C$2)*100)+0.5)/100</f>
        <v>0</v>
      </c>
      <c r="AG12" s="67">
        <f>Valores!$C$49</f>
        <v>262.5</v>
      </c>
      <c r="AH12" s="67">
        <f>Valores!$C$50</f>
        <v>75</v>
      </c>
      <c r="AI12" s="15">
        <f t="shared" si="6"/>
        <v>73446.775999999998</v>
      </c>
      <c r="AJ12" s="69">
        <f>Valores!$C$7</f>
        <v>600</v>
      </c>
      <c r="AK12" s="12">
        <f t="shared" si="4"/>
        <v>600</v>
      </c>
      <c r="AL12" s="68">
        <f t="shared" si="5"/>
        <v>17492.758479999997</v>
      </c>
      <c r="AM12" s="79">
        <v>0</v>
      </c>
      <c r="AN12" s="20">
        <v>33</v>
      </c>
      <c r="AO12" s="20">
        <v>45</v>
      </c>
      <c r="AP12" s="9" t="s">
        <v>464</v>
      </c>
    </row>
    <row r="13" spans="1:42" s="9" customFormat="1" ht="11.25" customHeight="1" x14ac:dyDescent="0.15">
      <c r="A13" s="9">
        <v>12</v>
      </c>
      <c r="D13" s="9" t="s">
        <v>20</v>
      </c>
      <c r="F13" s="10" t="s">
        <v>21</v>
      </c>
      <c r="G13" s="102">
        <v>107</v>
      </c>
      <c r="H13" s="7">
        <f>INT((G13*Valores!$C$2*100)+0.5)/100</f>
        <v>482.86</v>
      </c>
      <c r="I13" s="92">
        <v>3779</v>
      </c>
      <c r="J13" s="67">
        <f>INT((I13*Valores!$C$2*100)+0.5)/100</f>
        <v>17053.490000000002</v>
      </c>
      <c r="K13" s="129">
        <v>219</v>
      </c>
      <c r="L13" s="67">
        <f>INT((K13*Valores!$C$2*100)+0.5)/100</f>
        <v>988.28</v>
      </c>
      <c r="M13" s="102">
        <v>0</v>
      </c>
      <c r="N13" s="67">
        <f>INT((M13*Valores!$C$2*100)+0.5)/100</f>
        <v>0</v>
      </c>
      <c r="O13" s="67">
        <f t="shared" si="0"/>
        <v>0</v>
      </c>
      <c r="P13" s="67">
        <f t="shared" si="1"/>
        <v>23129.556</v>
      </c>
      <c r="Q13" s="68">
        <f>Valores!$C$16</f>
        <v>2494</v>
      </c>
      <c r="R13" s="68">
        <f>Valores!$D$9</f>
        <v>2018.53</v>
      </c>
      <c r="S13" s="67">
        <v>0</v>
      </c>
      <c r="T13" s="69">
        <f>Valores!$C$37</f>
        <v>750</v>
      </c>
      <c r="U13" s="67">
        <v>0</v>
      </c>
      <c r="V13" s="67">
        <f t="shared" si="2"/>
        <v>0</v>
      </c>
      <c r="W13" s="68">
        <f t="shared" si="7"/>
        <v>18524.63</v>
      </c>
      <c r="X13" s="68">
        <f t="shared" si="8"/>
        <v>7409.85</v>
      </c>
      <c r="Y13" s="95">
        <v>0</v>
      </c>
      <c r="Z13" s="67">
        <f>Y13*Valores!$C$2</f>
        <v>0</v>
      </c>
      <c r="AA13" s="67">
        <v>0</v>
      </c>
      <c r="AB13" s="79">
        <v>129.04</v>
      </c>
      <c r="AC13" s="67">
        <f t="shared" si="3"/>
        <v>0</v>
      </c>
      <c r="AD13" s="67">
        <v>129.04</v>
      </c>
      <c r="AE13" s="95">
        <v>0</v>
      </c>
      <c r="AF13" s="67">
        <f>INT(((AE13*Valores!$C$2)*100)+0.5)/100</f>
        <v>0</v>
      </c>
      <c r="AG13" s="67">
        <f>Valores!$C$49</f>
        <v>262.5</v>
      </c>
      <c r="AH13" s="67">
        <f>Valores!$C$50</f>
        <v>75</v>
      </c>
      <c r="AI13" s="15">
        <f t="shared" si="6"/>
        <v>73446.775999999998</v>
      </c>
      <c r="AJ13" s="69">
        <f>Valores!$C$7</f>
        <v>600</v>
      </c>
      <c r="AK13" s="12">
        <f t="shared" si="4"/>
        <v>600</v>
      </c>
      <c r="AL13" s="68">
        <f t="shared" si="5"/>
        <v>17492.758479999997</v>
      </c>
      <c r="AM13" s="79">
        <v>0</v>
      </c>
      <c r="AN13" s="20">
        <v>33</v>
      </c>
      <c r="AO13" s="20">
        <v>45</v>
      </c>
      <c r="AP13" s="9" t="s">
        <v>464</v>
      </c>
    </row>
    <row r="14" spans="1:42" s="9" customFormat="1" ht="11.25" customHeight="1" x14ac:dyDescent="0.15">
      <c r="A14" s="9">
        <v>13</v>
      </c>
      <c r="D14" s="9" t="s">
        <v>22</v>
      </c>
      <c r="F14" s="10" t="s">
        <v>23</v>
      </c>
      <c r="G14" s="102">
        <v>107</v>
      </c>
      <c r="H14" s="7">
        <f>INT((G14*Valores!$C$2*100)+0.5)/100</f>
        <v>482.86</v>
      </c>
      <c r="I14" s="92">
        <v>3779</v>
      </c>
      <c r="J14" s="67">
        <f>INT((I14*Valores!$C$2*100)+0.5)/100</f>
        <v>17053.490000000002</v>
      </c>
      <c r="K14" s="129">
        <v>219</v>
      </c>
      <c r="L14" s="67">
        <f>INT((K14*Valores!$C$2*100)+0.5)/100</f>
        <v>988.28</v>
      </c>
      <c r="M14" s="102">
        <v>0</v>
      </c>
      <c r="N14" s="67">
        <f>INT((M14*Valores!$C$2*100)+0.5)/100</f>
        <v>0</v>
      </c>
      <c r="O14" s="67">
        <f t="shared" si="0"/>
        <v>0</v>
      </c>
      <c r="P14" s="67">
        <f t="shared" si="1"/>
        <v>23129.556</v>
      </c>
      <c r="Q14" s="68">
        <f>Valores!$C$16</f>
        <v>2494</v>
      </c>
      <c r="R14" s="68">
        <f>Valores!$D$9</f>
        <v>2018.53</v>
      </c>
      <c r="S14" s="67">
        <v>0</v>
      </c>
      <c r="T14" s="69">
        <f>Valores!$C$37</f>
        <v>750</v>
      </c>
      <c r="U14" s="67">
        <v>0</v>
      </c>
      <c r="V14" s="67">
        <f t="shared" si="2"/>
        <v>0</v>
      </c>
      <c r="W14" s="68">
        <f t="shared" si="7"/>
        <v>18524.63</v>
      </c>
      <c r="X14" s="68">
        <f t="shared" si="8"/>
        <v>7409.85</v>
      </c>
      <c r="Y14" s="95">
        <v>0</v>
      </c>
      <c r="Z14" s="67">
        <f>Y14*Valores!$C$2</f>
        <v>0</v>
      </c>
      <c r="AA14" s="67">
        <v>0</v>
      </c>
      <c r="AB14" s="79">
        <v>129.04</v>
      </c>
      <c r="AC14" s="67">
        <f t="shared" si="3"/>
        <v>0</v>
      </c>
      <c r="AD14" s="67">
        <v>129.04</v>
      </c>
      <c r="AE14" s="95">
        <v>0</v>
      </c>
      <c r="AF14" s="67">
        <f>INT(((AE14*Valores!$C$2)*100)+0.5)/100</f>
        <v>0</v>
      </c>
      <c r="AG14" s="67">
        <f>Valores!$C$49</f>
        <v>262.5</v>
      </c>
      <c r="AH14" s="67">
        <f>Valores!$C$50</f>
        <v>75</v>
      </c>
      <c r="AI14" s="15">
        <f t="shared" si="6"/>
        <v>73446.775999999998</v>
      </c>
      <c r="AJ14" s="69">
        <f>Valores!$C$7</f>
        <v>600</v>
      </c>
      <c r="AK14" s="12">
        <f t="shared" si="4"/>
        <v>600</v>
      </c>
      <c r="AL14" s="68">
        <f t="shared" si="5"/>
        <v>17492.758479999997</v>
      </c>
      <c r="AM14" s="79">
        <v>0</v>
      </c>
      <c r="AN14" s="20">
        <v>33</v>
      </c>
      <c r="AO14" s="20">
        <v>45</v>
      </c>
      <c r="AP14" s="9" t="s">
        <v>464</v>
      </c>
    </row>
    <row r="15" spans="1:42" s="9" customFormat="1" ht="11.25" customHeight="1" x14ac:dyDescent="0.15">
      <c r="A15" s="9">
        <v>14</v>
      </c>
      <c r="D15" s="9" t="s">
        <v>24</v>
      </c>
      <c r="F15" s="10" t="s">
        <v>25</v>
      </c>
      <c r="G15" s="102">
        <v>100</v>
      </c>
      <c r="H15" s="7">
        <f>INT((G15*Valores!$C$2*100)+0.5)/100</f>
        <v>451.27</v>
      </c>
      <c r="I15" s="92">
        <v>3727</v>
      </c>
      <c r="J15" s="67">
        <f>INT((I15*Valores!$C$2*100)+0.5)/100</f>
        <v>16818.830000000002</v>
      </c>
      <c r="K15" s="129">
        <v>219</v>
      </c>
      <c r="L15" s="67">
        <f>INT((K15*Valores!$C$2*100)+0.5)/100</f>
        <v>988.28</v>
      </c>
      <c r="M15" s="102">
        <v>0</v>
      </c>
      <c r="N15" s="67">
        <f>INT((M15*Valores!$C$2*100)+0.5)/100</f>
        <v>0</v>
      </c>
      <c r="O15" s="67">
        <f t="shared" si="0"/>
        <v>0</v>
      </c>
      <c r="P15" s="67">
        <f t="shared" si="1"/>
        <v>22810.056</v>
      </c>
      <c r="Q15" s="68">
        <f>Valores!$C$16</f>
        <v>2494</v>
      </c>
      <c r="R15" s="68">
        <f>Valores!$D$9</f>
        <v>2018.53</v>
      </c>
      <c r="S15" s="67">
        <v>0</v>
      </c>
      <c r="T15" s="69">
        <f>Valores!$C$37</f>
        <v>750</v>
      </c>
      <c r="U15" s="67">
        <v>0</v>
      </c>
      <c r="V15" s="67">
        <f t="shared" si="2"/>
        <v>0</v>
      </c>
      <c r="W15" s="68">
        <f t="shared" si="7"/>
        <v>18258.38</v>
      </c>
      <c r="X15" s="68">
        <f t="shared" si="8"/>
        <v>7303.35</v>
      </c>
      <c r="Y15" s="95">
        <v>0</v>
      </c>
      <c r="Z15" s="67">
        <f>Y15*Valores!$C$2</f>
        <v>0</v>
      </c>
      <c r="AA15" s="67">
        <v>0</v>
      </c>
      <c r="AB15" s="79">
        <v>129.04</v>
      </c>
      <c r="AC15" s="67">
        <f t="shared" si="3"/>
        <v>0</v>
      </c>
      <c r="AD15" s="67">
        <v>129.04</v>
      </c>
      <c r="AE15" s="95">
        <v>0</v>
      </c>
      <c r="AF15" s="67">
        <f>INT(((AE15*Valores!$C$2)*100)+0.5)/100</f>
        <v>0</v>
      </c>
      <c r="AG15" s="67">
        <f>Valores!$C$49</f>
        <v>262.5</v>
      </c>
      <c r="AH15" s="67">
        <f>Valores!$C$50</f>
        <v>75</v>
      </c>
      <c r="AI15" s="15">
        <f t="shared" si="6"/>
        <v>72488.275999999998</v>
      </c>
      <c r="AJ15" s="69">
        <f>Valores!$C$7</f>
        <v>600</v>
      </c>
      <c r="AK15" s="12">
        <f t="shared" si="4"/>
        <v>600</v>
      </c>
      <c r="AL15" s="68">
        <f t="shared" si="5"/>
        <v>17272.303479999999</v>
      </c>
      <c r="AM15" s="79">
        <v>0</v>
      </c>
      <c r="AN15" s="20">
        <v>33</v>
      </c>
      <c r="AO15" s="20">
        <v>45</v>
      </c>
      <c r="AP15" s="9" t="s">
        <v>464</v>
      </c>
    </row>
    <row r="16" spans="1:42" s="9" customFormat="1" ht="11.25" customHeight="1" x14ac:dyDescent="0.15">
      <c r="A16" s="43">
        <v>15</v>
      </c>
      <c r="B16" s="43" t="s">
        <v>460</v>
      </c>
      <c r="C16" s="43"/>
      <c r="D16" s="43" t="s">
        <v>26</v>
      </c>
      <c r="E16" s="43"/>
      <c r="F16" s="44" t="s">
        <v>27</v>
      </c>
      <c r="G16" s="103">
        <v>100</v>
      </c>
      <c r="H16" s="110">
        <f>INT((G16*Valores!$C$2*100)+0.5)/100</f>
        <v>451.27</v>
      </c>
      <c r="I16" s="93">
        <v>3727</v>
      </c>
      <c r="J16" s="70">
        <f>INT((I16*Valores!$C$2*100)+0.5)/100</f>
        <v>16818.830000000002</v>
      </c>
      <c r="K16" s="130">
        <v>219</v>
      </c>
      <c r="L16" s="70">
        <f>INT((K16*Valores!$C$2*100)+0.5)/100</f>
        <v>988.28</v>
      </c>
      <c r="M16" s="103">
        <v>0</v>
      </c>
      <c r="N16" s="70">
        <f>INT((M16*Valores!$C$2*100)+0.5)/100</f>
        <v>0</v>
      </c>
      <c r="O16" s="70">
        <f t="shared" si="0"/>
        <v>0</v>
      </c>
      <c r="P16" s="70">
        <f t="shared" si="1"/>
        <v>22810.056</v>
      </c>
      <c r="Q16" s="71">
        <f>Valores!$C$16</f>
        <v>2494</v>
      </c>
      <c r="R16" s="71">
        <f>Valores!$D$9</f>
        <v>2018.53</v>
      </c>
      <c r="S16" s="70">
        <v>0</v>
      </c>
      <c r="T16" s="72">
        <f>Valores!$C$37</f>
        <v>750</v>
      </c>
      <c r="U16" s="70">
        <v>0</v>
      </c>
      <c r="V16" s="70">
        <f t="shared" si="2"/>
        <v>0</v>
      </c>
      <c r="W16" s="71">
        <f t="shared" si="7"/>
        <v>18258.38</v>
      </c>
      <c r="X16" s="71">
        <f t="shared" si="8"/>
        <v>7303.35</v>
      </c>
      <c r="Y16" s="94">
        <v>0</v>
      </c>
      <c r="Z16" s="70">
        <f>Y16*Valores!$C$2</f>
        <v>0</v>
      </c>
      <c r="AA16" s="70">
        <v>0</v>
      </c>
      <c r="AB16" s="80">
        <v>129.04</v>
      </c>
      <c r="AC16" s="70">
        <f t="shared" si="3"/>
        <v>0</v>
      </c>
      <c r="AD16" s="70">
        <v>129.04</v>
      </c>
      <c r="AE16" s="94">
        <v>0</v>
      </c>
      <c r="AF16" s="70">
        <f>INT(((AE16*Valores!$C$2)*100)+0.5)/100</f>
        <v>0</v>
      </c>
      <c r="AG16" s="70">
        <f>Valores!$C$49</f>
        <v>262.5</v>
      </c>
      <c r="AH16" s="70">
        <f>Valores!$C$50</f>
        <v>75</v>
      </c>
      <c r="AI16" s="45">
        <f t="shared" si="6"/>
        <v>72488.275999999998</v>
      </c>
      <c r="AJ16" s="72">
        <f>Valores!$C$7</f>
        <v>600</v>
      </c>
      <c r="AK16" s="46">
        <f t="shared" si="4"/>
        <v>600</v>
      </c>
      <c r="AL16" s="71">
        <f t="shared" si="5"/>
        <v>17272.303479999999</v>
      </c>
      <c r="AM16" s="80">
        <v>0</v>
      </c>
      <c r="AN16" s="47">
        <v>33</v>
      </c>
      <c r="AO16" s="47">
        <v>45</v>
      </c>
      <c r="AP16" s="43" t="s">
        <v>464</v>
      </c>
    </row>
    <row r="17" spans="1:42" s="9" customFormat="1" ht="11.25" customHeight="1" x14ac:dyDescent="0.15">
      <c r="A17" s="9">
        <v>16</v>
      </c>
      <c r="D17" s="9" t="s">
        <v>28</v>
      </c>
      <c r="F17" s="10" t="s">
        <v>29</v>
      </c>
      <c r="G17" s="102">
        <v>100</v>
      </c>
      <c r="H17" s="7">
        <f>INT((G17*Valores!$C$2*100)+0.5)/100</f>
        <v>451.27</v>
      </c>
      <c r="I17" s="92">
        <v>3727</v>
      </c>
      <c r="J17" s="67">
        <f>INT((I17*Valores!$C$2*100)+0.5)/100</f>
        <v>16818.830000000002</v>
      </c>
      <c r="K17" s="129">
        <v>219</v>
      </c>
      <c r="L17" s="67">
        <f>INT((K17*Valores!$C$2*100)+0.5)/100</f>
        <v>988.28</v>
      </c>
      <c r="M17" s="102">
        <v>0</v>
      </c>
      <c r="N17" s="67">
        <f>INT((M17*Valores!$C$2*100)+0.5)/100</f>
        <v>0</v>
      </c>
      <c r="O17" s="67">
        <f t="shared" si="0"/>
        <v>0</v>
      </c>
      <c r="P17" s="67">
        <f t="shared" si="1"/>
        <v>22810.056</v>
      </c>
      <c r="Q17" s="68">
        <f>Valores!$C$16</f>
        <v>2494</v>
      </c>
      <c r="R17" s="68">
        <f>Valores!$D$9</f>
        <v>2018.53</v>
      </c>
      <c r="S17" s="67">
        <v>0</v>
      </c>
      <c r="T17" s="69">
        <f>Valores!$C$37</f>
        <v>750</v>
      </c>
      <c r="U17" s="67">
        <v>0</v>
      </c>
      <c r="V17" s="67">
        <f t="shared" si="2"/>
        <v>0</v>
      </c>
      <c r="W17" s="68">
        <f t="shared" si="7"/>
        <v>18258.38</v>
      </c>
      <c r="X17" s="68">
        <f t="shared" si="8"/>
        <v>7303.35</v>
      </c>
      <c r="Y17" s="95">
        <v>0</v>
      </c>
      <c r="Z17" s="67">
        <f>Y17*Valores!$C$2</f>
        <v>0</v>
      </c>
      <c r="AA17" s="67">
        <v>0</v>
      </c>
      <c r="AB17" s="79">
        <v>129.04</v>
      </c>
      <c r="AC17" s="67">
        <f t="shared" si="3"/>
        <v>0</v>
      </c>
      <c r="AD17" s="67">
        <v>129.04</v>
      </c>
      <c r="AE17" s="95">
        <v>0</v>
      </c>
      <c r="AF17" s="67">
        <f>INT(((AE17*Valores!$C$2)*100)+0.5)/100</f>
        <v>0</v>
      </c>
      <c r="AG17" s="67">
        <f>Valores!$C$49</f>
        <v>262.5</v>
      </c>
      <c r="AH17" s="67">
        <f>Valores!$C$50</f>
        <v>75</v>
      </c>
      <c r="AI17" s="15">
        <f t="shared" si="6"/>
        <v>72488.275999999998</v>
      </c>
      <c r="AJ17" s="69">
        <f>Valores!$C$7</f>
        <v>600</v>
      </c>
      <c r="AK17" s="12">
        <f t="shared" si="4"/>
        <v>600</v>
      </c>
      <c r="AL17" s="68">
        <f t="shared" si="5"/>
        <v>17272.303479999999</v>
      </c>
      <c r="AM17" s="79">
        <v>0</v>
      </c>
      <c r="AN17" s="20"/>
      <c r="AO17" s="20">
        <v>45</v>
      </c>
      <c r="AP17" s="9" t="s">
        <v>464</v>
      </c>
    </row>
    <row r="18" spans="1:42" s="9" customFormat="1" ht="11.25" customHeight="1" x14ac:dyDescent="0.15">
      <c r="A18" s="9">
        <v>17</v>
      </c>
      <c r="D18" s="9" t="s">
        <v>30</v>
      </c>
      <c r="F18" s="10" t="s">
        <v>31</v>
      </c>
      <c r="G18" s="102">
        <v>100</v>
      </c>
      <c r="H18" s="7">
        <f>INT((G18*Valores!$C$2*100)+0.5)/100</f>
        <v>451.27</v>
      </c>
      <c r="I18" s="92">
        <v>3727</v>
      </c>
      <c r="J18" s="67">
        <f>INT((I18*Valores!$C$2*100)+0.5)/100</f>
        <v>16818.830000000002</v>
      </c>
      <c r="K18" s="129">
        <v>219</v>
      </c>
      <c r="L18" s="67">
        <f>INT((K18*Valores!$C$2*100)+0.5)/100</f>
        <v>988.28</v>
      </c>
      <c r="M18" s="102">
        <v>0</v>
      </c>
      <c r="N18" s="67">
        <f>INT((M18*Valores!$C$2*100)+0.5)/100</f>
        <v>0</v>
      </c>
      <c r="O18" s="67">
        <f t="shared" si="0"/>
        <v>0</v>
      </c>
      <c r="P18" s="67">
        <f t="shared" si="1"/>
        <v>22810.056</v>
      </c>
      <c r="Q18" s="68">
        <f>Valores!$C$16</f>
        <v>2494</v>
      </c>
      <c r="R18" s="68">
        <f>Valores!$D$9</f>
        <v>2018.53</v>
      </c>
      <c r="S18" s="67">
        <v>0</v>
      </c>
      <c r="T18" s="69">
        <f>Valores!$C$37</f>
        <v>750</v>
      </c>
      <c r="U18" s="67">
        <v>0</v>
      </c>
      <c r="V18" s="67">
        <f t="shared" si="2"/>
        <v>0</v>
      </c>
      <c r="W18" s="68">
        <f t="shared" si="7"/>
        <v>18258.38</v>
      </c>
      <c r="X18" s="68">
        <f t="shared" si="8"/>
        <v>7303.35</v>
      </c>
      <c r="Y18" s="95">
        <v>0</v>
      </c>
      <c r="Z18" s="67">
        <f>Y18*Valores!$C$2</f>
        <v>0</v>
      </c>
      <c r="AA18" s="67">
        <v>0</v>
      </c>
      <c r="AB18" s="79">
        <v>129.04</v>
      </c>
      <c r="AC18" s="67">
        <f t="shared" si="3"/>
        <v>0</v>
      </c>
      <c r="AD18" s="67">
        <v>129.04</v>
      </c>
      <c r="AE18" s="95">
        <v>0</v>
      </c>
      <c r="AF18" s="67">
        <f>INT(((AE18*Valores!$C$2)*100)+0.5)/100</f>
        <v>0</v>
      </c>
      <c r="AG18" s="67">
        <f>Valores!$C$49</f>
        <v>262.5</v>
      </c>
      <c r="AH18" s="67">
        <f>Valores!$C$50</f>
        <v>75</v>
      </c>
      <c r="AI18" s="15">
        <f t="shared" si="6"/>
        <v>72488.275999999998</v>
      </c>
      <c r="AJ18" s="69">
        <f>Valores!$C$7</f>
        <v>600</v>
      </c>
      <c r="AK18" s="12">
        <f t="shared" si="4"/>
        <v>600</v>
      </c>
      <c r="AL18" s="68">
        <f t="shared" si="5"/>
        <v>17272.303479999999</v>
      </c>
      <c r="AM18" s="79">
        <v>0</v>
      </c>
      <c r="AN18" s="20"/>
      <c r="AO18" s="20">
        <v>45</v>
      </c>
      <c r="AP18" s="9" t="s">
        <v>464</v>
      </c>
    </row>
    <row r="19" spans="1:42" s="9" customFormat="1" ht="11.25" customHeight="1" x14ac:dyDescent="0.15">
      <c r="A19" s="9">
        <v>18</v>
      </c>
      <c r="D19" s="9" t="s">
        <v>32</v>
      </c>
      <c r="F19" s="10" t="s">
        <v>33</v>
      </c>
      <c r="G19" s="102">
        <v>100</v>
      </c>
      <c r="H19" s="7">
        <f>INT((G19*Valores!$C$2*100)+0.5)/100</f>
        <v>451.27</v>
      </c>
      <c r="I19" s="92">
        <v>3727</v>
      </c>
      <c r="J19" s="67">
        <f>INT((I19*Valores!$C$2*100)+0.5)/100</f>
        <v>16818.830000000002</v>
      </c>
      <c r="K19" s="129">
        <v>219</v>
      </c>
      <c r="L19" s="67">
        <f>INT((K19*Valores!$C$2*100)+0.5)/100</f>
        <v>988.28</v>
      </c>
      <c r="M19" s="102">
        <v>0</v>
      </c>
      <c r="N19" s="67">
        <f>INT((M19*Valores!$C$2*100)+0.5)/100</f>
        <v>0</v>
      </c>
      <c r="O19" s="67">
        <f t="shared" si="0"/>
        <v>0</v>
      </c>
      <c r="P19" s="67">
        <f t="shared" si="1"/>
        <v>22810.056</v>
      </c>
      <c r="Q19" s="68">
        <f>Valores!$C$16</f>
        <v>2494</v>
      </c>
      <c r="R19" s="68">
        <f>Valores!$D$9</f>
        <v>2018.53</v>
      </c>
      <c r="S19" s="67">
        <v>0</v>
      </c>
      <c r="T19" s="69">
        <f>Valores!$C$37</f>
        <v>750</v>
      </c>
      <c r="U19" s="67">
        <v>0</v>
      </c>
      <c r="V19" s="67">
        <f t="shared" si="2"/>
        <v>0</v>
      </c>
      <c r="W19" s="68">
        <f t="shared" si="7"/>
        <v>18258.38</v>
      </c>
      <c r="X19" s="68">
        <f t="shared" si="8"/>
        <v>7303.35</v>
      </c>
      <c r="Y19" s="95">
        <v>0</v>
      </c>
      <c r="Z19" s="67">
        <f>Y19*Valores!$C$2</f>
        <v>0</v>
      </c>
      <c r="AA19" s="67">
        <v>0</v>
      </c>
      <c r="AB19" s="79">
        <v>129.04</v>
      </c>
      <c r="AC19" s="67">
        <f t="shared" si="3"/>
        <v>0</v>
      </c>
      <c r="AD19" s="67">
        <v>129.04</v>
      </c>
      <c r="AE19" s="95">
        <v>0</v>
      </c>
      <c r="AF19" s="67">
        <f>INT(((AE19*Valores!$C$2)*100)+0.5)/100</f>
        <v>0</v>
      </c>
      <c r="AG19" s="67">
        <f>Valores!$C$49</f>
        <v>262.5</v>
      </c>
      <c r="AH19" s="67">
        <f>Valores!$C$50</f>
        <v>75</v>
      </c>
      <c r="AI19" s="15">
        <f t="shared" si="6"/>
        <v>72488.275999999998</v>
      </c>
      <c r="AJ19" s="69">
        <f>Valores!$C$7</f>
        <v>600</v>
      </c>
      <c r="AK19" s="12">
        <f t="shared" si="4"/>
        <v>600</v>
      </c>
      <c r="AL19" s="68">
        <f t="shared" si="5"/>
        <v>17272.303479999999</v>
      </c>
      <c r="AM19" s="79">
        <v>0</v>
      </c>
      <c r="AN19" s="20"/>
      <c r="AO19" s="20">
        <v>45</v>
      </c>
      <c r="AP19" s="9" t="s">
        <v>464</v>
      </c>
    </row>
    <row r="20" spans="1:42" s="9" customFormat="1" ht="11.25" customHeight="1" x14ac:dyDescent="0.15">
      <c r="A20" s="9">
        <v>19</v>
      </c>
      <c r="D20" s="9" t="s">
        <v>34</v>
      </c>
      <c r="F20" s="10" t="s">
        <v>35</v>
      </c>
      <c r="G20" s="102">
        <v>107</v>
      </c>
      <c r="H20" s="7">
        <f>INT((G20*Valores!$C$2*100)+0.5)/100</f>
        <v>482.86</v>
      </c>
      <c r="I20" s="92">
        <v>3720</v>
      </c>
      <c r="J20" s="67">
        <f>INT((I20*Valores!$C$2*100)+0.5)/100</f>
        <v>16787.240000000002</v>
      </c>
      <c r="K20" s="129">
        <v>1226</v>
      </c>
      <c r="L20" s="67">
        <f>INT((K20*Valores!$C$2*100)+0.5)/100</f>
        <v>5532.57</v>
      </c>
      <c r="M20" s="102">
        <v>0</v>
      </c>
      <c r="N20" s="67">
        <f>INT((M20*Valores!$C$2*100)+0.5)/100</f>
        <v>0</v>
      </c>
      <c r="O20" s="67">
        <f t="shared" si="0"/>
        <v>0</v>
      </c>
      <c r="P20" s="67">
        <f t="shared" si="1"/>
        <v>28263.204000000002</v>
      </c>
      <c r="Q20" s="68">
        <f>Valores!$C$20</f>
        <v>2644</v>
      </c>
      <c r="R20" s="68">
        <f>Valores!$D$9</f>
        <v>2018.53</v>
      </c>
      <c r="S20" s="67">
        <v>0</v>
      </c>
      <c r="T20" s="69">
        <f>Valores!$C$37</f>
        <v>750</v>
      </c>
      <c r="U20" s="67">
        <f>Valores!$C$23</f>
        <v>2079</v>
      </c>
      <c r="V20" s="67">
        <f t="shared" si="2"/>
        <v>4573.8</v>
      </c>
      <c r="W20" s="67">
        <v>0</v>
      </c>
      <c r="X20" s="67">
        <v>0</v>
      </c>
      <c r="Y20" s="95">
        <v>0</v>
      </c>
      <c r="Z20" s="67">
        <f>Y20*Valores!$C$2</f>
        <v>0</v>
      </c>
      <c r="AA20" s="67">
        <v>0</v>
      </c>
      <c r="AB20" s="79">
        <v>129.04</v>
      </c>
      <c r="AC20" s="67">
        <f t="shared" si="3"/>
        <v>0</v>
      </c>
      <c r="AD20" s="67">
        <v>129.04</v>
      </c>
      <c r="AE20" s="95">
        <v>0</v>
      </c>
      <c r="AF20" s="67">
        <f>INT(((AE20*Valores!$C$2)*100)+0.5)/100</f>
        <v>0</v>
      </c>
      <c r="AG20" s="67">
        <f>Valores!$C$49</f>
        <v>262.5</v>
      </c>
      <c r="AH20" s="67">
        <f>Valores!$C$50</f>
        <v>75</v>
      </c>
      <c r="AI20" s="15">
        <f t="shared" si="6"/>
        <v>61647.784000000007</v>
      </c>
      <c r="AJ20" s="69">
        <f>Valores!$C$7</f>
        <v>600</v>
      </c>
      <c r="AK20" s="12">
        <f t="shared" si="4"/>
        <v>600</v>
      </c>
      <c r="AL20" s="68">
        <f t="shared" si="5"/>
        <v>14778.990320000001</v>
      </c>
      <c r="AM20" s="79">
        <v>220</v>
      </c>
      <c r="AN20" s="20"/>
      <c r="AO20" s="20">
        <v>45</v>
      </c>
      <c r="AP20" s="9" t="s">
        <v>465</v>
      </c>
    </row>
    <row r="21" spans="1:42" s="9" customFormat="1" ht="11.25" customHeight="1" x14ac:dyDescent="0.15">
      <c r="A21" s="43">
        <v>20</v>
      </c>
      <c r="B21" s="43" t="s">
        <v>460</v>
      </c>
      <c r="C21" s="43"/>
      <c r="D21" s="43" t="s">
        <v>36</v>
      </c>
      <c r="E21" s="43"/>
      <c r="F21" s="44" t="s">
        <v>37</v>
      </c>
      <c r="G21" s="103">
        <v>100</v>
      </c>
      <c r="H21" s="110">
        <f>INT((G21*Valores!$C$2*100)+0.5)/100</f>
        <v>451.27</v>
      </c>
      <c r="I21" s="93">
        <v>3727</v>
      </c>
      <c r="J21" s="70">
        <f>INT((I21*Valores!$C$2*100)+0.5)/100</f>
        <v>16818.830000000002</v>
      </c>
      <c r="K21" s="130">
        <v>219</v>
      </c>
      <c r="L21" s="70">
        <f>INT((K21*Valores!$C$2*100)+0.5)/100</f>
        <v>988.28</v>
      </c>
      <c r="M21" s="103">
        <v>0</v>
      </c>
      <c r="N21" s="70">
        <f>INT((M21*Valores!$C$2*100)+0.5)/100</f>
        <v>0</v>
      </c>
      <c r="O21" s="70">
        <f t="shared" si="0"/>
        <v>0</v>
      </c>
      <c r="P21" s="70">
        <f t="shared" si="1"/>
        <v>22810.056</v>
      </c>
      <c r="Q21" s="71">
        <f>Valores!$C$16</f>
        <v>2494</v>
      </c>
      <c r="R21" s="71">
        <f>Valores!$D$9</f>
        <v>2018.53</v>
      </c>
      <c r="S21" s="70">
        <v>0</v>
      </c>
      <c r="T21" s="72">
        <f>Valores!$C$37</f>
        <v>750</v>
      </c>
      <c r="U21" s="70">
        <v>0</v>
      </c>
      <c r="V21" s="70">
        <f t="shared" si="2"/>
        <v>0</v>
      </c>
      <c r="W21" s="71">
        <f>SUM(H21,J21,L21)</f>
        <v>18258.38</v>
      </c>
      <c r="X21" s="71">
        <f>INT((SUM(H21,J21,L21)*0.4*100)+0.49)/100</f>
        <v>7303.35</v>
      </c>
      <c r="Y21" s="94">
        <v>0</v>
      </c>
      <c r="Z21" s="70">
        <f>Y21*Valores!$C$2</f>
        <v>0</v>
      </c>
      <c r="AA21" s="70">
        <v>0</v>
      </c>
      <c r="AB21" s="80">
        <v>129.04</v>
      </c>
      <c r="AC21" s="70">
        <f t="shared" si="3"/>
        <v>0</v>
      </c>
      <c r="AD21" s="70">
        <v>129.04</v>
      </c>
      <c r="AE21" s="94">
        <v>0</v>
      </c>
      <c r="AF21" s="70">
        <f>INT(((AE21*Valores!$C$2)*100)+0.5)/100</f>
        <v>0</v>
      </c>
      <c r="AG21" s="70">
        <f>Valores!$C$49</f>
        <v>262.5</v>
      </c>
      <c r="AH21" s="70">
        <f>Valores!$C$50</f>
        <v>75</v>
      </c>
      <c r="AI21" s="45">
        <f t="shared" si="6"/>
        <v>72488.275999999998</v>
      </c>
      <c r="AJ21" s="72">
        <f>Valores!$C$7</f>
        <v>600</v>
      </c>
      <c r="AK21" s="46">
        <f t="shared" si="4"/>
        <v>600</v>
      </c>
      <c r="AL21" s="71">
        <f t="shared" si="5"/>
        <v>17272.303479999999</v>
      </c>
      <c r="AM21" s="80">
        <v>0</v>
      </c>
      <c r="AN21" s="47"/>
      <c r="AO21" s="47">
        <v>45</v>
      </c>
      <c r="AP21" s="43" t="s">
        <v>464</v>
      </c>
    </row>
    <row r="22" spans="1:42" s="9" customFormat="1" ht="11.25" customHeight="1" x14ac:dyDescent="0.15">
      <c r="A22" s="9">
        <v>21</v>
      </c>
      <c r="D22" s="9" t="s">
        <v>38</v>
      </c>
      <c r="F22" s="10" t="s">
        <v>39</v>
      </c>
      <c r="G22" s="102">
        <v>100</v>
      </c>
      <c r="H22" s="7">
        <f>INT((G22*Valores!$C$2*100)+0.5)/100</f>
        <v>451.27</v>
      </c>
      <c r="I22" s="92">
        <v>3727</v>
      </c>
      <c r="J22" s="67">
        <f>INT((I22*Valores!$C$2*100)+0.5)/100</f>
        <v>16818.830000000002</v>
      </c>
      <c r="K22" s="129">
        <v>219</v>
      </c>
      <c r="L22" s="67">
        <f>INT((K22*Valores!$C$2*100)+0.5)/100</f>
        <v>988.28</v>
      </c>
      <c r="M22" s="102">
        <v>0</v>
      </c>
      <c r="N22" s="67">
        <f>INT((M22*Valores!$C$2*100)+0.5)/100</f>
        <v>0</v>
      </c>
      <c r="O22" s="67">
        <f t="shared" si="0"/>
        <v>0</v>
      </c>
      <c r="P22" s="67">
        <f t="shared" si="1"/>
        <v>22810.056</v>
      </c>
      <c r="Q22" s="68">
        <f>Valores!$C$16</f>
        <v>2494</v>
      </c>
      <c r="R22" s="68">
        <f>Valores!$D$9</f>
        <v>2018.53</v>
      </c>
      <c r="S22" s="67">
        <v>0</v>
      </c>
      <c r="T22" s="69">
        <f>Valores!$C$37</f>
        <v>750</v>
      </c>
      <c r="U22" s="67">
        <v>0</v>
      </c>
      <c r="V22" s="67">
        <f t="shared" si="2"/>
        <v>0</v>
      </c>
      <c r="W22" s="68">
        <f>SUM(H22,J22,L22)</f>
        <v>18258.38</v>
      </c>
      <c r="X22" s="68">
        <f>INT((SUM(H22,J22,L22)*0.4*100)+0.49)/100</f>
        <v>7303.35</v>
      </c>
      <c r="Y22" s="95">
        <v>0</v>
      </c>
      <c r="Z22" s="67">
        <f>Y22*Valores!$C$2</f>
        <v>0</v>
      </c>
      <c r="AA22" s="67">
        <v>0</v>
      </c>
      <c r="AB22" s="79">
        <v>129.04</v>
      </c>
      <c r="AC22" s="67">
        <f t="shared" si="3"/>
        <v>0</v>
      </c>
      <c r="AD22" s="67">
        <v>129.04</v>
      </c>
      <c r="AE22" s="95">
        <v>0</v>
      </c>
      <c r="AF22" s="67">
        <f>INT(((AE22*Valores!$C$2)*100)+0.5)/100</f>
        <v>0</v>
      </c>
      <c r="AG22" s="67">
        <f>Valores!$C$49</f>
        <v>262.5</v>
      </c>
      <c r="AH22" s="67">
        <f>Valores!$C$50</f>
        <v>75</v>
      </c>
      <c r="AI22" s="15">
        <f t="shared" si="6"/>
        <v>72488.275999999998</v>
      </c>
      <c r="AJ22" s="69">
        <f>Valores!$C$7</f>
        <v>600</v>
      </c>
      <c r="AK22" s="12">
        <f t="shared" si="4"/>
        <v>600</v>
      </c>
      <c r="AL22" s="68">
        <f t="shared" si="5"/>
        <v>17272.303479999999</v>
      </c>
      <c r="AM22" s="79">
        <v>0</v>
      </c>
      <c r="AN22" s="20"/>
      <c r="AO22" s="20">
        <v>45</v>
      </c>
      <c r="AP22" s="9" t="s">
        <v>464</v>
      </c>
    </row>
    <row r="23" spans="1:42" s="9" customFormat="1" ht="11.25" customHeight="1" x14ac:dyDescent="0.15">
      <c r="A23" s="9">
        <v>22</v>
      </c>
      <c r="D23" s="9" t="s">
        <v>40</v>
      </c>
      <c r="F23" s="10" t="s">
        <v>41</v>
      </c>
      <c r="G23" s="102">
        <v>100</v>
      </c>
      <c r="H23" s="7">
        <f>INT((G23*Valores!$C$2*100)+0.5)/100</f>
        <v>451.27</v>
      </c>
      <c r="I23" s="92">
        <v>3727</v>
      </c>
      <c r="J23" s="67">
        <f>INT((I23*Valores!$C$2*100)+0.5)/100</f>
        <v>16818.830000000002</v>
      </c>
      <c r="K23" s="129">
        <v>219</v>
      </c>
      <c r="L23" s="67">
        <f>INT((K23*Valores!$C$2*100)+0.5)/100</f>
        <v>988.28</v>
      </c>
      <c r="M23" s="102">
        <v>0</v>
      </c>
      <c r="N23" s="67">
        <f>INT((M23*Valores!$C$2*100)+0.5)/100</f>
        <v>0</v>
      </c>
      <c r="O23" s="67">
        <f t="shared" si="0"/>
        <v>0</v>
      </c>
      <c r="P23" s="67">
        <f t="shared" si="1"/>
        <v>22810.056</v>
      </c>
      <c r="Q23" s="68">
        <f>Valores!$C$16</f>
        <v>2494</v>
      </c>
      <c r="R23" s="68">
        <f>Valores!$D$9</f>
        <v>2018.53</v>
      </c>
      <c r="S23" s="67">
        <v>0</v>
      </c>
      <c r="T23" s="69">
        <f>Valores!$C$37</f>
        <v>750</v>
      </c>
      <c r="U23" s="67">
        <v>0</v>
      </c>
      <c r="V23" s="67">
        <f t="shared" si="2"/>
        <v>0</v>
      </c>
      <c r="W23" s="68">
        <f>SUM(H23,J23,L23)</f>
        <v>18258.38</v>
      </c>
      <c r="X23" s="68">
        <f>INT((SUM(H23,J23,L23)*0.4*100)+0.49)/100</f>
        <v>7303.35</v>
      </c>
      <c r="Y23" s="95">
        <v>0</v>
      </c>
      <c r="Z23" s="67">
        <f>Y23*Valores!$C$2</f>
        <v>0</v>
      </c>
      <c r="AA23" s="67">
        <v>0</v>
      </c>
      <c r="AB23" s="79">
        <v>129.04</v>
      </c>
      <c r="AC23" s="67">
        <f t="shared" si="3"/>
        <v>0</v>
      </c>
      <c r="AD23" s="67">
        <v>129.04</v>
      </c>
      <c r="AE23" s="95">
        <v>0</v>
      </c>
      <c r="AF23" s="67">
        <f>INT(((AE23*Valores!$C$2)*100)+0.5)/100</f>
        <v>0</v>
      </c>
      <c r="AG23" s="67">
        <f>Valores!$C$49</f>
        <v>262.5</v>
      </c>
      <c r="AH23" s="67">
        <f>Valores!$C$50</f>
        <v>75</v>
      </c>
      <c r="AI23" s="15">
        <f t="shared" si="6"/>
        <v>72488.275999999998</v>
      </c>
      <c r="AJ23" s="69">
        <f>Valores!$C$7</f>
        <v>600</v>
      </c>
      <c r="AK23" s="12">
        <f t="shared" si="4"/>
        <v>600</v>
      </c>
      <c r="AL23" s="68">
        <f t="shared" si="5"/>
        <v>17272.303479999999</v>
      </c>
      <c r="AM23" s="79">
        <v>0</v>
      </c>
      <c r="AN23" s="20"/>
      <c r="AO23" s="20">
        <v>45</v>
      </c>
      <c r="AP23" s="9" t="s">
        <v>464</v>
      </c>
    </row>
    <row r="24" spans="1:42" s="9" customFormat="1" ht="11.25" customHeight="1" x14ac:dyDescent="0.15">
      <c r="A24" s="9">
        <v>23</v>
      </c>
      <c r="D24" s="9" t="s">
        <v>42</v>
      </c>
      <c r="F24" s="10" t="s">
        <v>43</v>
      </c>
      <c r="G24" s="102">
        <v>96</v>
      </c>
      <c r="H24" s="7">
        <f>INT((G24*Valores!$C$2*100)+0.5)/100</f>
        <v>433.22</v>
      </c>
      <c r="I24" s="92">
        <v>3737</v>
      </c>
      <c r="J24" s="67">
        <f>INT((I24*Valores!$C$2*100)+0.5)/100</f>
        <v>16863.96</v>
      </c>
      <c r="K24" s="129">
        <v>1220</v>
      </c>
      <c r="L24" s="67">
        <f>INT((K24*Valores!$C$2*100)+0.5)/100</f>
        <v>5505.49</v>
      </c>
      <c r="M24" s="102">
        <v>0</v>
      </c>
      <c r="N24" s="67">
        <f>INT((M24*Valores!$C$2*100)+0.5)/100</f>
        <v>0</v>
      </c>
      <c r="O24" s="67">
        <f t="shared" si="0"/>
        <v>0</v>
      </c>
      <c r="P24" s="67">
        <f t="shared" si="1"/>
        <v>28263.203999999998</v>
      </c>
      <c r="Q24" s="68">
        <f>Valores!$C$20</f>
        <v>2644</v>
      </c>
      <c r="R24" s="68">
        <f>Valores!$D$9</f>
        <v>2018.53</v>
      </c>
      <c r="S24" s="67">
        <v>0</v>
      </c>
      <c r="T24" s="69">
        <f>Valores!$C$37</f>
        <v>750</v>
      </c>
      <c r="U24" s="67">
        <f>Valores!$C$23</f>
        <v>2079</v>
      </c>
      <c r="V24" s="67">
        <f t="shared" si="2"/>
        <v>4573.8</v>
      </c>
      <c r="W24" s="67">
        <v>0</v>
      </c>
      <c r="X24" s="67">
        <v>0</v>
      </c>
      <c r="Y24" s="95">
        <v>0</v>
      </c>
      <c r="Z24" s="67">
        <f>Y24*Valores!$C$2</f>
        <v>0</v>
      </c>
      <c r="AA24" s="67">
        <v>0</v>
      </c>
      <c r="AB24" s="79">
        <v>129.04</v>
      </c>
      <c r="AC24" s="67">
        <f t="shared" si="3"/>
        <v>0</v>
      </c>
      <c r="AD24" s="67">
        <v>129.04</v>
      </c>
      <c r="AE24" s="95">
        <v>0</v>
      </c>
      <c r="AF24" s="67">
        <f>INT(((AE24*Valores!$C$2)*100)+0.5)/100</f>
        <v>0</v>
      </c>
      <c r="AG24" s="67">
        <f>Valores!$C$49</f>
        <v>262.5</v>
      </c>
      <c r="AH24" s="67">
        <f>Valores!$C$50</f>
        <v>75</v>
      </c>
      <c r="AI24" s="15">
        <f t="shared" si="6"/>
        <v>61647.784</v>
      </c>
      <c r="AJ24" s="69">
        <f>Valores!$C$7</f>
        <v>600</v>
      </c>
      <c r="AK24" s="12">
        <f t="shared" si="4"/>
        <v>600</v>
      </c>
      <c r="AL24" s="68">
        <f t="shared" si="5"/>
        <v>14778.990319999999</v>
      </c>
      <c r="AM24" s="79">
        <v>0</v>
      </c>
      <c r="AN24" s="20"/>
      <c r="AO24" s="20">
        <v>45</v>
      </c>
      <c r="AP24" s="9" t="s">
        <v>465</v>
      </c>
    </row>
    <row r="25" spans="1:42" s="9" customFormat="1" ht="11.25" customHeight="1" x14ac:dyDescent="0.15">
      <c r="A25" s="9">
        <v>24</v>
      </c>
      <c r="D25" s="9" t="s">
        <v>390</v>
      </c>
      <c r="F25" s="10" t="s">
        <v>391</v>
      </c>
      <c r="G25" s="102">
        <v>96</v>
      </c>
      <c r="H25" s="7">
        <f>INT((G25*Valores!$C$2*100)+0.5)/100</f>
        <v>433.22</v>
      </c>
      <c r="I25" s="92">
        <v>3737</v>
      </c>
      <c r="J25" s="67">
        <f>INT((I25*Valores!$C$2*100)+0.5)/100</f>
        <v>16863.96</v>
      </c>
      <c r="K25" s="129">
        <v>1220</v>
      </c>
      <c r="L25" s="67">
        <f>INT((K25*Valores!$C$2*100)+0.5)/100</f>
        <v>5505.49</v>
      </c>
      <c r="M25" s="102">
        <v>0</v>
      </c>
      <c r="N25" s="67">
        <f>INT((M25*Valores!$C$2*100)+0.5)/100</f>
        <v>0</v>
      </c>
      <c r="O25" s="67">
        <f t="shared" si="0"/>
        <v>0</v>
      </c>
      <c r="P25" s="67">
        <f t="shared" si="1"/>
        <v>28263.203999999998</v>
      </c>
      <c r="Q25" s="68">
        <f>Valores!$C$20</f>
        <v>2644</v>
      </c>
      <c r="R25" s="68">
        <f>Valores!$D$9</f>
        <v>2018.53</v>
      </c>
      <c r="S25" s="67">
        <v>0</v>
      </c>
      <c r="T25" s="69">
        <f>Valores!$C$37</f>
        <v>750</v>
      </c>
      <c r="U25" s="67">
        <f>Valores!$C$23</f>
        <v>2079</v>
      </c>
      <c r="V25" s="67">
        <f t="shared" si="2"/>
        <v>4573.8</v>
      </c>
      <c r="W25" s="67">
        <v>0</v>
      </c>
      <c r="X25" s="67">
        <v>0</v>
      </c>
      <c r="Y25" s="95">
        <v>0</v>
      </c>
      <c r="Z25" s="67">
        <f>Y25*Valores!$C$2</f>
        <v>0</v>
      </c>
      <c r="AA25" s="67">
        <v>0</v>
      </c>
      <c r="AB25" s="79">
        <v>129.04</v>
      </c>
      <c r="AC25" s="67">
        <f t="shared" si="3"/>
        <v>0</v>
      </c>
      <c r="AD25" s="67">
        <v>129.04</v>
      </c>
      <c r="AE25" s="95">
        <v>0</v>
      </c>
      <c r="AF25" s="67">
        <f>INT(((AE25*Valores!$C$2)*100)+0.5)/100</f>
        <v>0</v>
      </c>
      <c r="AG25" s="67">
        <f>Valores!$C$49</f>
        <v>262.5</v>
      </c>
      <c r="AH25" s="67">
        <f>Valores!$C$50</f>
        <v>75</v>
      </c>
      <c r="AI25" s="15">
        <f t="shared" si="6"/>
        <v>61647.784</v>
      </c>
      <c r="AJ25" s="69">
        <f>Valores!$C$7</f>
        <v>600</v>
      </c>
      <c r="AK25" s="12">
        <f t="shared" si="4"/>
        <v>600</v>
      </c>
      <c r="AL25" s="68">
        <f t="shared" si="5"/>
        <v>14778.990319999999</v>
      </c>
      <c r="AM25" s="79">
        <v>0</v>
      </c>
      <c r="AN25" s="20"/>
      <c r="AO25" s="20">
        <v>45</v>
      </c>
      <c r="AP25" s="9" t="s">
        <v>465</v>
      </c>
    </row>
    <row r="26" spans="1:42" s="9" customFormat="1" ht="11.25" customHeight="1" x14ac:dyDescent="0.15">
      <c r="A26" s="43">
        <v>25</v>
      </c>
      <c r="B26" s="43" t="s">
        <v>460</v>
      </c>
      <c r="C26" s="43"/>
      <c r="D26" s="43" t="s">
        <v>44</v>
      </c>
      <c r="E26" s="43"/>
      <c r="F26" s="44" t="s">
        <v>45</v>
      </c>
      <c r="G26" s="103">
        <v>96</v>
      </c>
      <c r="H26" s="110">
        <f>INT((G26*Valores!$C$2*100)+0.5)/100</f>
        <v>433.22</v>
      </c>
      <c r="I26" s="93">
        <v>3737</v>
      </c>
      <c r="J26" s="70">
        <f>INT((I26*Valores!$C$2*100)+0.5)/100</f>
        <v>16863.96</v>
      </c>
      <c r="K26" s="130">
        <v>1220</v>
      </c>
      <c r="L26" s="70">
        <f>INT((K26*Valores!$C$2*100)+0.5)/100</f>
        <v>5505.49</v>
      </c>
      <c r="M26" s="103">
        <v>0</v>
      </c>
      <c r="N26" s="70">
        <f>INT((M26*Valores!$C$2*100)+0.5)/100</f>
        <v>0</v>
      </c>
      <c r="O26" s="70">
        <f t="shared" si="0"/>
        <v>0</v>
      </c>
      <c r="P26" s="70">
        <f t="shared" si="1"/>
        <v>28263.203999999998</v>
      </c>
      <c r="Q26" s="71">
        <f>Valores!$C$20</f>
        <v>2644</v>
      </c>
      <c r="R26" s="71">
        <f>Valores!$D$9</f>
        <v>2018.53</v>
      </c>
      <c r="S26" s="70">
        <v>0</v>
      </c>
      <c r="T26" s="72">
        <f>Valores!$C$37</f>
        <v>750</v>
      </c>
      <c r="U26" s="70">
        <f>Valores!$C$23</f>
        <v>2079</v>
      </c>
      <c r="V26" s="70">
        <f t="shared" si="2"/>
        <v>4573.8</v>
      </c>
      <c r="W26" s="70">
        <v>0</v>
      </c>
      <c r="X26" s="70">
        <v>0</v>
      </c>
      <c r="Y26" s="94">
        <v>0</v>
      </c>
      <c r="Z26" s="70">
        <f>Y26*Valores!$C$2</f>
        <v>0</v>
      </c>
      <c r="AA26" s="70">
        <v>0</v>
      </c>
      <c r="AB26" s="80">
        <v>129.04</v>
      </c>
      <c r="AC26" s="70">
        <f t="shared" si="3"/>
        <v>0</v>
      </c>
      <c r="AD26" s="70">
        <v>129.04</v>
      </c>
      <c r="AE26" s="94">
        <v>0</v>
      </c>
      <c r="AF26" s="70">
        <f>INT(((AE26*Valores!$C$2)*100)+0.5)/100</f>
        <v>0</v>
      </c>
      <c r="AG26" s="70">
        <f>Valores!$C$49</f>
        <v>262.5</v>
      </c>
      <c r="AH26" s="70">
        <f>Valores!$C$50</f>
        <v>75</v>
      </c>
      <c r="AI26" s="45">
        <f t="shared" si="6"/>
        <v>61647.784</v>
      </c>
      <c r="AJ26" s="72">
        <f>Valores!$C$7</f>
        <v>600</v>
      </c>
      <c r="AK26" s="46">
        <f t="shared" si="4"/>
        <v>600</v>
      </c>
      <c r="AL26" s="71">
        <f t="shared" si="5"/>
        <v>14778.990319999999</v>
      </c>
      <c r="AM26" s="80">
        <v>0</v>
      </c>
      <c r="AN26" s="47"/>
      <c r="AO26" s="47">
        <v>45</v>
      </c>
      <c r="AP26" s="43" t="s">
        <v>465</v>
      </c>
    </row>
    <row r="27" spans="1:42" s="9" customFormat="1" ht="11.25" customHeight="1" x14ac:dyDescent="0.15">
      <c r="A27" s="9">
        <v>26</v>
      </c>
      <c r="D27" s="9" t="s">
        <v>46</v>
      </c>
      <c r="F27" s="10" t="s">
        <v>47</v>
      </c>
      <c r="G27" s="102">
        <v>107</v>
      </c>
      <c r="H27" s="7">
        <f>INT((G27*Valores!$C$2*100)+0.5)/100</f>
        <v>482.86</v>
      </c>
      <c r="I27" s="92">
        <v>3728</v>
      </c>
      <c r="J27" s="67">
        <f>INT((I27*Valores!$C$2*100)+0.5)/100</f>
        <v>16823.349999999999</v>
      </c>
      <c r="K27" s="129">
        <v>1218</v>
      </c>
      <c r="L27" s="67">
        <f>INT((K27*Valores!$C$2*100)+0.5)/100</f>
        <v>5496.47</v>
      </c>
      <c r="M27" s="102">
        <v>0</v>
      </c>
      <c r="N27" s="67">
        <f>INT((M27*Valores!$C$2*100)+0.5)/100</f>
        <v>0</v>
      </c>
      <c r="O27" s="67">
        <f t="shared" si="0"/>
        <v>0</v>
      </c>
      <c r="P27" s="67">
        <f t="shared" si="1"/>
        <v>28263.216</v>
      </c>
      <c r="Q27" s="68">
        <f>Valores!$C$20</f>
        <v>2644</v>
      </c>
      <c r="R27" s="68">
        <f>Valores!$D$9</f>
        <v>2018.53</v>
      </c>
      <c r="S27" s="67">
        <v>0</v>
      </c>
      <c r="T27" s="69">
        <f>Valores!$C$37</f>
        <v>750</v>
      </c>
      <c r="U27" s="67">
        <f>Valores!$C$23</f>
        <v>2079</v>
      </c>
      <c r="V27" s="67">
        <f t="shared" si="2"/>
        <v>4573.8</v>
      </c>
      <c r="W27" s="67">
        <v>0</v>
      </c>
      <c r="X27" s="67">
        <v>0</v>
      </c>
      <c r="Y27" s="95">
        <v>0</v>
      </c>
      <c r="Z27" s="67">
        <f>Y27*Valores!$C$2</f>
        <v>0</v>
      </c>
      <c r="AA27" s="67">
        <v>0</v>
      </c>
      <c r="AB27" s="79">
        <v>129.04</v>
      </c>
      <c r="AC27" s="67">
        <f t="shared" si="3"/>
        <v>0</v>
      </c>
      <c r="AD27" s="67">
        <v>129.04</v>
      </c>
      <c r="AE27" s="95">
        <v>0</v>
      </c>
      <c r="AF27" s="67">
        <f>INT(((AE27*Valores!$C$2)*100)+0.5)/100</f>
        <v>0</v>
      </c>
      <c r="AG27" s="67">
        <f>Valores!$C$49</f>
        <v>262.5</v>
      </c>
      <c r="AH27" s="67">
        <f>Valores!$C$50</f>
        <v>75</v>
      </c>
      <c r="AI27" s="15">
        <f t="shared" si="6"/>
        <v>61647.806000000004</v>
      </c>
      <c r="AJ27" s="69">
        <f>Valores!$C$7</f>
        <v>600</v>
      </c>
      <c r="AK27" s="12">
        <f t="shared" si="4"/>
        <v>600</v>
      </c>
      <c r="AL27" s="68">
        <f t="shared" si="5"/>
        <v>14778.99538</v>
      </c>
      <c r="AM27" s="79">
        <v>0</v>
      </c>
      <c r="AN27" s="20"/>
      <c r="AO27" s="20">
        <v>45</v>
      </c>
      <c r="AP27" s="9" t="s">
        <v>464</v>
      </c>
    </row>
    <row r="28" spans="1:42" s="9" customFormat="1" ht="11.25" customHeight="1" x14ac:dyDescent="0.15">
      <c r="A28" s="9">
        <v>27</v>
      </c>
      <c r="D28" s="9" t="s">
        <v>48</v>
      </c>
      <c r="F28" s="10" t="s">
        <v>49</v>
      </c>
      <c r="G28" s="102">
        <v>94</v>
      </c>
      <c r="H28" s="7">
        <f>INT((G28*Valores!$C$2*100)+0.5)/100</f>
        <v>424.19</v>
      </c>
      <c r="I28" s="92">
        <v>3624</v>
      </c>
      <c r="J28" s="67">
        <f>INT((I28*Valores!$C$2*100)+0.5)/100</f>
        <v>16354.02</v>
      </c>
      <c r="K28" s="129">
        <v>1219</v>
      </c>
      <c r="L28" s="67">
        <f>INT((K28*Valores!$C$2*100)+0.5)/100</f>
        <v>5500.98</v>
      </c>
      <c r="M28" s="102">
        <v>0</v>
      </c>
      <c r="N28" s="67">
        <f>INT((M28*Valores!$C$2*100)+0.5)/100</f>
        <v>0</v>
      </c>
      <c r="O28" s="67">
        <f t="shared" si="0"/>
        <v>0</v>
      </c>
      <c r="P28" s="67">
        <f t="shared" si="1"/>
        <v>27635.027999999998</v>
      </c>
      <c r="Q28" s="68">
        <f>Valores!$C$18</f>
        <v>2594</v>
      </c>
      <c r="R28" s="68">
        <f>Valores!$D$9</f>
        <v>2018.53</v>
      </c>
      <c r="S28" s="67">
        <v>0</v>
      </c>
      <c r="T28" s="69">
        <f>Valores!$C$37</f>
        <v>750</v>
      </c>
      <c r="U28" s="67">
        <f>Valores!$C$23</f>
        <v>2079</v>
      </c>
      <c r="V28" s="67">
        <f t="shared" si="2"/>
        <v>4573.8</v>
      </c>
      <c r="W28" s="67">
        <v>0</v>
      </c>
      <c r="X28" s="67">
        <v>0</v>
      </c>
      <c r="Y28" s="95">
        <v>0</v>
      </c>
      <c r="Z28" s="67">
        <f>Y28*Valores!$C$2</f>
        <v>0</v>
      </c>
      <c r="AA28" s="67">
        <v>0</v>
      </c>
      <c r="AB28" s="79">
        <v>129.04</v>
      </c>
      <c r="AC28" s="67">
        <f t="shared" si="3"/>
        <v>0</v>
      </c>
      <c r="AD28" s="67">
        <v>129.04</v>
      </c>
      <c r="AE28" s="95">
        <v>0</v>
      </c>
      <c r="AF28" s="67">
        <f>INT(((AE28*Valores!$C$2)*100)+0.5)/100</f>
        <v>0</v>
      </c>
      <c r="AG28" s="67">
        <f>Valores!$C$49</f>
        <v>262.5</v>
      </c>
      <c r="AH28" s="67">
        <f>Valores!$C$50</f>
        <v>75</v>
      </c>
      <c r="AI28" s="15">
        <f t="shared" si="6"/>
        <v>60446.127999999997</v>
      </c>
      <c r="AJ28" s="69">
        <f>Valores!$C$7</f>
        <v>600</v>
      </c>
      <c r="AK28" s="12">
        <f t="shared" si="4"/>
        <v>600</v>
      </c>
      <c r="AL28" s="68">
        <f t="shared" si="5"/>
        <v>14502.609439999998</v>
      </c>
      <c r="AM28" s="79">
        <v>0</v>
      </c>
      <c r="AN28" s="20"/>
      <c r="AO28" s="20">
        <v>45</v>
      </c>
      <c r="AP28" s="9" t="s">
        <v>465</v>
      </c>
    </row>
    <row r="29" spans="1:42" s="9" customFormat="1" ht="11.25" customHeight="1" x14ac:dyDescent="0.15">
      <c r="A29" s="9">
        <v>28</v>
      </c>
      <c r="D29" s="9" t="s">
        <v>50</v>
      </c>
      <c r="F29" s="10" t="s">
        <v>51</v>
      </c>
      <c r="G29" s="102">
        <v>93</v>
      </c>
      <c r="H29" s="7">
        <f>INT((G29*Valores!$C$2*100)+0.5)/100</f>
        <v>419.68</v>
      </c>
      <c r="I29" s="92">
        <v>3627</v>
      </c>
      <c r="J29" s="67">
        <f>INT((I29*Valores!$C$2*100)+0.5)/100</f>
        <v>16367.56</v>
      </c>
      <c r="K29" s="129">
        <v>210</v>
      </c>
      <c r="L29" s="67">
        <f>INT((K29*Valores!$C$2*100)+0.5)/100</f>
        <v>947.67</v>
      </c>
      <c r="M29" s="102">
        <v>0</v>
      </c>
      <c r="N29" s="67">
        <f>INT((M29*Valores!$C$2*100)+0.5)/100</f>
        <v>0</v>
      </c>
      <c r="O29" s="67">
        <f t="shared" si="0"/>
        <v>0</v>
      </c>
      <c r="P29" s="67">
        <f t="shared" si="1"/>
        <v>22181.891999999996</v>
      </c>
      <c r="Q29" s="68">
        <f>Valores!$C$18</f>
        <v>2594</v>
      </c>
      <c r="R29" s="68">
        <f>Valores!$D$9</f>
        <v>2018.53</v>
      </c>
      <c r="S29" s="67">
        <v>0</v>
      </c>
      <c r="T29" s="69">
        <f>Valores!$C$37</f>
        <v>750</v>
      </c>
      <c r="U29" s="67">
        <f>Valores!$C$23</f>
        <v>2079</v>
      </c>
      <c r="V29" s="67">
        <f t="shared" si="2"/>
        <v>4573.8</v>
      </c>
      <c r="W29" s="67">
        <v>0</v>
      </c>
      <c r="X29" s="67">
        <v>0</v>
      </c>
      <c r="Y29" s="95">
        <v>0</v>
      </c>
      <c r="Z29" s="67">
        <f>Y29*Valores!$C$2</f>
        <v>0</v>
      </c>
      <c r="AA29" s="67">
        <v>0</v>
      </c>
      <c r="AB29" s="79">
        <v>129.04</v>
      </c>
      <c r="AC29" s="67">
        <f t="shared" si="3"/>
        <v>0</v>
      </c>
      <c r="AD29" s="67">
        <v>129.04</v>
      </c>
      <c r="AE29" s="95">
        <v>0</v>
      </c>
      <c r="AF29" s="67">
        <f>INT(((AE29*Valores!$C$2)*100)+0.5)/100</f>
        <v>0</v>
      </c>
      <c r="AG29" s="67">
        <f>Valores!$C$49</f>
        <v>262.5</v>
      </c>
      <c r="AH29" s="67">
        <f>Valores!$C$50</f>
        <v>75</v>
      </c>
      <c r="AI29" s="15">
        <f t="shared" si="6"/>
        <v>50448.712</v>
      </c>
      <c r="AJ29" s="69">
        <f>Valores!$C$7</f>
        <v>600</v>
      </c>
      <c r="AK29" s="12">
        <f t="shared" si="4"/>
        <v>600</v>
      </c>
      <c r="AL29" s="68">
        <f t="shared" si="5"/>
        <v>12203.203759999999</v>
      </c>
      <c r="AM29" s="79">
        <v>0</v>
      </c>
      <c r="AN29" s="20"/>
      <c r="AO29" s="20">
        <v>45</v>
      </c>
      <c r="AP29" s="9" t="s">
        <v>464</v>
      </c>
    </row>
    <row r="30" spans="1:42" s="9" customFormat="1" ht="11.25" customHeight="1" x14ac:dyDescent="0.15">
      <c r="A30" s="9">
        <v>29</v>
      </c>
      <c r="D30" s="9" t="s">
        <v>52</v>
      </c>
      <c r="F30" s="10" t="s">
        <v>53</v>
      </c>
      <c r="G30" s="102">
        <v>93</v>
      </c>
      <c r="H30" s="7">
        <f>INT((G30*Valores!$C$2*100)+0.5)/100</f>
        <v>419.68</v>
      </c>
      <c r="I30" s="92">
        <v>3630</v>
      </c>
      <c r="J30" s="67">
        <f>INT((I30*Valores!$C$2*100)+0.5)/100</f>
        <v>16381.1</v>
      </c>
      <c r="K30" s="129">
        <v>1214</v>
      </c>
      <c r="L30" s="67">
        <f>INT((K30*Valores!$C$2*100)+0.5)/100</f>
        <v>5478.42</v>
      </c>
      <c r="M30" s="102">
        <v>0</v>
      </c>
      <c r="N30" s="67">
        <f>INT((M30*Valores!$C$2*100)+0.5)/100</f>
        <v>0</v>
      </c>
      <c r="O30" s="67">
        <f t="shared" si="0"/>
        <v>0</v>
      </c>
      <c r="P30" s="67">
        <f t="shared" si="1"/>
        <v>27635.039999999997</v>
      </c>
      <c r="Q30" s="68">
        <f>Valores!$C$18</f>
        <v>2594</v>
      </c>
      <c r="R30" s="68">
        <f>Valores!$D$9</f>
        <v>2018.53</v>
      </c>
      <c r="S30" s="67">
        <v>0</v>
      </c>
      <c r="T30" s="69">
        <f>Valores!$C$37</f>
        <v>750</v>
      </c>
      <c r="U30" s="67">
        <f>Valores!$C$23</f>
        <v>2079</v>
      </c>
      <c r="V30" s="67">
        <f t="shared" si="2"/>
        <v>4573.8</v>
      </c>
      <c r="W30" s="67">
        <v>0</v>
      </c>
      <c r="X30" s="67">
        <v>0</v>
      </c>
      <c r="Y30" s="95">
        <v>0</v>
      </c>
      <c r="Z30" s="67">
        <f>Y30*Valores!$C$2</f>
        <v>0</v>
      </c>
      <c r="AA30" s="67">
        <v>0</v>
      </c>
      <c r="AB30" s="79">
        <v>129.04</v>
      </c>
      <c r="AC30" s="67">
        <f t="shared" si="3"/>
        <v>0</v>
      </c>
      <c r="AD30" s="67">
        <v>129.04</v>
      </c>
      <c r="AE30" s="95">
        <v>0</v>
      </c>
      <c r="AF30" s="67">
        <f>INT(((AE30*Valores!$C$2)*100)+0.5)/100</f>
        <v>0</v>
      </c>
      <c r="AG30" s="67">
        <f>Valores!$C$49</f>
        <v>262.5</v>
      </c>
      <c r="AH30" s="67">
        <f>Valores!$C$50</f>
        <v>75</v>
      </c>
      <c r="AI30" s="15">
        <f t="shared" si="6"/>
        <v>60446.149999999994</v>
      </c>
      <c r="AJ30" s="69">
        <f>Valores!$C$7</f>
        <v>600</v>
      </c>
      <c r="AK30" s="12">
        <f t="shared" si="4"/>
        <v>600</v>
      </c>
      <c r="AL30" s="68">
        <f t="shared" si="5"/>
        <v>14502.614499999998</v>
      </c>
      <c r="AM30" s="79">
        <v>220</v>
      </c>
      <c r="AN30" s="20"/>
      <c r="AO30" s="20">
        <v>45</v>
      </c>
      <c r="AP30" s="9" t="s">
        <v>465</v>
      </c>
    </row>
    <row r="31" spans="1:42" s="9" customFormat="1" ht="11.25" customHeight="1" x14ac:dyDescent="0.15">
      <c r="A31" s="43">
        <v>30</v>
      </c>
      <c r="B31" s="43" t="s">
        <v>460</v>
      </c>
      <c r="C31" s="43"/>
      <c r="D31" s="43" t="s">
        <v>54</v>
      </c>
      <c r="E31" s="43"/>
      <c r="F31" s="44" t="s">
        <v>55</v>
      </c>
      <c r="G31" s="103">
        <v>96</v>
      </c>
      <c r="H31" s="110">
        <f>INT((G31*Valores!$C$2*100)+0.5)/100</f>
        <v>433.22</v>
      </c>
      <c r="I31" s="93">
        <v>3737</v>
      </c>
      <c r="J31" s="70">
        <f>INT((I31*Valores!$C$2*100)+0.5)/100</f>
        <v>16863.96</v>
      </c>
      <c r="K31" s="130">
        <v>1220</v>
      </c>
      <c r="L31" s="70">
        <f>INT((K31*Valores!$C$2*100)+0.5)/100</f>
        <v>5505.49</v>
      </c>
      <c r="M31" s="103">
        <v>0</v>
      </c>
      <c r="N31" s="70">
        <f>INT((M31*Valores!$C$2*100)+0.5)/100</f>
        <v>0</v>
      </c>
      <c r="O31" s="70">
        <f t="shared" si="0"/>
        <v>0</v>
      </c>
      <c r="P31" s="70">
        <f t="shared" si="1"/>
        <v>28263.203999999998</v>
      </c>
      <c r="Q31" s="71">
        <f>Valores!$C$20</f>
        <v>2644</v>
      </c>
      <c r="R31" s="71">
        <f>Valores!$D$9</f>
        <v>2018.53</v>
      </c>
      <c r="S31" s="70">
        <v>0</v>
      </c>
      <c r="T31" s="72">
        <f>Valores!$C$37</f>
        <v>750</v>
      </c>
      <c r="U31" s="70">
        <f>Valores!$C$23</f>
        <v>2079</v>
      </c>
      <c r="V31" s="70">
        <f t="shared" si="2"/>
        <v>4573.8</v>
      </c>
      <c r="W31" s="70">
        <v>0</v>
      </c>
      <c r="X31" s="70">
        <v>0</v>
      </c>
      <c r="Y31" s="94">
        <v>0</v>
      </c>
      <c r="Z31" s="70">
        <f>Y31*Valores!$C$2</f>
        <v>0</v>
      </c>
      <c r="AA31" s="70">
        <f>SUM(L31,J31,H31,T31)*Valores!$C$3</f>
        <v>3532.9004999999997</v>
      </c>
      <c r="AB31" s="80">
        <v>129.04</v>
      </c>
      <c r="AC31" s="70">
        <f t="shared" si="3"/>
        <v>0</v>
      </c>
      <c r="AD31" s="70">
        <v>129.04</v>
      </c>
      <c r="AE31" s="94">
        <v>0</v>
      </c>
      <c r="AF31" s="70">
        <f>INT(((AE31*Valores!$C$2)*100)+0.5)/100</f>
        <v>0</v>
      </c>
      <c r="AG31" s="70">
        <f>Valores!$C$49</f>
        <v>262.5</v>
      </c>
      <c r="AH31" s="70">
        <f>Valores!$C$50</f>
        <v>75</v>
      </c>
      <c r="AI31" s="45">
        <f t="shared" si="6"/>
        <v>65180.684500000003</v>
      </c>
      <c r="AJ31" s="72">
        <f>Valores!$C$7</f>
        <v>600</v>
      </c>
      <c r="AK31" s="46">
        <f t="shared" si="4"/>
        <v>600</v>
      </c>
      <c r="AL31" s="71">
        <f t="shared" si="5"/>
        <v>15591.557434999999</v>
      </c>
      <c r="AM31" s="80">
        <v>0</v>
      </c>
      <c r="AN31" s="47"/>
      <c r="AO31" s="47">
        <v>45</v>
      </c>
      <c r="AP31" s="43" t="s">
        <v>464</v>
      </c>
    </row>
    <row r="32" spans="1:42" s="9" customFormat="1" ht="11.25" customHeight="1" x14ac:dyDescent="0.15">
      <c r="A32" s="9">
        <v>31</v>
      </c>
      <c r="D32" s="9" t="s">
        <v>56</v>
      </c>
      <c r="F32" s="10" t="s">
        <v>57</v>
      </c>
      <c r="G32" s="102">
        <v>92</v>
      </c>
      <c r="H32" s="7">
        <f>INT((G32*Valores!$C$2*100)+0.5)/100</f>
        <v>415.17</v>
      </c>
      <c r="I32" s="92">
        <v>3483</v>
      </c>
      <c r="J32" s="67">
        <f>INT((I32*Valores!$C$2*100)+0.5)/100</f>
        <v>15717.73</v>
      </c>
      <c r="K32" s="129">
        <v>1217</v>
      </c>
      <c r="L32" s="67">
        <f>INT((K32*Valores!$C$2*100)+0.5)/100</f>
        <v>5491.96</v>
      </c>
      <c r="M32" s="102">
        <v>0</v>
      </c>
      <c r="N32" s="67">
        <f>INT((M32*Valores!$C$2*100)+0.5)/100</f>
        <v>0</v>
      </c>
      <c r="O32" s="67">
        <f t="shared" si="0"/>
        <v>0</v>
      </c>
      <c r="P32" s="67">
        <f t="shared" si="1"/>
        <v>26849.831999999999</v>
      </c>
      <c r="Q32" s="68">
        <f>Valores!$C$19</f>
        <v>4660</v>
      </c>
      <c r="R32" s="68">
        <f>Valores!$D$9</f>
        <v>2018.53</v>
      </c>
      <c r="S32" s="67">
        <v>0</v>
      </c>
      <c r="T32" s="69">
        <f>Valores!$C$37</f>
        <v>750</v>
      </c>
      <c r="U32" s="67">
        <f>Valores!$C$23</f>
        <v>2079</v>
      </c>
      <c r="V32" s="67">
        <f t="shared" si="2"/>
        <v>4573.8</v>
      </c>
      <c r="W32" s="67">
        <v>0</v>
      </c>
      <c r="X32" s="67">
        <v>0</v>
      </c>
      <c r="Y32" s="95">
        <v>0</v>
      </c>
      <c r="Z32" s="67">
        <f>Y32*Valores!$C$2</f>
        <v>0</v>
      </c>
      <c r="AA32" s="67">
        <v>0</v>
      </c>
      <c r="AB32" s="79">
        <v>129.04</v>
      </c>
      <c r="AC32" s="67">
        <f t="shared" si="3"/>
        <v>0</v>
      </c>
      <c r="AD32" s="67">
        <v>129.04</v>
      </c>
      <c r="AE32" s="95">
        <v>0</v>
      </c>
      <c r="AF32" s="67">
        <f>INT(((AE32*Valores!$C$2)*100)+0.5)/100</f>
        <v>0</v>
      </c>
      <c r="AG32" s="67">
        <f>Valores!$C$49</f>
        <v>262.5</v>
      </c>
      <c r="AH32" s="67">
        <f>Valores!$C$50</f>
        <v>75</v>
      </c>
      <c r="AI32" s="15">
        <f t="shared" si="6"/>
        <v>61072.601999999999</v>
      </c>
      <c r="AJ32" s="69">
        <f>Valores!$C$7</f>
        <v>600</v>
      </c>
      <c r="AK32" s="12">
        <f t="shared" si="4"/>
        <v>600</v>
      </c>
      <c r="AL32" s="68">
        <f t="shared" si="5"/>
        <v>14646.698459999998</v>
      </c>
      <c r="AM32" s="79">
        <v>220</v>
      </c>
      <c r="AN32" s="20"/>
      <c r="AO32" s="20">
        <v>45</v>
      </c>
      <c r="AP32" s="9" t="s">
        <v>465</v>
      </c>
    </row>
    <row r="33" spans="1:42" s="9" customFormat="1" ht="11.25" customHeight="1" x14ac:dyDescent="0.15">
      <c r="A33" s="9">
        <v>32</v>
      </c>
      <c r="D33" s="9" t="s">
        <v>388</v>
      </c>
      <c r="F33" s="10" t="s">
        <v>389</v>
      </c>
      <c r="G33" s="102">
        <v>85</v>
      </c>
      <c r="H33" s="7">
        <f>INT((G33*Valores!$C$2*100)+0.5)/100</f>
        <v>383.58</v>
      </c>
      <c r="I33" s="92">
        <v>3498</v>
      </c>
      <c r="J33" s="67">
        <f>INT((I33*Valores!$C$2*100)+0.5)/100</f>
        <v>15785.42</v>
      </c>
      <c r="K33" s="129">
        <v>1209</v>
      </c>
      <c r="L33" s="67">
        <f>INT((K33*Valores!$C$2*100)+0.5)/100</f>
        <v>5455.85</v>
      </c>
      <c r="M33" s="102">
        <v>0</v>
      </c>
      <c r="N33" s="67">
        <f>INT((M33*Valores!$C$2*100)+0.5)/100</f>
        <v>0</v>
      </c>
      <c r="O33" s="67">
        <f t="shared" si="0"/>
        <v>0</v>
      </c>
      <c r="P33" s="67">
        <f t="shared" si="1"/>
        <v>26849.819999999996</v>
      </c>
      <c r="Q33" s="68">
        <f>Valores!$C$19</f>
        <v>4660</v>
      </c>
      <c r="R33" s="68">
        <f>Valores!$D$9</f>
        <v>2018.53</v>
      </c>
      <c r="S33" s="67">
        <v>0</v>
      </c>
      <c r="T33" s="69">
        <f>Valores!$C$37</f>
        <v>750</v>
      </c>
      <c r="U33" s="67">
        <f>Valores!$C$23</f>
        <v>2079</v>
      </c>
      <c r="V33" s="67">
        <f t="shared" si="2"/>
        <v>4573.8</v>
      </c>
      <c r="W33" s="67">
        <v>0</v>
      </c>
      <c r="X33" s="67">
        <v>0</v>
      </c>
      <c r="Y33" s="95">
        <v>0</v>
      </c>
      <c r="Z33" s="67">
        <f>Y33*Valores!$C$2</f>
        <v>0</v>
      </c>
      <c r="AA33" s="67">
        <v>0</v>
      </c>
      <c r="AB33" s="79">
        <v>129.04</v>
      </c>
      <c r="AC33" s="67">
        <f t="shared" si="3"/>
        <v>0</v>
      </c>
      <c r="AD33" s="67">
        <v>129.04</v>
      </c>
      <c r="AE33" s="95">
        <v>0</v>
      </c>
      <c r="AF33" s="67">
        <f>INT(((AE33*Valores!$C$2)*100)+0.5)/100</f>
        <v>0</v>
      </c>
      <c r="AG33" s="67">
        <f>Valores!$C$49</f>
        <v>262.5</v>
      </c>
      <c r="AH33" s="67">
        <f>Valores!$C$50</f>
        <v>75</v>
      </c>
      <c r="AI33" s="15">
        <f t="shared" si="6"/>
        <v>61072.58</v>
      </c>
      <c r="AJ33" s="69">
        <f>Valores!$C$7</f>
        <v>600</v>
      </c>
      <c r="AK33" s="12">
        <f t="shared" si="4"/>
        <v>600</v>
      </c>
      <c r="AL33" s="68">
        <f t="shared" si="5"/>
        <v>14646.6934</v>
      </c>
      <c r="AM33" s="79">
        <v>220</v>
      </c>
      <c r="AN33" s="20"/>
      <c r="AO33" s="20">
        <v>45</v>
      </c>
      <c r="AP33" s="9" t="s">
        <v>465</v>
      </c>
    </row>
    <row r="34" spans="1:42" s="9" customFormat="1" ht="11.25" customHeight="1" x14ac:dyDescent="0.15">
      <c r="A34" s="9">
        <v>33</v>
      </c>
      <c r="D34" s="9" t="s">
        <v>58</v>
      </c>
      <c r="F34" s="10" t="s">
        <v>59</v>
      </c>
      <c r="G34" s="102">
        <v>92</v>
      </c>
      <c r="H34" s="7">
        <f>INT((G34*Valores!$C$2*100)+0.5)/100</f>
        <v>415.17</v>
      </c>
      <c r="I34" s="92">
        <v>3483</v>
      </c>
      <c r="J34" s="67">
        <f>INT((I34*Valores!$C$2*100)+0.5)/100</f>
        <v>15717.73</v>
      </c>
      <c r="K34" s="129">
        <v>1217</v>
      </c>
      <c r="L34" s="67">
        <f>INT((K34*Valores!$C$2*100)+0.5)/100</f>
        <v>5491.96</v>
      </c>
      <c r="M34" s="102">
        <v>0</v>
      </c>
      <c r="N34" s="67">
        <f>INT((M34*Valores!$C$2*100)+0.5)/100</f>
        <v>0</v>
      </c>
      <c r="O34" s="67">
        <f t="shared" si="0"/>
        <v>0</v>
      </c>
      <c r="P34" s="67">
        <f t="shared" si="1"/>
        <v>26849.831999999999</v>
      </c>
      <c r="Q34" s="68">
        <f>Valores!$C$19</f>
        <v>4660</v>
      </c>
      <c r="R34" s="68">
        <f>Valores!$D$9</f>
        <v>2018.53</v>
      </c>
      <c r="S34" s="67">
        <v>0</v>
      </c>
      <c r="T34" s="69">
        <f>Valores!$C$37</f>
        <v>750</v>
      </c>
      <c r="U34" s="67">
        <f>Valores!$C$23</f>
        <v>2079</v>
      </c>
      <c r="V34" s="67">
        <f t="shared" si="2"/>
        <v>4573.8</v>
      </c>
      <c r="W34" s="67">
        <v>0</v>
      </c>
      <c r="X34" s="67">
        <v>0</v>
      </c>
      <c r="Y34" s="95">
        <v>0</v>
      </c>
      <c r="Z34" s="67">
        <f>Y34*Valores!$C$2</f>
        <v>0</v>
      </c>
      <c r="AA34" s="67">
        <v>0</v>
      </c>
      <c r="AB34" s="79">
        <v>129.04</v>
      </c>
      <c r="AC34" s="67">
        <f t="shared" si="3"/>
        <v>0</v>
      </c>
      <c r="AD34" s="67">
        <v>129.04</v>
      </c>
      <c r="AE34" s="95">
        <v>0</v>
      </c>
      <c r="AF34" s="67">
        <f>INT(((AE34*Valores!$C$2)*100)+0.5)/100</f>
        <v>0</v>
      </c>
      <c r="AG34" s="67">
        <f>Valores!$C$49</f>
        <v>262.5</v>
      </c>
      <c r="AH34" s="67">
        <f>Valores!$C$50</f>
        <v>75</v>
      </c>
      <c r="AI34" s="15">
        <f t="shared" si="6"/>
        <v>61072.601999999999</v>
      </c>
      <c r="AJ34" s="69">
        <f>Valores!$C$7</f>
        <v>600</v>
      </c>
      <c r="AK34" s="12">
        <f t="shared" si="4"/>
        <v>600</v>
      </c>
      <c r="AL34" s="68">
        <f t="shared" si="5"/>
        <v>14646.698459999998</v>
      </c>
      <c r="AM34" s="79">
        <v>0</v>
      </c>
      <c r="AN34" s="20"/>
      <c r="AO34" s="20">
        <v>45</v>
      </c>
      <c r="AP34" s="9" t="s">
        <v>465</v>
      </c>
    </row>
    <row r="35" spans="1:42" s="9" customFormat="1" ht="11.25" customHeight="1" x14ac:dyDescent="0.15">
      <c r="A35" s="9">
        <v>34</v>
      </c>
      <c r="D35" s="9" t="s">
        <v>60</v>
      </c>
      <c r="F35" s="10" t="s">
        <v>61</v>
      </c>
      <c r="G35" s="102">
        <v>85</v>
      </c>
      <c r="H35" s="7">
        <f>INT((G35*Valores!$C$2*100)+0.5)/100</f>
        <v>383.58</v>
      </c>
      <c r="I35" s="92">
        <v>3498</v>
      </c>
      <c r="J35" s="67">
        <f>INT((I35*Valores!$C$2*100)+0.5)/100</f>
        <v>15785.42</v>
      </c>
      <c r="K35" s="129">
        <v>1209</v>
      </c>
      <c r="L35" s="67">
        <f>INT((K35*Valores!$C$2*100)+0.5)/100</f>
        <v>5455.85</v>
      </c>
      <c r="M35" s="102">
        <v>0</v>
      </c>
      <c r="N35" s="67">
        <f>INT((M35*Valores!$C$2*100)+0.5)/100</f>
        <v>0</v>
      </c>
      <c r="O35" s="67">
        <f t="shared" si="0"/>
        <v>0</v>
      </c>
      <c r="P35" s="67">
        <f t="shared" si="1"/>
        <v>26849.819999999996</v>
      </c>
      <c r="Q35" s="68">
        <f>Valores!$C$19</f>
        <v>4660</v>
      </c>
      <c r="R35" s="68">
        <f>Valores!$D$9</f>
        <v>2018.53</v>
      </c>
      <c r="S35" s="67">
        <v>0</v>
      </c>
      <c r="T35" s="69">
        <f>Valores!$C$37</f>
        <v>750</v>
      </c>
      <c r="U35" s="67">
        <f>Valores!$C$23</f>
        <v>2079</v>
      </c>
      <c r="V35" s="67">
        <f t="shared" si="2"/>
        <v>4573.8</v>
      </c>
      <c r="W35" s="67">
        <v>0</v>
      </c>
      <c r="X35" s="67">
        <v>0</v>
      </c>
      <c r="Y35" s="95">
        <v>0</v>
      </c>
      <c r="Z35" s="67">
        <f>Y35*Valores!$C$2</f>
        <v>0</v>
      </c>
      <c r="AA35" s="67">
        <v>0</v>
      </c>
      <c r="AB35" s="79">
        <v>129.04</v>
      </c>
      <c r="AC35" s="67">
        <f t="shared" si="3"/>
        <v>0</v>
      </c>
      <c r="AD35" s="67">
        <v>129.04</v>
      </c>
      <c r="AE35" s="95">
        <v>0</v>
      </c>
      <c r="AF35" s="67">
        <f>INT(((AE35*Valores!$C$2)*100)+0.5)/100</f>
        <v>0</v>
      </c>
      <c r="AG35" s="67">
        <f>Valores!$C$49</f>
        <v>262.5</v>
      </c>
      <c r="AH35" s="67">
        <f>Valores!$C$50</f>
        <v>75</v>
      </c>
      <c r="AI35" s="15">
        <f t="shared" si="6"/>
        <v>61072.58</v>
      </c>
      <c r="AJ35" s="69">
        <f>Valores!$C$7</f>
        <v>600</v>
      </c>
      <c r="AK35" s="12">
        <f t="shared" si="4"/>
        <v>600</v>
      </c>
      <c r="AL35" s="68">
        <f t="shared" si="5"/>
        <v>14646.6934</v>
      </c>
      <c r="AM35" s="79">
        <v>0</v>
      </c>
      <c r="AN35" s="20"/>
      <c r="AO35" s="20">
        <v>45</v>
      </c>
      <c r="AP35" s="9" t="s">
        <v>464</v>
      </c>
    </row>
    <row r="36" spans="1:42" s="9" customFormat="1" ht="11.25" customHeight="1" x14ac:dyDescent="0.15">
      <c r="A36" s="43">
        <v>35</v>
      </c>
      <c r="B36" s="43" t="s">
        <v>460</v>
      </c>
      <c r="C36" s="43"/>
      <c r="D36" s="43" t="s">
        <v>62</v>
      </c>
      <c r="E36" s="43"/>
      <c r="F36" s="44" t="s">
        <v>63</v>
      </c>
      <c r="G36" s="103">
        <v>92</v>
      </c>
      <c r="H36" s="110">
        <f>INT((G36*Valores!$C$2*100)+0.5)/100</f>
        <v>415.17</v>
      </c>
      <c r="I36" s="93">
        <v>3483</v>
      </c>
      <c r="J36" s="70">
        <f>INT((I36*Valores!$C$2*100)+0.5)/100</f>
        <v>15717.73</v>
      </c>
      <c r="K36" s="130">
        <v>1217</v>
      </c>
      <c r="L36" s="70">
        <f>INT((K36*Valores!$C$2*100)+0.5)/100</f>
        <v>5491.96</v>
      </c>
      <c r="M36" s="103">
        <v>0</v>
      </c>
      <c r="N36" s="70">
        <f>INT((M36*Valores!$C$2*100)+0.5)/100</f>
        <v>0</v>
      </c>
      <c r="O36" s="70">
        <f t="shared" si="0"/>
        <v>0</v>
      </c>
      <c r="P36" s="70">
        <f t="shared" si="1"/>
        <v>26849.831999999999</v>
      </c>
      <c r="Q36" s="71">
        <f>Valores!$C$19</f>
        <v>4660</v>
      </c>
      <c r="R36" s="71">
        <f>Valores!$D$9</f>
        <v>2018.53</v>
      </c>
      <c r="S36" s="70">
        <v>0</v>
      </c>
      <c r="T36" s="72">
        <f>Valores!$C$37</f>
        <v>750</v>
      </c>
      <c r="U36" s="70">
        <f>Valores!$C$23</f>
        <v>2079</v>
      </c>
      <c r="V36" s="70">
        <f t="shared" si="2"/>
        <v>4573.8</v>
      </c>
      <c r="W36" s="70">
        <v>0</v>
      </c>
      <c r="X36" s="70">
        <v>0</v>
      </c>
      <c r="Y36" s="94">
        <v>0</v>
      </c>
      <c r="Z36" s="70">
        <f>Y36*Valores!$C$2</f>
        <v>0</v>
      </c>
      <c r="AA36" s="70">
        <f>SUM(L36,J36,H36,T36)*Valores!$C$3</f>
        <v>3356.2289999999994</v>
      </c>
      <c r="AB36" s="80">
        <v>129.04</v>
      </c>
      <c r="AC36" s="70">
        <f t="shared" si="3"/>
        <v>0</v>
      </c>
      <c r="AD36" s="70">
        <v>129.04</v>
      </c>
      <c r="AE36" s="94">
        <v>0</v>
      </c>
      <c r="AF36" s="70">
        <f>INT(((AE36*Valores!$C$2)*100)+0.5)/100</f>
        <v>0</v>
      </c>
      <c r="AG36" s="70">
        <f>Valores!$C$49</f>
        <v>262.5</v>
      </c>
      <c r="AH36" s="70">
        <f>Valores!$C$50</f>
        <v>75</v>
      </c>
      <c r="AI36" s="45">
        <f t="shared" si="6"/>
        <v>64428.830999999998</v>
      </c>
      <c r="AJ36" s="72">
        <f>Valores!$C$7</f>
        <v>600</v>
      </c>
      <c r="AK36" s="46">
        <f t="shared" si="4"/>
        <v>600</v>
      </c>
      <c r="AL36" s="71">
        <f t="shared" si="5"/>
        <v>15418.631129999998</v>
      </c>
      <c r="AM36" s="80">
        <v>0</v>
      </c>
      <c r="AN36" s="47"/>
      <c r="AO36" s="47">
        <v>45</v>
      </c>
      <c r="AP36" s="43" t="s">
        <v>464</v>
      </c>
    </row>
    <row r="37" spans="1:42" s="9" customFormat="1" ht="11.25" customHeight="1" x14ac:dyDescent="0.15">
      <c r="A37" s="9">
        <v>36</v>
      </c>
      <c r="D37" s="9" t="s">
        <v>64</v>
      </c>
      <c r="F37" s="10" t="s">
        <v>65</v>
      </c>
      <c r="G37" s="102">
        <v>85</v>
      </c>
      <c r="H37" s="7">
        <f>INT((G37*Valores!$C$2*100)+0.5)/100</f>
        <v>383.58</v>
      </c>
      <c r="I37" s="92">
        <v>3498</v>
      </c>
      <c r="J37" s="67">
        <f>INT((I37*Valores!$C$2*100)+0.5)/100</f>
        <v>15785.42</v>
      </c>
      <c r="K37" s="129">
        <v>202</v>
      </c>
      <c r="L37" s="67">
        <f>INT((K37*Valores!$C$2*100)+0.5)/100</f>
        <v>911.57</v>
      </c>
      <c r="M37" s="102">
        <v>0</v>
      </c>
      <c r="N37" s="67">
        <f>INT((M37*Valores!$C$2*100)+0.5)/100</f>
        <v>0</v>
      </c>
      <c r="O37" s="67">
        <f t="shared" si="0"/>
        <v>0</v>
      </c>
      <c r="P37" s="67">
        <f t="shared" si="1"/>
        <v>21396.683999999997</v>
      </c>
      <c r="Q37" s="68">
        <f>Valores!$C$19</f>
        <v>4660</v>
      </c>
      <c r="R37" s="68">
        <f>Valores!$D$9</f>
        <v>2018.53</v>
      </c>
      <c r="S37" s="67">
        <v>0</v>
      </c>
      <c r="T37" s="69">
        <f>Valores!$C$37</f>
        <v>750</v>
      </c>
      <c r="U37" s="67">
        <f>Valores!$C$23</f>
        <v>2079</v>
      </c>
      <c r="V37" s="67">
        <f t="shared" si="2"/>
        <v>4573.8</v>
      </c>
      <c r="W37" s="67">
        <v>0</v>
      </c>
      <c r="X37" s="67">
        <v>0</v>
      </c>
      <c r="Y37" s="95">
        <v>0</v>
      </c>
      <c r="Z37" s="67">
        <f>Y37*Valores!$C$2</f>
        <v>0</v>
      </c>
      <c r="AA37" s="67">
        <v>0</v>
      </c>
      <c r="AB37" s="79">
        <v>129.04</v>
      </c>
      <c r="AC37" s="67">
        <f t="shared" si="3"/>
        <v>0</v>
      </c>
      <c r="AD37" s="67">
        <v>129.04</v>
      </c>
      <c r="AE37" s="95">
        <v>0</v>
      </c>
      <c r="AF37" s="67">
        <f>INT(((AE37*Valores!$C$2)*100)+0.5)/100</f>
        <v>0</v>
      </c>
      <c r="AG37" s="67">
        <f>Valores!$C$49</f>
        <v>262.5</v>
      </c>
      <c r="AH37" s="67">
        <f>Valores!$C$50</f>
        <v>75</v>
      </c>
      <c r="AI37" s="15">
        <f t="shared" si="6"/>
        <v>51075.164000000004</v>
      </c>
      <c r="AJ37" s="69">
        <f>Valores!$C$7</f>
        <v>600</v>
      </c>
      <c r="AK37" s="12">
        <f t="shared" si="4"/>
        <v>600</v>
      </c>
      <c r="AL37" s="68">
        <f t="shared" si="5"/>
        <v>12347.28772</v>
      </c>
      <c r="AM37" s="79">
        <v>0</v>
      </c>
      <c r="AN37" s="20"/>
      <c r="AO37" s="20">
        <v>45</v>
      </c>
      <c r="AP37" s="9" t="s">
        <v>464</v>
      </c>
    </row>
    <row r="38" spans="1:42" s="9" customFormat="1" ht="11.25" customHeight="1" x14ac:dyDescent="0.15">
      <c r="A38" s="9">
        <v>37</v>
      </c>
      <c r="D38" s="9" t="s">
        <v>66</v>
      </c>
      <c r="F38" s="10" t="s">
        <v>67</v>
      </c>
      <c r="G38" s="102">
        <v>85</v>
      </c>
      <c r="H38" s="7">
        <f>INT((G38*Valores!$C$2*100)+0.5)/100</f>
        <v>383.58</v>
      </c>
      <c r="I38" s="92">
        <v>3498</v>
      </c>
      <c r="J38" s="67">
        <f>INT((I38*Valores!$C$2*100)+0.5)/100</f>
        <v>15785.42</v>
      </c>
      <c r="K38" s="129">
        <v>1209</v>
      </c>
      <c r="L38" s="67">
        <f>INT((K38*Valores!$C$2*100)+0.5)/100</f>
        <v>5455.85</v>
      </c>
      <c r="M38" s="102">
        <v>0</v>
      </c>
      <c r="N38" s="67">
        <f>INT((M38*Valores!$C$2*100)+0.5)/100</f>
        <v>0</v>
      </c>
      <c r="O38" s="67">
        <f t="shared" si="0"/>
        <v>0</v>
      </c>
      <c r="P38" s="67">
        <f t="shared" si="1"/>
        <v>26849.819999999996</v>
      </c>
      <c r="Q38" s="68">
        <f>Valores!$C$19</f>
        <v>4660</v>
      </c>
      <c r="R38" s="68">
        <f>Valores!$D$9</f>
        <v>2018.53</v>
      </c>
      <c r="S38" s="67">
        <v>0</v>
      </c>
      <c r="T38" s="69">
        <f>Valores!$C$37</f>
        <v>750</v>
      </c>
      <c r="U38" s="67">
        <f>Valores!$C$23</f>
        <v>2079</v>
      </c>
      <c r="V38" s="67">
        <f t="shared" si="2"/>
        <v>4573.8</v>
      </c>
      <c r="W38" s="67">
        <v>0</v>
      </c>
      <c r="X38" s="67">
        <v>0</v>
      </c>
      <c r="Y38" s="95">
        <v>0</v>
      </c>
      <c r="Z38" s="67">
        <f>Y38*Valores!$C$2</f>
        <v>0</v>
      </c>
      <c r="AA38" s="67">
        <v>0</v>
      </c>
      <c r="AB38" s="79">
        <v>129.04</v>
      </c>
      <c r="AC38" s="67">
        <f t="shared" si="3"/>
        <v>0</v>
      </c>
      <c r="AD38" s="67">
        <v>129.04</v>
      </c>
      <c r="AE38" s="95">
        <v>0</v>
      </c>
      <c r="AF38" s="67">
        <f>INT(((AE38*Valores!$C$2)*100)+0.5)/100</f>
        <v>0</v>
      </c>
      <c r="AG38" s="67">
        <f>Valores!$C$49</f>
        <v>262.5</v>
      </c>
      <c r="AH38" s="67">
        <f>Valores!$C$50</f>
        <v>75</v>
      </c>
      <c r="AI38" s="15">
        <f t="shared" si="6"/>
        <v>61072.58</v>
      </c>
      <c r="AJ38" s="69">
        <f>Valores!$C$7</f>
        <v>600</v>
      </c>
      <c r="AK38" s="12">
        <f t="shared" si="4"/>
        <v>600</v>
      </c>
      <c r="AL38" s="68">
        <f t="shared" si="5"/>
        <v>14646.6934</v>
      </c>
      <c r="AM38" s="79">
        <v>220</v>
      </c>
      <c r="AN38" s="20"/>
      <c r="AO38" s="20">
        <v>45</v>
      </c>
      <c r="AP38" s="9" t="s">
        <v>465</v>
      </c>
    </row>
    <row r="39" spans="1:42" s="9" customFormat="1" ht="11.25" customHeight="1" x14ac:dyDescent="0.15">
      <c r="A39" s="9">
        <v>38</v>
      </c>
      <c r="D39" s="9" t="s">
        <v>68</v>
      </c>
      <c r="F39" s="10" t="s">
        <v>69</v>
      </c>
      <c r="G39" s="102">
        <v>85</v>
      </c>
      <c r="H39" s="7">
        <f>INT((G39*Valores!$C$2*100)+0.5)/100</f>
        <v>383.58</v>
      </c>
      <c r="I39" s="92">
        <v>3498</v>
      </c>
      <c r="J39" s="67">
        <f>INT((I39*Valores!$C$2*100)+0.5)/100</f>
        <v>15785.42</v>
      </c>
      <c r="K39" s="129">
        <v>1209</v>
      </c>
      <c r="L39" s="67">
        <f>INT((K39*Valores!$C$2*100)+0.5)/100</f>
        <v>5455.85</v>
      </c>
      <c r="M39" s="102">
        <v>0</v>
      </c>
      <c r="N39" s="67">
        <f>INT((M39*Valores!$C$2*100)+0.5)/100</f>
        <v>0</v>
      </c>
      <c r="O39" s="67">
        <f t="shared" si="0"/>
        <v>0</v>
      </c>
      <c r="P39" s="67">
        <f t="shared" si="1"/>
        <v>26849.819999999996</v>
      </c>
      <c r="Q39" s="68">
        <f>Valores!$C$19</f>
        <v>4660</v>
      </c>
      <c r="R39" s="68">
        <f>Valores!$D$9</f>
        <v>2018.53</v>
      </c>
      <c r="S39" s="67">
        <v>0</v>
      </c>
      <c r="T39" s="69">
        <f>Valores!$C$37</f>
        <v>750</v>
      </c>
      <c r="U39" s="67">
        <f>Valores!$C$23</f>
        <v>2079</v>
      </c>
      <c r="V39" s="67">
        <f t="shared" si="2"/>
        <v>4573.8</v>
      </c>
      <c r="W39" s="67">
        <v>0</v>
      </c>
      <c r="X39" s="67">
        <v>0</v>
      </c>
      <c r="Y39" s="95">
        <v>0</v>
      </c>
      <c r="Z39" s="67">
        <f>Y39*Valores!$C$2</f>
        <v>0</v>
      </c>
      <c r="AA39" s="67">
        <v>0</v>
      </c>
      <c r="AB39" s="79">
        <v>129.04</v>
      </c>
      <c r="AC39" s="67">
        <f t="shared" si="3"/>
        <v>0</v>
      </c>
      <c r="AD39" s="67">
        <v>129.04</v>
      </c>
      <c r="AE39" s="95">
        <v>0</v>
      </c>
      <c r="AF39" s="67">
        <f>INT(((AE39*Valores!$C$2)*100)+0.5)/100</f>
        <v>0</v>
      </c>
      <c r="AG39" s="67">
        <f>Valores!$C$49</f>
        <v>262.5</v>
      </c>
      <c r="AH39" s="67">
        <f>Valores!$C$50</f>
        <v>75</v>
      </c>
      <c r="AI39" s="15">
        <f t="shared" si="6"/>
        <v>61072.58</v>
      </c>
      <c r="AJ39" s="69">
        <f>Valores!$C$7</f>
        <v>600</v>
      </c>
      <c r="AK39" s="12">
        <f t="shared" si="4"/>
        <v>600</v>
      </c>
      <c r="AL39" s="68">
        <f t="shared" si="5"/>
        <v>14646.6934</v>
      </c>
      <c r="AM39" s="79">
        <v>0</v>
      </c>
      <c r="AN39" s="20"/>
      <c r="AO39" s="20">
        <v>45</v>
      </c>
      <c r="AP39" s="9" t="s">
        <v>464</v>
      </c>
    </row>
    <row r="40" spans="1:42" s="9" customFormat="1" ht="11.25" customHeight="1" x14ac:dyDescent="0.15">
      <c r="A40" s="9">
        <v>39</v>
      </c>
      <c r="D40" s="9" t="s">
        <v>70</v>
      </c>
      <c r="F40" s="10" t="s">
        <v>71</v>
      </c>
      <c r="G40" s="102">
        <v>101</v>
      </c>
      <c r="H40" s="7">
        <f>INT((G40*Valores!$C$2*100)+0.5)/100</f>
        <v>455.78</v>
      </c>
      <c r="I40" s="92">
        <v>2548</v>
      </c>
      <c r="J40" s="67">
        <f>INT((I40*Valores!$C$2*100)+0.5)/100</f>
        <v>11498.36</v>
      </c>
      <c r="K40" s="129">
        <v>216</v>
      </c>
      <c r="L40" s="67">
        <f>INT((K40*Valores!$C$2*100)+0.5)/100</f>
        <v>974.74</v>
      </c>
      <c r="M40" s="102">
        <v>0</v>
      </c>
      <c r="N40" s="67">
        <f>INT((M40*Valores!$C$2*100)+0.5)/100</f>
        <v>0</v>
      </c>
      <c r="O40" s="67">
        <f t="shared" si="0"/>
        <v>0</v>
      </c>
      <c r="P40" s="67">
        <f t="shared" si="1"/>
        <v>16414.655999999999</v>
      </c>
      <c r="Q40" s="68">
        <f>Valores!$C$16</f>
        <v>2494</v>
      </c>
      <c r="R40" s="68">
        <f>Valores!$D$9</f>
        <v>2018.53</v>
      </c>
      <c r="S40" s="67">
        <v>0</v>
      </c>
      <c r="T40" s="69">
        <f>Valores!$C$37</f>
        <v>750</v>
      </c>
      <c r="U40" s="67">
        <f>Valores!$C$23</f>
        <v>2079</v>
      </c>
      <c r="V40" s="67">
        <f t="shared" si="2"/>
        <v>4573.8</v>
      </c>
      <c r="W40" s="67">
        <v>0</v>
      </c>
      <c r="X40" s="67">
        <v>0</v>
      </c>
      <c r="Y40" s="95">
        <v>0</v>
      </c>
      <c r="Z40" s="67">
        <f>Y40*Valores!$C$2</f>
        <v>0</v>
      </c>
      <c r="AA40" s="67">
        <v>0</v>
      </c>
      <c r="AB40" s="79">
        <v>129.04</v>
      </c>
      <c r="AC40" s="67">
        <f t="shared" si="3"/>
        <v>0</v>
      </c>
      <c r="AD40" s="67">
        <v>129.04</v>
      </c>
      <c r="AE40" s="95">
        <v>0</v>
      </c>
      <c r="AF40" s="67">
        <f>INT(((AE40*Valores!$C$2)*100)+0.5)/100</f>
        <v>0</v>
      </c>
      <c r="AG40" s="67">
        <f>Valores!$C$49</f>
        <v>262.5</v>
      </c>
      <c r="AH40" s="67">
        <f>Valores!$C$50</f>
        <v>75</v>
      </c>
      <c r="AI40" s="15">
        <f t="shared" si="6"/>
        <v>39775.446000000004</v>
      </c>
      <c r="AJ40" s="69">
        <f>Valores!$C$7</f>
        <v>600</v>
      </c>
      <c r="AK40" s="12">
        <f t="shared" si="4"/>
        <v>600</v>
      </c>
      <c r="AL40" s="68">
        <f t="shared" si="5"/>
        <v>9748.3525800000007</v>
      </c>
      <c r="AM40" s="79">
        <v>0</v>
      </c>
      <c r="AN40" s="20"/>
      <c r="AO40" s="20">
        <v>45</v>
      </c>
      <c r="AP40" s="9" t="s">
        <v>464</v>
      </c>
    </row>
    <row r="41" spans="1:42" s="9" customFormat="1" ht="11.25" customHeight="1" x14ac:dyDescent="0.15">
      <c r="A41" s="43">
        <v>40</v>
      </c>
      <c r="B41" s="43" t="s">
        <v>460</v>
      </c>
      <c r="C41" s="43"/>
      <c r="D41" s="43" t="s">
        <v>72</v>
      </c>
      <c r="E41" s="43"/>
      <c r="F41" s="44" t="s">
        <v>71</v>
      </c>
      <c r="G41" s="103">
        <v>101</v>
      </c>
      <c r="H41" s="110">
        <f>INT((G41*Valores!$C$2*100)+0.5)/100</f>
        <v>455.78</v>
      </c>
      <c r="I41" s="93">
        <v>2548</v>
      </c>
      <c r="J41" s="70">
        <f>INT((I41*Valores!$C$2*100)+0.5)/100</f>
        <v>11498.36</v>
      </c>
      <c r="K41" s="130">
        <v>216</v>
      </c>
      <c r="L41" s="70">
        <f>INT((K41*Valores!$C$2*100)+0.5)/100</f>
        <v>974.74</v>
      </c>
      <c r="M41" s="103">
        <v>0</v>
      </c>
      <c r="N41" s="70">
        <f>INT((M41*Valores!$C$2*100)+0.5)/100</f>
        <v>0</v>
      </c>
      <c r="O41" s="70">
        <f t="shared" si="0"/>
        <v>0</v>
      </c>
      <c r="P41" s="70">
        <f t="shared" si="1"/>
        <v>16414.655999999999</v>
      </c>
      <c r="Q41" s="71">
        <f>Valores!$C$16</f>
        <v>2494</v>
      </c>
      <c r="R41" s="71">
        <f>Valores!$D$9</f>
        <v>2018.53</v>
      </c>
      <c r="S41" s="70">
        <v>0</v>
      </c>
      <c r="T41" s="72">
        <f>Valores!$C$37</f>
        <v>750</v>
      </c>
      <c r="U41" s="70">
        <f>Valores!$C$23</f>
        <v>2079</v>
      </c>
      <c r="V41" s="70">
        <f t="shared" si="2"/>
        <v>4573.8</v>
      </c>
      <c r="W41" s="70">
        <v>0</v>
      </c>
      <c r="X41" s="70">
        <v>0</v>
      </c>
      <c r="Y41" s="94">
        <v>0</v>
      </c>
      <c r="Z41" s="70">
        <f>Y41*Valores!$C$2</f>
        <v>0</v>
      </c>
      <c r="AA41" s="70">
        <v>0</v>
      </c>
      <c r="AB41" s="80">
        <v>129.04</v>
      </c>
      <c r="AC41" s="70">
        <f t="shared" si="3"/>
        <v>0</v>
      </c>
      <c r="AD41" s="70">
        <v>129.04</v>
      </c>
      <c r="AE41" s="94">
        <v>0</v>
      </c>
      <c r="AF41" s="70">
        <f>INT(((AE41*Valores!$C$2)*100)+0.5)/100</f>
        <v>0</v>
      </c>
      <c r="AG41" s="70">
        <f>Valores!$C$49</f>
        <v>262.5</v>
      </c>
      <c r="AH41" s="70">
        <f>Valores!$C$50</f>
        <v>75</v>
      </c>
      <c r="AI41" s="45">
        <f t="shared" si="6"/>
        <v>39775.446000000004</v>
      </c>
      <c r="AJ41" s="72">
        <f>Valores!$C$7</f>
        <v>600</v>
      </c>
      <c r="AK41" s="46">
        <f t="shared" si="4"/>
        <v>600</v>
      </c>
      <c r="AL41" s="71">
        <f t="shared" si="5"/>
        <v>9748.3525800000007</v>
      </c>
      <c r="AM41" s="80">
        <v>0</v>
      </c>
      <c r="AN41" s="47"/>
      <c r="AO41" s="47">
        <v>45</v>
      </c>
      <c r="AP41" s="43" t="s">
        <v>464</v>
      </c>
    </row>
    <row r="42" spans="1:42" s="9" customFormat="1" ht="11.25" customHeight="1" x14ac:dyDescent="0.15">
      <c r="A42" s="9">
        <v>41</v>
      </c>
      <c r="D42" s="9" t="s">
        <v>73</v>
      </c>
      <c r="F42" s="10" t="s">
        <v>74</v>
      </c>
      <c r="G42" s="102">
        <v>96</v>
      </c>
      <c r="H42" s="7">
        <f>INT((G42*Valores!$C$2*100)+0.5)/100</f>
        <v>433.22</v>
      </c>
      <c r="I42" s="92">
        <v>2475</v>
      </c>
      <c r="J42" s="67">
        <f>INT((I42*Valores!$C$2*100)+0.5)/100</f>
        <v>11168.93</v>
      </c>
      <c r="K42" s="129">
        <v>213</v>
      </c>
      <c r="L42" s="67">
        <f>INT((K42*Valores!$C$2*100)+0.5)/100</f>
        <v>961.21</v>
      </c>
      <c r="M42" s="102">
        <v>0</v>
      </c>
      <c r="N42" s="67">
        <f>INT((M42*Valores!$C$2*100)+0.5)/100</f>
        <v>0</v>
      </c>
      <c r="O42" s="67">
        <f t="shared" si="0"/>
        <v>0</v>
      </c>
      <c r="P42" s="67">
        <f t="shared" si="1"/>
        <v>15676.031999999999</v>
      </c>
      <c r="Q42" s="68">
        <f>Valores!$C$16</f>
        <v>2494</v>
      </c>
      <c r="R42" s="68">
        <f>Valores!$D$9</f>
        <v>2018.53</v>
      </c>
      <c r="S42" s="67">
        <v>0</v>
      </c>
      <c r="T42" s="69">
        <f>Valores!$C$36</f>
        <v>500</v>
      </c>
      <c r="U42" s="67">
        <f>Valores!$C$23</f>
        <v>2079</v>
      </c>
      <c r="V42" s="67">
        <f t="shared" si="2"/>
        <v>4573.8</v>
      </c>
      <c r="W42" s="67">
        <v>0</v>
      </c>
      <c r="X42" s="67">
        <v>0</v>
      </c>
      <c r="Y42" s="95">
        <v>0</v>
      </c>
      <c r="Z42" s="67">
        <f>Y42*Valores!$C$2</f>
        <v>0</v>
      </c>
      <c r="AA42" s="67">
        <v>0</v>
      </c>
      <c r="AB42" s="79">
        <v>129.04</v>
      </c>
      <c r="AC42" s="67">
        <f t="shared" si="3"/>
        <v>0</v>
      </c>
      <c r="AD42" s="67">
        <v>129.04</v>
      </c>
      <c r="AE42" s="95">
        <v>0</v>
      </c>
      <c r="AF42" s="67">
        <f>INT(((AE42*Valores!$C$2)*100)+0.5)/100</f>
        <v>0</v>
      </c>
      <c r="AG42" s="67">
        <f>Valores!$C$49</f>
        <v>262.5</v>
      </c>
      <c r="AH42" s="67">
        <f>Valores!$C$50</f>
        <v>75</v>
      </c>
      <c r="AI42" s="15">
        <f t="shared" si="6"/>
        <v>38421.302000000003</v>
      </c>
      <c r="AJ42" s="69">
        <f>Valores!$C$6</f>
        <v>400</v>
      </c>
      <c r="AK42" s="12">
        <f t="shared" si="4"/>
        <v>400</v>
      </c>
      <c r="AL42" s="68">
        <f t="shared" si="5"/>
        <v>9236.8994600000005</v>
      </c>
      <c r="AM42" s="79">
        <v>110</v>
      </c>
      <c r="AN42" s="20"/>
      <c r="AO42" s="20">
        <v>45</v>
      </c>
      <c r="AP42" s="9" t="s">
        <v>465</v>
      </c>
    </row>
    <row r="43" spans="1:42" s="9" customFormat="1" ht="11.25" customHeight="1" x14ac:dyDescent="0.15">
      <c r="A43" s="9">
        <v>42</v>
      </c>
      <c r="D43" s="9" t="s">
        <v>75</v>
      </c>
      <c r="F43" s="10" t="s">
        <v>76</v>
      </c>
      <c r="G43" s="102">
        <v>72</v>
      </c>
      <c r="H43" s="7">
        <f>INT((G43*Valores!$C$2*100)+0.5)/100</f>
        <v>324.91000000000003</v>
      </c>
      <c r="I43" s="92">
        <v>2471</v>
      </c>
      <c r="J43" s="67">
        <f>INT((I43*Valores!$C$2*100)+0.5)/100</f>
        <v>11150.88</v>
      </c>
      <c r="K43" s="129">
        <v>199</v>
      </c>
      <c r="L43" s="67">
        <f>INT((K43*Valores!$C$2*100)+0.5)/100</f>
        <v>898.03</v>
      </c>
      <c r="M43" s="102">
        <v>0</v>
      </c>
      <c r="N43" s="67">
        <f>INT((M43*Valores!$C$2*100)+0.5)/100</f>
        <v>0</v>
      </c>
      <c r="O43" s="67">
        <f t="shared" si="0"/>
        <v>0</v>
      </c>
      <c r="P43" s="67">
        <f t="shared" si="1"/>
        <v>15448.583999999999</v>
      </c>
      <c r="Q43" s="68">
        <f>Valores!$C$16</f>
        <v>2494</v>
      </c>
      <c r="R43" s="68">
        <f>Valores!$D$9</f>
        <v>2018.53</v>
      </c>
      <c r="S43" s="67">
        <v>0</v>
      </c>
      <c r="T43" s="69">
        <f>Valores!$C$36</f>
        <v>500</v>
      </c>
      <c r="U43" s="67">
        <f>Valores!$C$23</f>
        <v>2079</v>
      </c>
      <c r="V43" s="67">
        <f t="shared" si="2"/>
        <v>4573.8</v>
      </c>
      <c r="W43" s="67">
        <v>0</v>
      </c>
      <c r="X43" s="67">
        <v>0</v>
      </c>
      <c r="Y43" s="95">
        <v>0</v>
      </c>
      <c r="Z43" s="67">
        <f>Y43*Valores!$C$2</f>
        <v>0</v>
      </c>
      <c r="AA43" s="67">
        <v>0</v>
      </c>
      <c r="AB43" s="79">
        <v>129.04</v>
      </c>
      <c r="AC43" s="67">
        <f t="shared" si="3"/>
        <v>0</v>
      </c>
      <c r="AD43" s="67">
        <v>129.04</v>
      </c>
      <c r="AE43" s="95">
        <v>0</v>
      </c>
      <c r="AF43" s="67">
        <f>INT(((AE43*Valores!$C$2)*100)+0.5)/100</f>
        <v>0</v>
      </c>
      <c r="AG43" s="67">
        <f>Valores!$C$49</f>
        <v>262.5</v>
      </c>
      <c r="AH43" s="67">
        <f>Valores!$C$50</f>
        <v>75</v>
      </c>
      <c r="AI43" s="15">
        <f t="shared" si="6"/>
        <v>38004.313999999998</v>
      </c>
      <c r="AJ43" s="69">
        <f>Valores!$C$6</f>
        <v>400</v>
      </c>
      <c r="AK43" s="12">
        <f t="shared" si="4"/>
        <v>400</v>
      </c>
      <c r="AL43" s="68">
        <f t="shared" si="5"/>
        <v>9140.9922199999983</v>
      </c>
      <c r="AM43" s="79">
        <v>0</v>
      </c>
      <c r="AN43" s="20"/>
      <c r="AO43" s="20">
        <v>45</v>
      </c>
      <c r="AP43" s="9" t="s">
        <v>465</v>
      </c>
    </row>
    <row r="44" spans="1:42" s="9" customFormat="1" ht="11.25" customHeight="1" x14ac:dyDescent="0.15">
      <c r="A44" s="9">
        <v>43</v>
      </c>
      <c r="D44" s="9" t="s">
        <v>495</v>
      </c>
      <c r="F44" s="10" t="s">
        <v>359</v>
      </c>
      <c r="G44" s="102">
        <f>G38</f>
        <v>85</v>
      </c>
      <c r="H44" s="7">
        <f>INT((G44*Valores!$C$2*100)+0.5)/100</f>
        <v>383.58</v>
      </c>
      <c r="I44" s="92">
        <f>I38</f>
        <v>3498</v>
      </c>
      <c r="J44" s="67">
        <f>INT((I44*Valores!$C$2*100)+0.5)/100</f>
        <v>15785.42</v>
      </c>
      <c r="K44" s="129">
        <f>K38</f>
        <v>1209</v>
      </c>
      <c r="L44" s="67">
        <f>INT((K44*Valores!$C$2*100)+0.5)/100</f>
        <v>5455.85</v>
      </c>
      <c r="M44" s="99">
        <v>0</v>
      </c>
      <c r="N44" s="67">
        <f>INT((M44*Valores!$C$2*100)+0.5)/100</f>
        <v>0</v>
      </c>
      <c r="O44" s="67">
        <f t="shared" si="0"/>
        <v>0</v>
      </c>
      <c r="P44" s="67">
        <f t="shared" si="1"/>
        <v>26849.819999999996</v>
      </c>
      <c r="Q44" s="68">
        <f>Q38</f>
        <v>4660</v>
      </c>
      <c r="R44" s="68">
        <f>R38</f>
        <v>2018.53</v>
      </c>
      <c r="S44" s="53">
        <v>0</v>
      </c>
      <c r="T44" s="53">
        <f>T38</f>
        <v>750</v>
      </c>
      <c r="U44" s="53">
        <f>U38</f>
        <v>2079</v>
      </c>
      <c r="V44" s="67">
        <f t="shared" si="2"/>
        <v>4573.8</v>
      </c>
      <c r="W44" s="67">
        <v>0</v>
      </c>
      <c r="X44" s="67">
        <v>0</v>
      </c>
      <c r="Y44" s="95">
        <v>0</v>
      </c>
      <c r="Z44" s="67">
        <f>Y44*Valores!$C$2</f>
        <v>0</v>
      </c>
      <c r="AA44" s="67">
        <v>0</v>
      </c>
      <c r="AB44" s="53">
        <f>AB38</f>
        <v>129.04</v>
      </c>
      <c r="AC44" s="67">
        <f t="shared" si="3"/>
        <v>0</v>
      </c>
      <c r="AD44" s="53">
        <f>AD38</f>
        <v>129.04</v>
      </c>
      <c r="AE44" s="95">
        <v>0</v>
      </c>
      <c r="AF44" s="68">
        <f>INT(((AE44*Valores!$C$2)*100)+0.5)/100</f>
        <v>0</v>
      </c>
      <c r="AG44" s="68">
        <f>Valores!$C$49</f>
        <v>262.5</v>
      </c>
      <c r="AH44" s="68">
        <f>Valores!$C$50</f>
        <v>75</v>
      </c>
      <c r="AI44" s="15">
        <f t="shared" si="6"/>
        <v>61072.58</v>
      </c>
      <c r="AJ44" s="69">
        <f>AJ38</f>
        <v>600</v>
      </c>
      <c r="AK44" s="12">
        <f t="shared" si="4"/>
        <v>600</v>
      </c>
      <c r="AL44" s="68">
        <f t="shared" si="5"/>
        <v>14646.6934</v>
      </c>
      <c r="AM44" s="79">
        <v>220</v>
      </c>
      <c r="AN44" s="20"/>
      <c r="AO44" s="20">
        <v>45</v>
      </c>
      <c r="AP44" s="9" t="s">
        <v>464</v>
      </c>
    </row>
    <row r="45" spans="1:42" s="9" customFormat="1" ht="11.25" customHeight="1" x14ac:dyDescent="0.15">
      <c r="A45" s="9">
        <v>44</v>
      </c>
      <c r="D45" s="9" t="s">
        <v>496</v>
      </c>
      <c r="F45" s="10" t="s">
        <v>360</v>
      </c>
      <c r="G45" s="102">
        <f>G87+G305</f>
        <v>518</v>
      </c>
      <c r="H45" s="7">
        <f>INT((G45*Valores!$C$2*100)+0.5)/100</f>
        <v>2337.58</v>
      </c>
      <c r="I45" s="92">
        <f>I87+I305</f>
        <v>1997</v>
      </c>
      <c r="J45" s="67">
        <f>INT((I45*Valores!$C$2*100)+0.5)/100</f>
        <v>9011.86</v>
      </c>
      <c r="K45" s="131">
        <v>0</v>
      </c>
      <c r="L45" s="67">
        <f>INT((K45*Valores!$C$2*100)+0.5)/100</f>
        <v>0</v>
      </c>
      <c r="M45" s="99">
        <v>0</v>
      </c>
      <c r="N45" s="67">
        <f>INT((M45*Valores!$C$2*100)+0.5)/100</f>
        <v>0</v>
      </c>
      <c r="O45" s="67">
        <f t="shared" si="0"/>
        <v>0</v>
      </c>
      <c r="P45" s="67">
        <f t="shared" si="1"/>
        <v>14344.368</v>
      </c>
      <c r="Q45" s="68">
        <f t="shared" ref="Q45:V45" si="9">Q87+Q305</f>
        <v>2494</v>
      </c>
      <c r="R45" s="68">
        <f t="shared" si="9"/>
        <v>2018.53</v>
      </c>
      <c r="S45" s="53">
        <f t="shared" si="9"/>
        <v>2048</v>
      </c>
      <c r="T45" s="53">
        <f>T87+T305</f>
        <v>604.20000000000005</v>
      </c>
      <c r="U45" s="53">
        <f t="shared" si="9"/>
        <v>2079</v>
      </c>
      <c r="V45" s="68">
        <f t="shared" si="9"/>
        <v>4573.8</v>
      </c>
      <c r="W45" s="67">
        <v>0</v>
      </c>
      <c r="X45" s="67">
        <v>0</v>
      </c>
      <c r="Y45" s="95">
        <v>0</v>
      </c>
      <c r="Z45" s="67">
        <f>Y45*Valores!$C$2</f>
        <v>0</v>
      </c>
      <c r="AA45" s="67">
        <v>0</v>
      </c>
      <c r="AB45" s="68">
        <f>AB87+AB305</f>
        <v>129.04</v>
      </c>
      <c r="AC45" s="67">
        <f t="shared" si="3"/>
        <v>0</v>
      </c>
      <c r="AD45" s="68">
        <f>AD87+AD305</f>
        <v>129.04</v>
      </c>
      <c r="AE45" s="95">
        <v>0</v>
      </c>
      <c r="AF45" s="67">
        <f>INT(((AE45*Valores!$C$2)*100)+0.5)/100</f>
        <v>0</v>
      </c>
      <c r="AG45" s="67">
        <f>Valores!$C$49</f>
        <v>262.5</v>
      </c>
      <c r="AH45" s="67">
        <f>Valores!$C$50</f>
        <v>75</v>
      </c>
      <c r="AI45" s="15">
        <f t="shared" si="6"/>
        <v>38027.917999999998</v>
      </c>
      <c r="AJ45" s="68">
        <f>AJ87+AJ305</f>
        <v>483.35</v>
      </c>
      <c r="AK45" s="12">
        <f t="shared" si="4"/>
        <v>483.35</v>
      </c>
      <c r="AL45" s="68">
        <f t="shared" si="5"/>
        <v>9229.7711399999989</v>
      </c>
      <c r="AM45" s="68">
        <f>AM87+AM305</f>
        <v>110</v>
      </c>
      <c r="AN45" s="20"/>
      <c r="AO45" s="20"/>
      <c r="AP45" s="9" t="s">
        <v>464</v>
      </c>
    </row>
    <row r="46" spans="1:42" s="9" customFormat="1" ht="11.25" customHeight="1" x14ac:dyDescent="0.15">
      <c r="A46" s="43">
        <v>45</v>
      </c>
      <c r="B46" s="43" t="s">
        <v>460</v>
      </c>
      <c r="C46" s="43"/>
      <c r="D46" s="43" t="s">
        <v>497</v>
      </c>
      <c r="E46" s="43"/>
      <c r="F46" s="44" t="s">
        <v>361</v>
      </c>
      <c r="G46" s="103">
        <f>G54+G239</f>
        <v>572</v>
      </c>
      <c r="H46" s="110">
        <f>INT((G46*Valores!$C$2*100)+0.5)/100</f>
        <v>2581.2600000000002</v>
      </c>
      <c r="I46" s="114">
        <f>I54+I239</f>
        <v>2686</v>
      </c>
      <c r="J46" s="70">
        <f>INT((I46*Valores!$C$2*100)+0.5)/100</f>
        <v>12121.11</v>
      </c>
      <c r="K46" s="132">
        <v>0</v>
      </c>
      <c r="L46" s="70">
        <f>INT((K46*Valores!$C$2*100)+0.5)/100</f>
        <v>0</v>
      </c>
      <c r="M46" s="100">
        <v>0</v>
      </c>
      <c r="N46" s="70">
        <f>INT((M46*Valores!$C$2*100)+0.5)/100</f>
        <v>0</v>
      </c>
      <c r="O46" s="70">
        <f t="shared" si="0"/>
        <v>0</v>
      </c>
      <c r="P46" s="70">
        <f t="shared" si="1"/>
        <v>18392.892</v>
      </c>
      <c r="Q46" s="70">
        <f>Q54+Q239</f>
        <v>3028</v>
      </c>
      <c r="R46" s="71">
        <f>Valores!$D$9</f>
        <v>2018.53</v>
      </c>
      <c r="S46" s="70">
        <f>S54+S239</f>
        <v>2048</v>
      </c>
      <c r="T46" s="72">
        <f>T54+T239</f>
        <v>625.04</v>
      </c>
      <c r="U46" s="70">
        <f>U54+U239</f>
        <v>2352</v>
      </c>
      <c r="V46" s="70">
        <f t="shared" ref="V46:V112" si="10">U46*(1+$J$2)</f>
        <v>5174.4000000000005</v>
      </c>
      <c r="W46" s="70">
        <v>0</v>
      </c>
      <c r="X46" s="70">
        <v>0</v>
      </c>
      <c r="Y46" s="94">
        <v>0</v>
      </c>
      <c r="Z46" s="70">
        <f>Y46*Valores!$C$2</f>
        <v>0</v>
      </c>
      <c r="AA46" s="70">
        <v>0</v>
      </c>
      <c r="AB46" s="80">
        <f>AB54+AB239</f>
        <v>160.06</v>
      </c>
      <c r="AC46" s="70">
        <f t="shared" si="3"/>
        <v>0</v>
      </c>
      <c r="AD46" s="70">
        <f>AD54</f>
        <v>129.04</v>
      </c>
      <c r="AE46" s="94">
        <v>0</v>
      </c>
      <c r="AF46" s="70">
        <f>INT(((AE46*Valores!$C$2)*100)+0.5)/100</f>
        <v>0</v>
      </c>
      <c r="AG46" s="80">
        <f>AG54+AG239</f>
        <v>367.5</v>
      </c>
      <c r="AH46" s="80">
        <f>AH54+AH239</f>
        <v>105</v>
      </c>
      <c r="AI46" s="45">
        <f t="shared" si="6"/>
        <v>46750.832000000002</v>
      </c>
      <c r="AJ46" s="72">
        <f>AJ54+AJ239</f>
        <v>500.02</v>
      </c>
      <c r="AK46" s="46">
        <f t="shared" si="4"/>
        <v>500.02</v>
      </c>
      <c r="AL46" s="71">
        <f t="shared" si="5"/>
        <v>11252.711359999999</v>
      </c>
      <c r="AM46" s="80">
        <v>0</v>
      </c>
      <c r="AN46" s="47"/>
      <c r="AO46" s="47"/>
      <c r="AP46" s="43" t="s">
        <v>464</v>
      </c>
    </row>
    <row r="47" spans="1:42" s="9" customFormat="1" ht="11.25" customHeight="1" x14ac:dyDescent="0.15">
      <c r="A47" s="9">
        <v>46</v>
      </c>
      <c r="D47" s="9" t="s">
        <v>77</v>
      </c>
      <c r="F47" s="10" t="s">
        <v>78</v>
      </c>
      <c r="G47" s="102">
        <v>108</v>
      </c>
      <c r="H47" s="7">
        <f>INT((G47*Valores!$C$2*100)+0.5)/100</f>
        <v>487.37</v>
      </c>
      <c r="I47" s="92">
        <v>2907</v>
      </c>
      <c r="J47" s="67">
        <f>INT((I47*Valores!$C$2*100)+0.5)/100</f>
        <v>13118.42</v>
      </c>
      <c r="K47" s="131">
        <v>0</v>
      </c>
      <c r="L47" s="67">
        <f>INT((K47*Valores!$C$2*100)+0.5)/100</f>
        <v>0</v>
      </c>
      <c r="M47" s="102">
        <v>0</v>
      </c>
      <c r="N47" s="67">
        <f>INT((M47*Valores!$C$2*100)+0.5)/100</f>
        <v>0</v>
      </c>
      <c r="O47" s="67">
        <f t="shared" si="0"/>
        <v>0</v>
      </c>
      <c r="P47" s="67">
        <f t="shared" si="1"/>
        <v>16926.948</v>
      </c>
      <c r="Q47" s="68">
        <f>Valores!$C$16</f>
        <v>2494</v>
      </c>
      <c r="R47" s="68">
        <f>Valores!$D$9</f>
        <v>2018.53</v>
      </c>
      <c r="S47" s="53">
        <f>Valores!$C$26</f>
        <v>2048</v>
      </c>
      <c r="T47" s="77">
        <f>Valores!$C$36</f>
        <v>500</v>
      </c>
      <c r="U47" s="67">
        <f>Valores!$C$23</f>
        <v>2079</v>
      </c>
      <c r="V47" s="67">
        <f t="shared" si="10"/>
        <v>4573.8</v>
      </c>
      <c r="W47" s="67">
        <v>0</v>
      </c>
      <c r="X47" s="67">
        <v>0</v>
      </c>
      <c r="Y47" s="95">
        <v>0</v>
      </c>
      <c r="Z47" s="67">
        <f>Y47*Valores!$C$2</f>
        <v>0</v>
      </c>
      <c r="AA47" s="67">
        <v>0</v>
      </c>
      <c r="AB47" s="79">
        <v>129.04</v>
      </c>
      <c r="AC47" s="67">
        <f t="shared" si="3"/>
        <v>0</v>
      </c>
      <c r="AD47" s="67">
        <v>129.04</v>
      </c>
      <c r="AE47" s="95">
        <v>0</v>
      </c>
      <c r="AF47" s="67">
        <f>INT(((AE47*Valores!$C$2)*100)+0.5)/100</f>
        <v>0</v>
      </c>
      <c r="AG47" s="67">
        <f>Valores!$C$49</f>
        <v>262.5</v>
      </c>
      <c r="AH47" s="67">
        <f>Valores!$C$50</f>
        <v>75</v>
      </c>
      <c r="AI47" s="15">
        <f t="shared" si="6"/>
        <v>42762.648000000001</v>
      </c>
      <c r="AJ47" s="69">
        <f>Valores!$C$6</f>
        <v>400</v>
      </c>
      <c r="AK47" s="12">
        <f t="shared" si="4"/>
        <v>400</v>
      </c>
      <c r="AL47" s="68">
        <f t="shared" si="5"/>
        <v>10235.409039999999</v>
      </c>
      <c r="AM47" s="79">
        <v>110</v>
      </c>
      <c r="AN47" s="20"/>
      <c r="AO47" s="20">
        <v>30</v>
      </c>
      <c r="AP47" s="9" t="s">
        <v>465</v>
      </c>
    </row>
    <row r="48" spans="1:42" s="9" customFormat="1" ht="11.25" customHeight="1" x14ac:dyDescent="0.15">
      <c r="A48" s="9">
        <v>47</v>
      </c>
      <c r="D48" s="9" t="s">
        <v>79</v>
      </c>
      <c r="F48" s="10" t="s">
        <v>80</v>
      </c>
      <c r="G48" s="102">
        <v>88</v>
      </c>
      <c r="H48" s="7">
        <f>INT((G48*Valores!$C$2*100)+0.5)/100</f>
        <v>397.12</v>
      </c>
      <c r="I48" s="92">
        <v>2622</v>
      </c>
      <c r="J48" s="67">
        <f>INT((I48*Valores!$C$2*100)+0.5)/100</f>
        <v>11832.3</v>
      </c>
      <c r="K48" s="131">
        <v>0</v>
      </c>
      <c r="L48" s="67">
        <f>INT((K48*Valores!$C$2*100)+0.5)/100</f>
        <v>0</v>
      </c>
      <c r="M48" s="99">
        <v>0</v>
      </c>
      <c r="N48" s="67">
        <f>INT((M48*Valores!$C$2*100)+0.5)/100</f>
        <v>0</v>
      </c>
      <c r="O48" s="67">
        <f t="shared" si="0"/>
        <v>0</v>
      </c>
      <c r="P48" s="67">
        <f t="shared" si="1"/>
        <v>15275.304</v>
      </c>
      <c r="Q48" s="68">
        <f>Valores!$C$16</f>
        <v>2494</v>
      </c>
      <c r="R48" s="68">
        <f>Valores!$D$9</f>
        <v>2018.53</v>
      </c>
      <c r="S48" s="53">
        <f>Valores!$C$26</f>
        <v>2048</v>
      </c>
      <c r="T48" s="77">
        <f>Valores!$C$36</f>
        <v>500</v>
      </c>
      <c r="U48" s="67">
        <f>Valores!$C$23</f>
        <v>2079</v>
      </c>
      <c r="V48" s="67">
        <f t="shared" si="10"/>
        <v>4573.8</v>
      </c>
      <c r="W48" s="67">
        <v>0</v>
      </c>
      <c r="X48" s="67">
        <v>0</v>
      </c>
      <c r="Y48" s="95">
        <v>0</v>
      </c>
      <c r="Z48" s="67">
        <f>Y48*Valores!$C$2</f>
        <v>0</v>
      </c>
      <c r="AA48" s="67">
        <v>0</v>
      </c>
      <c r="AB48" s="79">
        <v>129.04</v>
      </c>
      <c r="AC48" s="67">
        <f t="shared" si="3"/>
        <v>0</v>
      </c>
      <c r="AD48" s="67">
        <v>129.04</v>
      </c>
      <c r="AE48" s="95">
        <v>0</v>
      </c>
      <c r="AF48" s="67">
        <f>INT(((AE48*Valores!$C$2)*100)+0.5)/100</f>
        <v>0</v>
      </c>
      <c r="AG48" s="67">
        <f>Valores!$C$49</f>
        <v>262.5</v>
      </c>
      <c r="AH48" s="67">
        <f>Valores!$C$50</f>
        <v>75</v>
      </c>
      <c r="AI48" s="15">
        <f t="shared" si="6"/>
        <v>39734.634000000005</v>
      </c>
      <c r="AJ48" s="69">
        <f>Valores!$C$6</f>
        <v>400</v>
      </c>
      <c r="AK48" s="12">
        <f t="shared" si="4"/>
        <v>400</v>
      </c>
      <c r="AL48" s="68">
        <f t="shared" si="5"/>
        <v>9538.9658200000013</v>
      </c>
      <c r="AM48" s="79">
        <v>110</v>
      </c>
      <c r="AN48" s="20"/>
      <c r="AO48" s="20">
        <v>30</v>
      </c>
      <c r="AP48" s="9" t="s">
        <v>465</v>
      </c>
    </row>
    <row r="49" spans="1:42" s="9" customFormat="1" ht="11.25" customHeight="1" x14ac:dyDescent="0.15">
      <c r="A49" s="9">
        <v>48</v>
      </c>
      <c r="D49" s="9" t="s">
        <v>81</v>
      </c>
      <c r="F49" s="10" t="s">
        <v>82</v>
      </c>
      <c r="G49" s="102">
        <v>88</v>
      </c>
      <c r="H49" s="7">
        <f>INT((G49*Valores!$C$2*100)+0.5)/100</f>
        <v>397.12</v>
      </c>
      <c r="I49" s="92">
        <v>2622</v>
      </c>
      <c r="J49" s="67">
        <f>INT((I49*Valores!$C$2*100)+0.5)/100</f>
        <v>11832.3</v>
      </c>
      <c r="K49" s="131">
        <v>0</v>
      </c>
      <c r="L49" s="67">
        <f>INT((K49*Valores!$C$2*100)+0.5)/100</f>
        <v>0</v>
      </c>
      <c r="M49" s="99">
        <v>0</v>
      </c>
      <c r="N49" s="67">
        <f>INT((M49*Valores!$C$2*100)+0.5)/100</f>
        <v>0</v>
      </c>
      <c r="O49" s="67">
        <f t="shared" si="0"/>
        <v>0</v>
      </c>
      <c r="P49" s="67">
        <f t="shared" si="1"/>
        <v>15275.304</v>
      </c>
      <c r="Q49" s="68">
        <f>Valores!$C$16</f>
        <v>2494</v>
      </c>
      <c r="R49" s="68">
        <f>Valores!$D$9</f>
        <v>2018.53</v>
      </c>
      <c r="S49" s="67">
        <f>Valores!$C$26</f>
        <v>2048</v>
      </c>
      <c r="T49" s="69">
        <f>Valores!$C$36</f>
        <v>500</v>
      </c>
      <c r="U49" s="67">
        <f>Valores!$C$23</f>
        <v>2079</v>
      </c>
      <c r="V49" s="67">
        <f t="shared" si="10"/>
        <v>4573.8</v>
      </c>
      <c r="W49" s="67">
        <v>0</v>
      </c>
      <c r="X49" s="67">
        <v>0</v>
      </c>
      <c r="Y49" s="95">
        <v>0</v>
      </c>
      <c r="Z49" s="67">
        <f>Y49*Valores!$C$2</f>
        <v>0</v>
      </c>
      <c r="AA49" s="67">
        <v>0</v>
      </c>
      <c r="AB49" s="79">
        <v>129.04</v>
      </c>
      <c r="AC49" s="67">
        <f t="shared" si="3"/>
        <v>0</v>
      </c>
      <c r="AD49" s="67">
        <v>129.04</v>
      </c>
      <c r="AE49" s="95">
        <v>0</v>
      </c>
      <c r="AF49" s="67">
        <f>INT(((AE49*Valores!$C$2)*100)+0.5)/100</f>
        <v>0</v>
      </c>
      <c r="AG49" s="67">
        <f>Valores!$C$49</f>
        <v>262.5</v>
      </c>
      <c r="AH49" s="67">
        <f>Valores!$C$50</f>
        <v>75</v>
      </c>
      <c r="AI49" s="15">
        <f t="shared" si="6"/>
        <v>39734.634000000005</v>
      </c>
      <c r="AJ49" s="69">
        <f>Valores!$C$6</f>
        <v>400</v>
      </c>
      <c r="AK49" s="12">
        <f t="shared" si="4"/>
        <v>400</v>
      </c>
      <c r="AL49" s="68">
        <f t="shared" si="5"/>
        <v>9538.9658200000013</v>
      </c>
      <c r="AM49" s="79">
        <v>110</v>
      </c>
      <c r="AN49" s="20"/>
      <c r="AO49" s="20">
        <v>30</v>
      </c>
      <c r="AP49" s="9" t="s">
        <v>465</v>
      </c>
    </row>
    <row r="50" spans="1:42" s="9" customFormat="1" ht="11.25" customHeight="1" x14ac:dyDescent="0.15">
      <c r="A50" s="9">
        <v>49</v>
      </c>
      <c r="D50" s="9" t="s">
        <v>83</v>
      </c>
      <c r="F50" s="10" t="s">
        <v>84</v>
      </c>
      <c r="G50" s="102">
        <v>80</v>
      </c>
      <c r="H50" s="7">
        <f>INT((G50*Valores!$C$2*100)+0.5)/100</f>
        <v>361.02</v>
      </c>
      <c r="I50" s="92">
        <v>2278</v>
      </c>
      <c r="J50" s="67">
        <f>INT((I50*Valores!$C$2*100)+0.5)/100</f>
        <v>10279.93</v>
      </c>
      <c r="K50" s="131">
        <v>0</v>
      </c>
      <c r="L50" s="67">
        <f>INT((K50*Valores!$C$2*100)+0.5)/100</f>
        <v>0</v>
      </c>
      <c r="M50" s="99">
        <v>0</v>
      </c>
      <c r="N50" s="67">
        <f>INT((M50*Valores!$C$2*100)+0.5)/100</f>
        <v>0</v>
      </c>
      <c r="O50" s="67">
        <f t="shared" si="0"/>
        <v>0</v>
      </c>
      <c r="P50" s="67">
        <f t="shared" si="1"/>
        <v>13369.140000000001</v>
      </c>
      <c r="Q50" s="68">
        <f>Valores!$C$16</f>
        <v>2494</v>
      </c>
      <c r="R50" s="68">
        <f>Valores!$D$9</f>
        <v>2018.53</v>
      </c>
      <c r="S50" s="53">
        <f>Valores!$C$26</f>
        <v>2048</v>
      </c>
      <c r="T50" s="77">
        <f>Valores!$C$36</f>
        <v>500</v>
      </c>
      <c r="U50" s="67">
        <f>Valores!$C$23</f>
        <v>2079</v>
      </c>
      <c r="V50" s="67">
        <f t="shared" si="10"/>
        <v>4573.8</v>
      </c>
      <c r="W50" s="67">
        <v>0</v>
      </c>
      <c r="X50" s="67">
        <v>0</v>
      </c>
      <c r="Y50" s="95">
        <v>0</v>
      </c>
      <c r="Z50" s="67">
        <f>Y50*Valores!$C$2</f>
        <v>0</v>
      </c>
      <c r="AA50" s="67">
        <v>0</v>
      </c>
      <c r="AB50" s="79">
        <v>129.04</v>
      </c>
      <c r="AC50" s="67">
        <f t="shared" si="3"/>
        <v>0</v>
      </c>
      <c r="AD50" s="67">
        <v>129.04</v>
      </c>
      <c r="AE50" s="95">
        <v>0</v>
      </c>
      <c r="AF50" s="67">
        <f>INT(((AE50*Valores!$C$2)*100)+0.5)/100</f>
        <v>0</v>
      </c>
      <c r="AG50" s="67">
        <f>Valores!$C$49</f>
        <v>262.5</v>
      </c>
      <c r="AH50" s="67">
        <f>Valores!$C$50</f>
        <v>75</v>
      </c>
      <c r="AI50" s="15">
        <f t="shared" si="6"/>
        <v>36240.000000000007</v>
      </c>
      <c r="AJ50" s="69">
        <f>Valores!$C$6</f>
        <v>400</v>
      </c>
      <c r="AK50" s="12">
        <f t="shared" si="4"/>
        <v>400</v>
      </c>
      <c r="AL50" s="68">
        <f t="shared" si="5"/>
        <v>8735.2000000000007</v>
      </c>
      <c r="AM50" s="79">
        <v>110</v>
      </c>
      <c r="AN50" s="20"/>
      <c r="AO50" s="20">
        <v>30</v>
      </c>
      <c r="AP50" s="9" t="s">
        <v>465</v>
      </c>
    </row>
    <row r="51" spans="1:42" s="9" customFormat="1" ht="11.25" customHeight="1" x14ac:dyDescent="0.15">
      <c r="A51" s="43">
        <v>50</v>
      </c>
      <c r="B51" s="43" t="s">
        <v>460</v>
      </c>
      <c r="C51" s="43"/>
      <c r="D51" s="43" t="s">
        <v>85</v>
      </c>
      <c r="E51" s="43"/>
      <c r="F51" s="44" t="s">
        <v>86</v>
      </c>
      <c r="G51" s="103">
        <v>100</v>
      </c>
      <c r="H51" s="110">
        <f>INT((G51*Valores!$C$2*100)+0.5)/100</f>
        <v>451.27</v>
      </c>
      <c r="I51" s="93">
        <v>3620</v>
      </c>
      <c r="J51" s="70">
        <f>INT((I51*Valores!$C$2*100)+0.5)/100</f>
        <v>16335.97</v>
      </c>
      <c r="K51" s="132">
        <v>0</v>
      </c>
      <c r="L51" s="70">
        <f>INT((K51*Valores!$C$2*100)+0.5)/100</f>
        <v>0</v>
      </c>
      <c r="M51" s="100">
        <v>0</v>
      </c>
      <c r="N51" s="70">
        <f>INT((M51*Valores!$C$2*100)+0.5)/100</f>
        <v>0</v>
      </c>
      <c r="O51" s="70">
        <f t="shared" si="0"/>
        <v>0</v>
      </c>
      <c r="P51" s="70">
        <f t="shared" si="1"/>
        <v>21044.687999999998</v>
      </c>
      <c r="Q51" s="71">
        <f>Valores!$C$16</f>
        <v>2494</v>
      </c>
      <c r="R51" s="71">
        <f>Valores!$D$9</f>
        <v>2018.53</v>
      </c>
      <c r="S51" s="75">
        <f>Valores!$C$26</f>
        <v>2048</v>
      </c>
      <c r="T51" s="78">
        <f>Valores!$C$37</f>
        <v>750</v>
      </c>
      <c r="U51" s="70">
        <f>Valores!$C$23</f>
        <v>2079</v>
      </c>
      <c r="V51" s="70">
        <f t="shared" si="10"/>
        <v>4573.8</v>
      </c>
      <c r="W51" s="70">
        <v>0</v>
      </c>
      <c r="X51" s="70">
        <v>0</v>
      </c>
      <c r="Y51" s="94">
        <v>0</v>
      </c>
      <c r="Z51" s="70">
        <f>Y51*Valores!$C$2</f>
        <v>0</v>
      </c>
      <c r="AA51" s="70">
        <v>0</v>
      </c>
      <c r="AB51" s="80">
        <v>129.04</v>
      </c>
      <c r="AC51" s="70">
        <f t="shared" si="3"/>
        <v>0</v>
      </c>
      <c r="AD51" s="70">
        <v>129.04</v>
      </c>
      <c r="AE51" s="94">
        <v>0</v>
      </c>
      <c r="AF51" s="70">
        <f>INT(((AE51*Valores!$C$2)*100)+0.5)/100</f>
        <v>0</v>
      </c>
      <c r="AG51" s="70">
        <f>Valores!$C$49</f>
        <v>262.5</v>
      </c>
      <c r="AH51" s="70">
        <f>Valores!$C$50</f>
        <v>75</v>
      </c>
      <c r="AI51" s="45">
        <f t="shared" si="6"/>
        <v>50311.838000000003</v>
      </c>
      <c r="AJ51" s="72">
        <f>Valores!$C$7</f>
        <v>600</v>
      </c>
      <c r="AK51" s="46">
        <f t="shared" si="4"/>
        <v>600</v>
      </c>
      <c r="AL51" s="71">
        <f t="shared" si="5"/>
        <v>12171.722739999999</v>
      </c>
      <c r="AM51" s="80">
        <v>220</v>
      </c>
      <c r="AN51" s="47"/>
      <c r="AO51" s="47"/>
      <c r="AP51" s="43" t="s">
        <v>465</v>
      </c>
    </row>
    <row r="52" spans="1:42" s="9" customFormat="1" ht="11.25" customHeight="1" x14ac:dyDescent="0.15">
      <c r="A52" s="9">
        <v>51</v>
      </c>
      <c r="D52" s="9" t="s">
        <v>87</v>
      </c>
      <c r="F52" s="10" t="s">
        <v>88</v>
      </c>
      <c r="G52" s="102">
        <v>100</v>
      </c>
      <c r="H52" s="7">
        <f>INT((G52*Valores!$C$2*100)+0.5)/100</f>
        <v>451.27</v>
      </c>
      <c r="I52" s="92">
        <v>3560</v>
      </c>
      <c r="J52" s="67">
        <f>INT((I52*Valores!$C$2*100)+0.5)/100</f>
        <v>16065.21</v>
      </c>
      <c r="K52" s="131">
        <v>0</v>
      </c>
      <c r="L52" s="67">
        <f>INT((K52*Valores!$C$2*100)+0.5)/100</f>
        <v>0</v>
      </c>
      <c r="M52" s="99">
        <v>0</v>
      </c>
      <c r="N52" s="67">
        <f>INT((M52*Valores!$C$2*100)+0.5)/100</f>
        <v>0</v>
      </c>
      <c r="O52" s="67">
        <f t="shared" si="0"/>
        <v>0</v>
      </c>
      <c r="P52" s="67">
        <f t="shared" si="1"/>
        <v>20719.775999999998</v>
      </c>
      <c r="Q52" s="68">
        <f>Valores!$C$16</f>
        <v>2494</v>
      </c>
      <c r="R52" s="68">
        <f>Valores!$D$9</f>
        <v>2018.53</v>
      </c>
      <c r="S52" s="67">
        <v>0</v>
      </c>
      <c r="T52" s="69">
        <f>Valores!$C$37</f>
        <v>750</v>
      </c>
      <c r="U52" s="67">
        <f>Valores!$C$23</f>
        <v>2079</v>
      </c>
      <c r="V52" s="67">
        <f t="shared" si="10"/>
        <v>4573.8</v>
      </c>
      <c r="W52" s="67">
        <v>0</v>
      </c>
      <c r="X52" s="67">
        <v>0</v>
      </c>
      <c r="Y52" s="95">
        <v>0</v>
      </c>
      <c r="Z52" s="67">
        <f>Y52*Valores!$C$2</f>
        <v>0</v>
      </c>
      <c r="AA52" s="67">
        <v>0</v>
      </c>
      <c r="AB52" s="79">
        <v>129.04</v>
      </c>
      <c r="AC52" s="67">
        <f t="shared" si="3"/>
        <v>0</v>
      </c>
      <c r="AD52" s="67">
        <v>129.04</v>
      </c>
      <c r="AE52" s="95">
        <v>0</v>
      </c>
      <c r="AF52" s="67">
        <f>INT(((AE52*Valores!$C$2)*100)+0.5)/100</f>
        <v>0</v>
      </c>
      <c r="AG52" s="67">
        <f>Valores!$C$49</f>
        <v>262.5</v>
      </c>
      <c r="AH52" s="67">
        <f>Valores!$C$50</f>
        <v>75</v>
      </c>
      <c r="AI52" s="15">
        <f t="shared" si="6"/>
        <v>47668.165999999997</v>
      </c>
      <c r="AJ52" s="69">
        <f>Valores!$C$7</f>
        <v>600</v>
      </c>
      <c r="AK52" s="12">
        <f t="shared" si="4"/>
        <v>600</v>
      </c>
      <c r="AL52" s="68">
        <f t="shared" si="5"/>
        <v>11563.678179999999</v>
      </c>
      <c r="AM52" s="79">
        <v>0</v>
      </c>
      <c r="AN52" s="20"/>
      <c r="AO52" s="20"/>
      <c r="AP52" s="9" t="s">
        <v>464</v>
      </c>
    </row>
    <row r="53" spans="1:42" s="9" customFormat="1" ht="11.25" customHeight="1" x14ac:dyDescent="0.15">
      <c r="A53" s="9">
        <v>52</v>
      </c>
      <c r="D53" s="9" t="s">
        <v>89</v>
      </c>
      <c r="F53" s="10" t="s">
        <v>90</v>
      </c>
      <c r="G53" s="102">
        <v>100</v>
      </c>
      <c r="H53" s="7">
        <f>INT((G53*Valores!$C$2*100)+0.5)/100</f>
        <v>451.27</v>
      </c>
      <c r="I53" s="92">
        <v>3360</v>
      </c>
      <c r="J53" s="67">
        <f>INT((I53*Valores!$C$2*100)+0.5)/100</f>
        <v>15162.67</v>
      </c>
      <c r="K53" s="131">
        <v>0</v>
      </c>
      <c r="L53" s="67">
        <f>INT((K53*Valores!$C$2*100)+0.5)/100</f>
        <v>0</v>
      </c>
      <c r="M53" s="99">
        <v>0</v>
      </c>
      <c r="N53" s="67">
        <f>INT((M53*Valores!$C$2*100)+0.5)/100</f>
        <v>0</v>
      </c>
      <c r="O53" s="67">
        <f t="shared" si="0"/>
        <v>0</v>
      </c>
      <c r="P53" s="67">
        <f t="shared" si="1"/>
        <v>19636.727999999999</v>
      </c>
      <c r="Q53" s="68">
        <f>Valores!$C$16</f>
        <v>2494</v>
      </c>
      <c r="R53" s="68">
        <f>Valores!$D$9</f>
        <v>2018.53</v>
      </c>
      <c r="S53" s="53">
        <f>Valores!$C$26</f>
        <v>2048</v>
      </c>
      <c r="T53" s="77">
        <f>Valores!$C$37</f>
        <v>750</v>
      </c>
      <c r="U53" s="67">
        <f>Valores!$C$23</f>
        <v>2079</v>
      </c>
      <c r="V53" s="67">
        <f t="shared" si="10"/>
        <v>4573.8</v>
      </c>
      <c r="W53" s="67">
        <v>0</v>
      </c>
      <c r="X53" s="67">
        <v>0</v>
      </c>
      <c r="Y53" s="95">
        <v>0</v>
      </c>
      <c r="Z53" s="67">
        <f>Y53*Valores!$C$2</f>
        <v>0</v>
      </c>
      <c r="AA53" s="67">
        <v>0</v>
      </c>
      <c r="AB53" s="79">
        <v>129.04</v>
      </c>
      <c r="AC53" s="67">
        <f t="shared" si="3"/>
        <v>0</v>
      </c>
      <c r="AD53" s="67">
        <v>129.04</v>
      </c>
      <c r="AE53" s="95">
        <v>0</v>
      </c>
      <c r="AF53" s="67">
        <f>INT(((AE53*Valores!$C$2)*100)+0.5)/100</f>
        <v>0</v>
      </c>
      <c r="AG53" s="67">
        <f>Valores!$C$49</f>
        <v>262.5</v>
      </c>
      <c r="AH53" s="67">
        <f>Valores!$C$50</f>
        <v>75</v>
      </c>
      <c r="AI53" s="15">
        <f t="shared" si="6"/>
        <v>47730.578000000001</v>
      </c>
      <c r="AJ53" s="69">
        <f>Valores!$C$7</f>
        <v>600</v>
      </c>
      <c r="AK53" s="12">
        <f t="shared" si="4"/>
        <v>600</v>
      </c>
      <c r="AL53" s="68">
        <f t="shared" si="5"/>
        <v>11578.032939999999</v>
      </c>
      <c r="AM53" s="79">
        <v>0</v>
      </c>
      <c r="AN53" s="20"/>
      <c r="AO53" s="20"/>
      <c r="AP53" s="9" t="s">
        <v>465</v>
      </c>
    </row>
    <row r="54" spans="1:42" s="9" customFormat="1" ht="11.25" customHeight="1" x14ac:dyDescent="0.15">
      <c r="A54" s="9">
        <v>53</v>
      </c>
      <c r="D54" s="9" t="s">
        <v>91</v>
      </c>
      <c r="F54" s="10" t="s">
        <v>92</v>
      </c>
      <c r="G54" s="102">
        <v>98</v>
      </c>
      <c r="H54" s="7">
        <f>INT((G54*Valores!$C$2*100)+0.5)/100</f>
        <v>442.24</v>
      </c>
      <c r="I54" s="92">
        <v>2686</v>
      </c>
      <c r="J54" s="67">
        <f>INT((I54*Valores!$C$2*100)+0.5)/100</f>
        <v>12121.11</v>
      </c>
      <c r="K54" s="131">
        <v>0</v>
      </c>
      <c r="L54" s="67">
        <f>INT((K54*Valores!$C$2*100)+0.5)/100</f>
        <v>0</v>
      </c>
      <c r="M54" s="99">
        <v>0</v>
      </c>
      <c r="N54" s="67">
        <f>INT((M54*Valores!$C$2*100)+0.5)/100</f>
        <v>0</v>
      </c>
      <c r="O54" s="67">
        <f t="shared" si="0"/>
        <v>0</v>
      </c>
      <c r="P54" s="67">
        <f t="shared" si="1"/>
        <v>15676.02</v>
      </c>
      <c r="Q54" s="68">
        <f>Valores!$C$16</f>
        <v>2494</v>
      </c>
      <c r="R54" s="68">
        <f>Valores!$D$9</f>
        <v>2018.53</v>
      </c>
      <c r="S54" s="67">
        <f>Valores!$C$26</f>
        <v>2048</v>
      </c>
      <c r="T54" s="69">
        <f>Valores!$C$36</f>
        <v>500</v>
      </c>
      <c r="U54" s="67">
        <f>Valores!$C$23</f>
        <v>2079</v>
      </c>
      <c r="V54" s="67">
        <f t="shared" si="10"/>
        <v>4573.8</v>
      </c>
      <c r="W54" s="67">
        <v>0</v>
      </c>
      <c r="X54" s="67">
        <v>0</v>
      </c>
      <c r="Y54" s="95">
        <v>0</v>
      </c>
      <c r="Z54" s="67">
        <f>Y54*Valores!$C$2</f>
        <v>0</v>
      </c>
      <c r="AA54" s="67">
        <v>0</v>
      </c>
      <c r="AB54" s="79">
        <v>129.04</v>
      </c>
      <c r="AC54" s="67">
        <f t="shared" si="3"/>
        <v>0</v>
      </c>
      <c r="AD54" s="67">
        <v>129.04</v>
      </c>
      <c r="AE54" s="95">
        <v>0</v>
      </c>
      <c r="AF54" s="67">
        <f>INT(((AE54*Valores!$C$2)*100)+0.5)/100</f>
        <v>0</v>
      </c>
      <c r="AG54" s="67">
        <f>Valores!$C$49</f>
        <v>262.5</v>
      </c>
      <c r="AH54" s="67">
        <f>Valores!$C$50</f>
        <v>75</v>
      </c>
      <c r="AI54" s="15">
        <f t="shared" si="6"/>
        <v>40469.280000000006</v>
      </c>
      <c r="AJ54" s="69">
        <f>Valores!$C$6</f>
        <v>400</v>
      </c>
      <c r="AK54" s="12">
        <f t="shared" si="4"/>
        <v>400</v>
      </c>
      <c r="AL54" s="68">
        <f t="shared" si="5"/>
        <v>9707.9344000000001</v>
      </c>
      <c r="AM54" s="79">
        <v>110</v>
      </c>
      <c r="AN54" s="20"/>
      <c r="AO54" s="20">
        <v>30</v>
      </c>
      <c r="AP54" s="9" t="s">
        <v>465</v>
      </c>
    </row>
    <row r="55" spans="1:42" s="9" customFormat="1" ht="11.25" customHeight="1" x14ac:dyDescent="0.15">
      <c r="A55" s="9">
        <v>54</v>
      </c>
      <c r="D55" s="9" t="s">
        <v>93</v>
      </c>
      <c r="F55" s="10" t="s">
        <v>94</v>
      </c>
      <c r="G55" s="102">
        <v>94</v>
      </c>
      <c r="H55" s="7">
        <f>INT((G55*Valores!$C$2*100)+0.5)/100</f>
        <v>424.19</v>
      </c>
      <c r="I55" s="92">
        <v>2690</v>
      </c>
      <c r="J55" s="67">
        <f>INT((I55*Valores!$C$2*100)+0.5)/100</f>
        <v>12139.16</v>
      </c>
      <c r="K55" s="131">
        <v>0</v>
      </c>
      <c r="L55" s="67">
        <f>INT((K55*Valores!$C$2*100)+0.5)/100</f>
        <v>0</v>
      </c>
      <c r="M55" s="99">
        <v>0</v>
      </c>
      <c r="N55" s="67">
        <f>INT((M55*Valores!$C$2*100)+0.5)/100</f>
        <v>0</v>
      </c>
      <c r="O55" s="67">
        <f t="shared" si="0"/>
        <v>0</v>
      </c>
      <c r="P55" s="67">
        <f t="shared" si="1"/>
        <v>15676.02</v>
      </c>
      <c r="Q55" s="68">
        <f>Valores!$C$16</f>
        <v>2494</v>
      </c>
      <c r="R55" s="68">
        <f>Valores!$D$9</f>
        <v>2018.53</v>
      </c>
      <c r="S55" s="53">
        <f>Valores!$C$26</f>
        <v>2048</v>
      </c>
      <c r="T55" s="77">
        <f>Valores!$C$36</f>
        <v>500</v>
      </c>
      <c r="U55" s="67">
        <f>Valores!$C$23</f>
        <v>2079</v>
      </c>
      <c r="V55" s="67">
        <f t="shared" si="10"/>
        <v>4573.8</v>
      </c>
      <c r="W55" s="67">
        <v>0</v>
      </c>
      <c r="X55" s="67">
        <v>0</v>
      </c>
      <c r="Y55" s="95">
        <v>0</v>
      </c>
      <c r="Z55" s="67">
        <f>Y55*Valores!$C$2</f>
        <v>0</v>
      </c>
      <c r="AA55" s="67">
        <v>0</v>
      </c>
      <c r="AB55" s="79">
        <v>129.04</v>
      </c>
      <c r="AC55" s="67">
        <f t="shared" si="3"/>
        <v>0</v>
      </c>
      <c r="AD55" s="67">
        <v>129.04</v>
      </c>
      <c r="AE55" s="95">
        <v>94</v>
      </c>
      <c r="AF55" s="67">
        <f>INT(((AE55*Valores!$C$2)*100)+0.5)/100</f>
        <v>424.19</v>
      </c>
      <c r="AG55" s="67">
        <f>Valores!$C$49</f>
        <v>262.5</v>
      </c>
      <c r="AH55" s="67">
        <f>Valores!$C$50</f>
        <v>75</v>
      </c>
      <c r="AI55" s="15">
        <f t="shared" si="6"/>
        <v>40893.470000000008</v>
      </c>
      <c r="AJ55" s="69">
        <f>Valores!$C$6</f>
        <v>400</v>
      </c>
      <c r="AK55" s="12">
        <f t="shared" si="4"/>
        <v>400</v>
      </c>
      <c r="AL55" s="68">
        <f t="shared" si="5"/>
        <v>9805.4981000000007</v>
      </c>
      <c r="AM55" s="79">
        <v>110</v>
      </c>
      <c r="AN55" s="20"/>
      <c r="AO55" s="20">
        <v>25</v>
      </c>
      <c r="AP55" s="9" t="s">
        <v>465</v>
      </c>
    </row>
    <row r="56" spans="1:42" s="9" customFormat="1" ht="11.25" customHeight="1" x14ac:dyDescent="0.15">
      <c r="A56" s="43">
        <v>55</v>
      </c>
      <c r="B56" s="43" t="s">
        <v>460</v>
      </c>
      <c r="C56" s="43"/>
      <c r="D56" s="43" t="s">
        <v>95</v>
      </c>
      <c r="E56" s="43"/>
      <c r="F56" s="44" t="s">
        <v>96</v>
      </c>
      <c r="G56" s="103">
        <v>93</v>
      </c>
      <c r="H56" s="110">
        <f>INT((G56*Valores!$C$2*100)+0.5)/100</f>
        <v>419.68</v>
      </c>
      <c r="I56" s="93">
        <v>2547</v>
      </c>
      <c r="J56" s="70">
        <f>INT((I56*Valores!$C$2*100)+0.5)/100</f>
        <v>11493.85</v>
      </c>
      <c r="K56" s="132">
        <v>0</v>
      </c>
      <c r="L56" s="70">
        <f>INT((K56*Valores!$C$2*100)+0.5)/100</f>
        <v>0</v>
      </c>
      <c r="M56" s="100">
        <v>0</v>
      </c>
      <c r="N56" s="70">
        <f>INT((M56*Valores!$C$2*100)+0.5)/100</f>
        <v>0</v>
      </c>
      <c r="O56" s="70">
        <f t="shared" si="0"/>
        <v>0</v>
      </c>
      <c r="P56" s="70">
        <f t="shared" si="1"/>
        <v>14896.236000000001</v>
      </c>
      <c r="Q56" s="71">
        <f>Valores!$C$16</f>
        <v>2494</v>
      </c>
      <c r="R56" s="71">
        <f>Valores!$D$9</f>
        <v>2018.53</v>
      </c>
      <c r="S56" s="75">
        <f>Valores!$C$26</f>
        <v>2048</v>
      </c>
      <c r="T56" s="78">
        <f>Valores!$C$36</f>
        <v>500</v>
      </c>
      <c r="U56" s="70">
        <f>Valores!$C$23</f>
        <v>2079</v>
      </c>
      <c r="V56" s="70">
        <f t="shared" si="10"/>
        <v>4573.8</v>
      </c>
      <c r="W56" s="70">
        <v>0</v>
      </c>
      <c r="X56" s="70">
        <v>0</v>
      </c>
      <c r="Y56" s="94">
        <v>0</v>
      </c>
      <c r="Z56" s="70">
        <f>Y56*Valores!$C$2</f>
        <v>0</v>
      </c>
      <c r="AA56" s="70">
        <v>0</v>
      </c>
      <c r="AB56" s="80">
        <v>129.04</v>
      </c>
      <c r="AC56" s="70">
        <f t="shared" si="3"/>
        <v>0</v>
      </c>
      <c r="AD56" s="70">
        <v>129.04</v>
      </c>
      <c r="AE56" s="94">
        <v>0</v>
      </c>
      <c r="AF56" s="70">
        <f>INT(((AE56*Valores!$C$2)*100)+0.5)/100</f>
        <v>0</v>
      </c>
      <c r="AG56" s="70">
        <f>Valores!$C$49</f>
        <v>262.5</v>
      </c>
      <c r="AH56" s="70">
        <f>Valores!$C$50</f>
        <v>75</v>
      </c>
      <c r="AI56" s="45">
        <f t="shared" si="6"/>
        <v>39039.676000000007</v>
      </c>
      <c r="AJ56" s="72">
        <f>Valores!$C$6</f>
        <v>400</v>
      </c>
      <c r="AK56" s="46">
        <f t="shared" si="4"/>
        <v>400</v>
      </c>
      <c r="AL56" s="71">
        <f t="shared" si="5"/>
        <v>9379.1254800000006</v>
      </c>
      <c r="AM56" s="80">
        <v>110</v>
      </c>
      <c r="AN56" s="47"/>
      <c r="AO56" s="47">
        <v>30</v>
      </c>
      <c r="AP56" s="43" t="s">
        <v>465</v>
      </c>
    </row>
    <row r="57" spans="1:42" s="9" customFormat="1" ht="11.25" customHeight="1" x14ac:dyDescent="0.15">
      <c r="A57" s="9">
        <v>56</v>
      </c>
      <c r="D57" s="9" t="s">
        <v>97</v>
      </c>
      <c r="F57" s="10" t="s">
        <v>98</v>
      </c>
      <c r="G57" s="102">
        <v>89</v>
      </c>
      <c r="H57" s="7">
        <f>INT((G57*Valores!$C$2*100)+0.5)/100</f>
        <v>401.63</v>
      </c>
      <c r="I57" s="92">
        <v>2551</v>
      </c>
      <c r="J57" s="67">
        <f>INT((I57*Valores!$C$2*100)+0.5)/100</f>
        <v>11511.9</v>
      </c>
      <c r="K57" s="131">
        <v>0</v>
      </c>
      <c r="L57" s="67">
        <f>INT((K57*Valores!$C$2*100)+0.5)/100</f>
        <v>0</v>
      </c>
      <c r="M57" s="99">
        <v>0</v>
      </c>
      <c r="N57" s="67">
        <f>INT((M57*Valores!$C$2*100)+0.5)/100</f>
        <v>0</v>
      </c>
      <c r="O57" s="67">
        <f t="shared" si="0"/>
        <v>0</v>
      </c>
      <c r="P57" s="67">
        <f t="shared" si="1"/>
        <v>14896.235999999997</v>
      </c>
      <c r="Q57" s="68">
        <f>Valores!$C$16</f>
        <v>2494</v>
      </c>
      <c r="R57" s="68">
        <f>Valores!$D$9</f>
        <v>2018.53</v>
      </c>
      <c r="S57" s="53">
        <f>Valores!$C$26</f>
        <v>2048</v>
      </c>
      <c r="T57" s="77">
        <f>Valores!$C$36</f>
        <v>500</v>
      </c>
      <c r="U57" s="67">
        <f>Valores!$C$23</f>
        <v>2079</v>
      </c>
      <c r="V57" s="67">
        <f t="shared" si="10"/>
        <v>4573.8</v>
      </c>
      <c r="W57" s="67">
        <v>0</v>
      </c>
      <c r="X57" s="67">
        <v>0</v>
      </c>
      <c r="Y57" s="95">
        <v>0</v>
      </c>
      <c r="Z57" s="67">
        <f>Y57*Valores!$C$2</f>
        <v>0</v>
      </c>
      <c r="AA57" s="67">
        <v>0</v>
      </c>
      <c r="AB57" s="79">
        <v>129.04</v>
      </c>
      <c r="AC57" s="67">
        <f t="shared" si="3"/>
        <v>0</v>
      </c>
      <c r="AD57" s="67">
        <v>129.04</v>
      </c>
      <c r="AE57" s="95">
        <v>94</v>
      </c>
      <c r="AF57" s="67">
        <f>INT(((AE57*Valores!$C$2)*100)+0.5)/100</f>
        <v>424.19</v>
      </c>
      <c r="AG57" s="67">
        <f>Valores!$C$49</f>
        <v>262.5</v>
      </c>
      <c r="AH57" s="67">
        <f>Valores!$C$50</f>
        <v>75</v>
      </c>
      <c r="AI57" s="15">
        <f t="shared" si="6"/>
        <v>39463.866000000002</v>
      </c>
      <c r="AJ57" s="69">
        <f>Valores!$C$6</f>
        <v>400</v>
      </c>
      <c r="AK57" s="12">
        <f t="shared" si="4"/>
        <v>400</v>
      </c>
      <c r="AL57" s="68">
        <f t="shared" si="5"/>
        <v>9476.6891799999994</v>
      </c>
      <c r="AM57" s="79">
        <v>110</v>
      </c>
      <c r="AN57" s="20"/>
      <c r="AO57" s="20">
        <v>25</v>
      </c>
      <c r="AP57" s="9" t="s">
        <v>465</v>
      </c>
    </row>
    <row r="58" spans="1:42" s="9" customFormat="1" ht="11.25" customHeight="1" x14ac:dyDescent="0.15">
      <c r="A58" s="9">
        <v>57</v>
      </c>
      <c r="D58" s="9" t="s">
        <v>99</v>
      </c>
      <c r="F58" s="10" t="s">
        <v>100</v>
      </c>
      <c r="G58" s="102">
        <v>89</v>
      </c>
      <c r="H58" s="7">
        <f>INT((G58*Valores!$C$2*100)+0.5)/100</f>
        <v>401.63</v>
      </c>
      <c r="I58" s="92">
        <v>2251</v>
      </c>
      <c r="J58" s="67">
        <f>INT((I58*Valores!$C$2*100)+0.5)/100</f>
        <v>10158.09</v>
      </c>
      <c r="K58" s="131">
        <v>0</v>
      </c>
      <c r="L58" s="67">
        <f>INT((K58*Valores!$C$2*100)+0.5)/100</f>
        <v>0</v>
      </c>
      <c r="M58" s="99">
        <v>0</v>
      </c>
      <c r="N58" s="67">
        <f>INT((M58*Valores!$C$2*100)+0.5)/100</f>
        <v>0</v>
      </c>
      <c r="O58" s="67">
        <f t="shared" si="0"/>
        <v>0</v>
      </c>
      <c r="P58" s="67">
        <f t="shared" si="1"/>
        <v>13271.663999999999</v>
      </c>
      <c r="Q58" s="68">
        <f>Valores!$C$16</f>
        <v>2494</v>
      </c>
      <c r="R58" s="68">
        <f>Valores!$D$9</f>
        <v>2018.53</v>
      </c>
      <c r="S58" s="53">
        <f>Valores!$C$26</f>
        <v>2048</v>
      </c>
      <c r="T58" s="77">
        <f>Valores!$C$36</f>
        <v>500</v>
      </c>
      <c r="U58" s="67">
        <f>Valores!$C$23</f>
        <v>2079</v>
      </c>
      <c r="V58" s="67">
        <f t="shared" si="10"/>
        <v>4573.8</v>
      </c>
      <c r="W58" s="67">
        <v>0</v>
      </c>
      <c r="X58" s="67">
        <v>0</v>
      </c>
      <c r="Y58" s="95">
        <v>0</v>
      </c>
      <c r="Z58" s="67">
        <f>Y58*Valores!$C$2</f>
        <v>0</v>
      </c>
      <c r="AA58" s="67">
        <v>0</v>
      </c>
      <c r="AB58" s="79">
        <v>129.04</v>
      </c>
      <c r="AC58" s="67">
        <f t="shared" si="3"/>
        <v>0</v>
      </c>
      <c r="AD58" s="67">
        <v>129.04</v>
      </c>
      <c r="AE58" s="95">
        <v>0</v>
      </c>
      <c r="AF58" s="67">
        <f>INT(((AE58*Valores!$C$2)*100)+0.5)/100</f>
        <v>0</v>
      </c>
      <c r="AG58" s="67">
        <f>Valores!$C$49</f>
        <v>262.5</v>
      </c>
      <c r="AH58" s="67">
        <f>Valores!$C$50</f>
        <v>75</v>
      </c>
      <c r="AI58" s="15">
        <f t="shared" si="6"/>
        <v>36061.294000000002</v>
      </c>
      <c r="AJ58" s="69">
        <f>Valores!$C$6</f>
        <v>400</v>
      </c>
      <c r="AK58" s="12">
        <f t="shared" si="4"/>
        <v>400</v>
      </c>
      <c r="AL58" s="68">
        <f t="shared" si="5"/>
        <v>8694.0976200000005</v>
      </c>
      <c r="AM58" s="79">
        <v>110</v>
      </c>
      <c r="AN58" s="20"/>
      <c r="AO58" s="20">
        <v>30</v>
      </c>
      <c r="AP58" s="9" t="s">
        <v>465</v>
      </c>
    </row>
    <row r="59" spans="1:42" s="9" customFormat="1" ht="11.25" customHeight="1" x14ac:dyDescent="0.15">
      <c r="A59" s="9">
        <v>58</v>
      </c>
      <c r="D59" s="9" t="s">
        <v>101</v>
      </c>
      <c r="F59" s="10" t="s">
        <v>102</v>
      </c>
      <c r="G59" s="102">
        <v>85</v>
      </c>
      <c r="H59" s="7">
        <f>INT((G59*Valores!$C$2*100)+0.5)/100</f>
        <v>383.58</v>
      </c>
      <c r="I59" s="92">
        <v>2255</v>
      </c>
      <c r="J59" s="67">
        <f>INT((I59*Valores!$C$2*100)+0.5)/100</f>
        <v>10176.14</v>
      </c>
      <c r="K59" s="131">
        <v>0</v>
      </c>
      <c r="L59" s="67">
        <f>INT((K59*Valores!$C$2*100)+0.5)/100</f>
        <v>0</v>
      </c>
      <c r="M59" s="99">
        <v>0</v>
      </c>
      <c r="N59" s="67">
        <f>INT((M59*Valores!$C$2*100)+0.5)/100</f>
        <v>0</v>
      </c>
      <c r="O59" s="67">
        <f t="shared" si="0"/>
        <v>0</v>
      </c>
      <c r="P59" s="67">
        <f t="shared" si="1"/>
        <v>13271.663999999999</v>
      </c>
      <c r="Q59" s="68">
        <f>Valores!$C$16</f>
        <v>2494</v>
      </c>
      <c r="R59" s="68">
        <f>Valores!$D$9</f>
        <v>2018.53</v>
      </c>
      <c r="S59" s="67">
        <f>Valores!$C$26</f>
        <v>2048</v>
      </c>
      <c r="T59" s="69">
        <f>Valores!$C$36</f>
        <v>500</v>
      </c>
      <c r="U59" s="67">
        <f>Valores!$C$23</f>
        <v>2079</v>
      </c>
      <c r="V59" s="67">
        <f t="shared" si="10"/>
        <v>4573.8</v>
      </c>
      <c r="W59" s="67">
        <v>0</v>
      </c>
      <c r="X59" s="67">
        <v>0</v>
      </c>
      <c r="Y59" s="95">
        <v>0</v>
      </c>
      <c r="Z59" s="67">
        <f>Y59*Valores!$C$2</f>
        <v>0</v>
      </c>
      <c r="AA59" s="67">
        <v>0</v>
      </c>
      <c r="AB59" s="79">
        <v>129.04</v>
      </c>
      <c r="AC59" s="67">
        <f t="shared" si="3"/>
        <v>0</v>
      </c>
      <c r="AD59" s="67">
        <v>129.04</v>
      </c>
      <c r="AE59" s="95">
        <v>94</v>
      </c>
      <c r="AF59" s="67">
        <f>INT(((AE59*Valores!$C$2)*100)+0.5)/100</f>
        <v>424.19</v>
      </c>
      <c r="AG59" s="67">
        <f>Valores!$C$49</f>
        <v>262.5</v>
      </c>
      <c r="AH59" s="67">
        <f>Valores!$C$50</f>
        <v>75</v>
      </c>
      <c r="AI59" s="15">
        <f t="shared" si="6"/>
        <v>36485.484000000004</v>
      </c>
      <c r="AJ59" s="69">
        <f>Valores!$C$6</f>
        <v>400</v>
      </c>
      <c r="AK59" s="12">
        <f t="shared" si="4"/>
        <v>400</v>
      </c>
      <c r="AL59" s="68">
        <f t="shared" si="5"/>
        <v>8791.6613200000011</v>
      </c>
      <c r="AM59" s="79">
        <v>110</v>
      </c>
      <c r="AN59" s="20"/>
      <c r="AO59" s="20">
        <v>25</v>
      </c>
      <c r="AP59" s="9" t="s">
        <v>465</v>
      </c>
    </row>
    <row r="60" spans="1:42" s="9" customFormat="1" ht="11.25" customHeight="1" x14ac:dyDescent="0.15">
      <c r="A60" s="9">
        <v>59</v>
      </c>
      <c r="D60" s="9" t="s">
        <v>103</v>
      </c>
      <c r="F60" s="10" t="s">
        <v>104</v>
      </c>
      <c r="G60" s="102">
        <v>100</v>
      </c>
      <c r="H60" s="7">
        <f>INT((G60*Valores!$C$2*100)+0.5)/100</f>
        <v>451.27</v>
      </c>
      <c r="I60" s="92">
        <v>3180</v>
      </c>
      <c r="J60" s="67">
        <f>INT((I60*Valores!$C$2*100)+0.5)/100</f>
        <v>14350.39</v>
      </c>
      <c r="K60" s="131">
        <v>0</v>
      </c>
      <c r="L60" s="67">
        <f>INT((K60*Valores!$C$2*100)+0.5)/100</f>
        <v>0</v>
      </c>
      <c r="M60" s="99">
        <v>0</v>
      </c>
      <c r="N60" s="67">
        <f>INT((M60*Valores!$C$2*100)+0.5)/100</f>
        <v>0</v>
      </c>
      <c r="O60" s="67">
        <f t="shared" si="0"/>
        <v>0</v>
      </c>
      <c r="P60" s="67">
        <f t="shared" si="1"/>
        <v>18661.991999999998</v>
      </c>
      <c r="Q60" s="68">
        <f>Valores!$C$16</f>
        <v>2494</v>
      </c>
      <c r="R60" s="68">
        <f>Valores!$D$9</f>
        <v>2018.53</v>
      </c>
      <c r="S60" s="53">
        <f>Valores!$C$26</f>
        <v>2048</v>
      </c>
      <c r="T60" s="77">
        <f>Valores!$C$37</f>
        <v>750</v>
      </c>
      <c r="U60" s="67">
        <f>Valores!$C$23</f>
        <v>2079</v>
      </c>
      <c r="V60" s="67">
        <f t="shared" si="10"/>
        <v>4573.8</v>
      </c>
      <c r="W60" s="67">
        <v>0</v>
      </c>
      <c r="X60" s="67">
        <v>0</v>
      </c>
      <c r="Y60" s="95">
        <v>0</v>
      </c>
      <c r="Z60" s="67">
        <f>Y60*Valores!$C$2</f>
        <v>0</v>
      </c>
      <c r="AA60" s="67">
        <v>0</v>
      </c>
      <c r="AB60" s="79">
        <v>129.04</v>
      </c>
      <c r="AC60" s="67">
        <f t="shared" si="3"/>
        <v>0</v>
      </c>
      <c r="AD60" s="67">
        <v>129.04</v>
      </c>
      <c r="AE60" s="95">
        <v>0</v>
      </c>
      <c r="AF60" s="67">
        <f>INT(((AE60*Valores!$C$2)*100)+0.5)/100</f>
        <v>0</v>
      </c>
      <c r="AG60" s="67">
        <f>Valores!$C$49</f>
        <v>262.5</v>
      </c>
      <c r="AH60" s="67">
        <f>Valores!$C$50</f>
        <v>75</v>
      </c>
      <c r="AI60" s="15">
        <f t="shared" si="6"/>
        <v>45943.562000000005</v>
      </c>
      <c r="AJ60" s="69">
        <f>Valores!$C$7</f>
        <v>600</v>
      </c>
      <c r="AK60" s="12">
        <f t="shared" si="4"/>
        <v>600</v>
      </c>
      <c r="AL60" s="68">
        <f t="shared" si="5"/>
        <v>11167.019260000001</v>
      </c>
      <c r="AM60" s="79">
        <v>0</v>
      </c>
      <c r="AN60" s="20"/>
      <c r="AO60" s="20"/>
      <c r="AP60" s="9" t="s">
        <v>465</v>
      </c>
    </row>
    <row r="61" spans="1:42" s="9" customFormat="1" ht="11.25" customHeight="1" x14ac:dyDescent="0.15">
      <c r="A61" s="43">
        <v>60</v>
      </c>
      <c r="B61" s="43" t="s">
        <v>460</v>
      </c>
      <c r="C61" s="43"/>
      <c r="D61" s="43" t="s">
        <v>105</v>
      </c>
      <c r="E61" s="43"/>
      <c r="F61" s="44" t="s">
        <v>106</v>
      </c>
      <c r="G61" s="103">
        <v>83</v>
      </c>
      <c r="H61" s="110">
        <f>INT((G61*Valores!$C$2*100)+0.5)/100</f>
        <v>374.55</v>
      </c>
      <c r="I61" s="93">
        <v>2352</v>
      </c>
      <c r="J61" s="70">
        <f>INT((I61*Valores!$C$2*100)+0.5)/100</f>
        <v>10613.87</v>
      </c>
      <c r="K61" s="132">
        <v>0</v>
      </c>
      <c r="L61" s="70">
        <f>INT((K61*Valores!$C$2*100)+0.5)/100</f>
        <v>0</v>
      </c>
      <c r="M61" s="100">
        <v>0</v>
      </c>
      <c r="N61" s="70">
        <f>INT((M61*Valores!$C$2*100)+0.5)/100</f>
        <v>0</v>
      </c>
      <c r="O61" s="70">
        <f t="shared" si="0"/>
        <v>0</v>
      </c>
      <c r="P61" s="70">
        <f t="shared" si="1"/>
        <v>13786.103999999999</v>
      </c>
      <c r="Q61" s="71">
        <f>Valores!$C$16</f>
        <v>2494</v>
      </c>
      <c r="R61" s="71">
        <f>Valores!$D$9</f>
        <v>2018.53</v>
      </c>
      <c r="S61" s="75">
        <f>Valores!$C$26</f>
        <v>2048</v>
      </c>
      <c r="T61" s="78">
        <f>Valores!$C$36</f>
        <v>500</v>
      </c>
      <c r="U61" s="70">
        <f>Valores!$C$23</f>
        <v>2079</v>
      </c>
      <c r="V61" s="70">
        <f t="shared" si="10"/>
        <v>4573.8</v>
      </c>
      <c r="W61" s="70">
        <v>0</v>
      </c>
      <c r="X61" s="70">
        <v>0</v>
      </c>
      <c r="Y61" s="94">
        <v>0</v>
      </c>
      <c r="Z61" s="70">
        <f>Y61*Valores!$C$2</f>
        <v>0</v>
      </c>
      <c r="AA61" s="70">
        <v>0</v>
      </c>
      <c r="AB61" s="80">
        <v>129.04</v>
      </c>
      <c r="AC61" s="70">
        <f t="shared" si="3"/>
        <v>0</v>
      </c>
      <c r="AD61" s="70">
        <v>129.04</v>
      </c>
      <c r="AE61" s="94">
        <v>0</v>
      </c>
      <c r="AF61" s="70">
        <f>INT(((AE61*Valores!$C$2)*100)+0.5)/100</f>
        <v>0</v>
      </c>
      <c r="AG61" s="70">
        <f>Valores!$C$49</f>
        <v>262.5</v>
      </c>
      <c r="AH61" s="70">
        <f>Valores!$C$50</f>
        <v>75</v>
      </c>
      <c r="AI61" s="45">
        <f t="shared" si="6"/>
        <v>37004.434000000001</v>
      </c>
      <c r="AJ61" s="72">
        <f>Valores!$C$6</f>
        <v>400</v>
      </c>
      <c r="AK61" s="46">
        <f t="shared" si="4"/>
        <v>400</v>
      </c>
      <c r="AL61" s="71">
        <f t="shared" si="5"/>
        <v>8911.0198199999995</v>
      </c>
      <c r="AM61" s="80">
        <v>110</v>
      </c>
      <c r="AN61" s="47"/>
      <c r="AO61" s="47">
        <v>30</v>
      </c>
      <c r="AP61" s="43" t="s">
        <v>465</v>
      </c>
    </row>
    <row r="62" spans="1:42" s="9" customFormat="1" ht="11.25" customHeight="1" x14ac:dyDescent="0.15">
      <c r="A62" s="9">
        <v>61</v>
      </c>
      <c r="D62" s="9" t="s">
        <v>107</v>
      </c>
      <c r="F62" s="10" t="s">
        <v>108</v>
      </c>
      <c r="G62" s="102">
        <v>81</v>
      </c>
      <c r="H62" s="7">
        <f>INT((G62*Valores!$C$2*100)+0.5)/100</f>
        <v>365.53</v>
      </c>
      <c r="I62" s="92">
        <v>2354</v>
      </c>
      <c r="J62" s="67">
        <f>INT((I62*Valores!$C$2*100)+0.5)/100</f>
        <v>10622.9</v>
      </c>
      <c r="K62" s="131">
        <v>0</v>
      </c>
      <c r="L62" s="67">
        <f>INT((K62*Valores!$C$2*100)+0.5)/100</f>
        <v>0</v>
      </c>
      <c r="M62" s="99">
        <v>0</v>
      </c>
      <c r="N62" s="67">
        <f>INT((M62*Valores!$C$2*100)+0.5)/100</f>
        <v>0</v>
      </c>
      <c r="O62" s="67">
        <f t="shared" si="0"/>
        <v>0</v>
      </c>
      <c r="P62" s="67">
        <f t="shared" si="1"/>
        <v>13786.116</v>
      </c>
      <c r="Q62" s="68">
        <f>Valores!$C$16</f>
        <v>2494</v>
      </c>
      <c r="R62" s="68">
        <f>Valores!$D$9</f>
        <v>2018.53</v>
      </c>
      <c r="S62" s="53">
        <f>Valores!$C$26</f>
        <v>2048</v>
      </c>
      <c r="T62" s="77">
        <f>Valores!$C$36</f>
        <v>500</v>
      </c>
      <c r="U62" s="67">
        <f>Valores!$C$23</f>
        <v>2079</v>
      </c>
      <c r="V62" s="67">
        <f t="shared" si="10"/>
        <v>4573.8</v>
      </c>
      <c r="W62" s="67">
        <v>0</v>
      </c>
      <c r="X62" s="67">
        <v>0</v>
      </c>
      <c r="Y62" s="95">
        <v>0</v>
      </c>
      <c r="Z62" s="67">
        <f>Y62*Valores!$C$2</f>
        <v>0</v>
      </c>
      <c r="AA62" s="67">
        <v>0</v>
      </c>
      <c r="AB62" s="79">
        <v>129.04</v>
      </c>
      <c r="AC62" s="67">
        <f t="shared" si="3"/>
        <v>0</v>
      </c>
      <c r="AD62" s="67">
        <v>129.04</v>
      </c>
      <c r="AE62" s="95">
        <v>94</v>
      </c>
      <c r="AF62" s="67">
        <f>INT(((AE62*Valores!$C$2)*100)+0.5)/100</f>
        <v>424.19</v>
      </c>
      <c r="AG62" s="67">
        <f>Valores!$C$49</f>
        <v>262.5</v>
      </c>
      <c r="AH62" s="67">
        <f>Valores!$C$50</f>
        <v>75</v>
      </c>
      <c r="AI62" s="15">
        <f t="shared" si="6"/>
        <v>37428.646000000008</v>
      </c>
      <c r="AJ62" s="69">
        <f>Valores!$C$6</f>
        <v>400</v>
      </c>
      <c r="AK62" s="12">
        <f t="shared" si="4"/>
        <v>400</v>
      </c>
      <c r="AL62" s="68">
        <f t="shared" si="5"/>
        <v>9008.5885800000015</v>
      </c>
      <c r="AM62" s="79">
        <v>110</v>
      </c>
      <c r="AN62" s="20"/>
      <c r="AO62" s="20">
        <v>25</v>
      </c>
      <c r="AP62" s="9" t="s">
        <v>465</v>
      </c>
    </row>
    <row r="63" spans="1:42" s="9" customFormat="1" ht="11.25" customHeight="1" x14ac:dyDescent="0.15">
      <c r="A63" s="9">
        <v>62</v>
      </c>
      <c r="D63" s="9" t="s">
        <v>109</v>
      </c>
      <c r="F63" s="10" t="s">
        <v>110</v>
      </c>
      <c r="G63" s="102">
        <v>81</v>
      </c>
      <c r="H63" s="7">
        <f>INT((G63*Valores!$C$2*100)+0.5)/100</f>
        <v>365.53</v>
      </c>
      <c r="I63" s="92">
        <v>2094</v>
      </c>
      <c r="J63" s="67">
        <f>INT((I63*Valores!$C$2*100)+0.5)/100</f>
        <v>9449.59</v>
      </c>
      <c r="K63" s="131">
        <v>0</v>
      </c>
      <c r="L63" s="67">
        <f>INT((K63*Valores!$C$2*100)+0.5)/100</f>
        <v>0</v>
      </c>
      <c r="M63" s="99">
        <v>0</v>
      </c>
      <c r="N63" s="67">
        <f>INT((M63*Valores!$C$2*100)+0.5)/100</f>
        <v>0</v>
      </c>
      <c r="O63" s="67">
        <f t="shared" si="0"/>
        <v>0</v>
      </c>
      <c r="P63" s="67">
        <f t="shared" si="1"/>
        <v>12378.144</v>
      </c>
      <c r="Q63" s="68">
        <f>Valores!$C$16</f>
        <v>2494</v>
      </c>
      <c r="R63" s="68">
        <f>Valores!$D$9</f>
        <v>2018.53</v>
      </c>
      <c r="S63" s="53">
        <f>Valores!$C$26</f>
        <v>2048</v>
      </c>
      <c r="T63" s="77">
        <f>Valores!$C$36</f>
        <v>500</v>
      </c>
      <c r="U63" s="67">
        <f>Valores!$C$23</f>
        <v>2079</v>
      </c>
      <c r="V63" s="67">
        <f t="shared" si="10"/>
        <v>4573.8</v>
      </c>
      <c r="W63" s="67">
        <v>0</v>
      </c>
      <c r="X63" s="67">
        <v>0</v>
      </c>
      <c r="Y63" s="95">
        <v>0</v>
      </c>
      <c r="Z63" s="67">
        <f>Y63*Valores!$C$2</f>
        <v>0</v>
      </c>
      <c r="AA63" s="67">
        <v>0</v>
      </c>
      <c r="AB63" s="79">
        <v>129.04</v>
      </c>
      <c r="AC63" s="67">
        <f t="shared" si="3"/>
        <v>0</v>
      </c>
      <c r="AD63" s="67">
        <v>129.04</v>
      </c>
      <c r="AE63" s="95">
        <v>0</v>
      </c>
      <c r="AF63" s="67">
        <f>INT(((AE63*Valores!$C$2)*100)+0.5)/100</f>
        <v>0</v>
      </c>
      <c r="AG63" s="67">
        <f>Valores!$C$49</f>
        <v>262.5</v>
      </c>
      <c r="AH63" s="67">
        <f>Valores!$C$50</f>
        <v>75</v>
      </c>
      <c r="AI63" s="15">
        <f t="shared" si="6"/>
        <v>34423.174000000006</v>
      </c>
      <c r="AJ63" s="69">
        <f>Valores!$C$6</f>
        <v>400</v>
      </c>
      <c r="AK63" s="12">
        <f t="shared" si="4"/>
        <v>400</v>
      </c>
      <c r="AL63" s="68">
        <f t="shared" si="5"/>
        <v>8317.3300200000012</v>
      </c>
      <c r="AM63" s="79">
        <v>110</v>
      </c>
      <c r="AN63" s="20"/>
      <c r="AO63" s="20">
        <v>30</v>
      </c>
      <c r="AP63" s="9" t="s">
        <v>465</v>
      </c>
    </row>
    <row r="64" spans="1:42" s="9" customFormat="1" ht="11.25" customHeight="1" x14ac:dyDescent="0.15">
      <c r="A64" s="9">
        <v>63</v>
      </c>
      <c r="D64" s="9" t="s">
        <v>111</v>
      </c>
      <c r="F64" s="10" t="s">
        <v>112</v>
      </c>
      <c r="G64" s="102">
        <v>80</v>
      </c>
      <c r="H64" s="7">
        <f>INT((G64*Valores!$C$2*100)+0.5)/100</f>
        <v>361.02</v>
      </c>
      <c r="I64" s="92">
        <v>2095</v>
      </c>
      <c r="J64" s="67">
        <f>INT((I64*Valores!$C$2*100)+0.5)/100</f>
        <v>9454.11</v>
      </c>
      <c r="K64" s="131">
        <v>0</v>
      </c>
      <c r="L64" s="67">
        <f>INT((K64*Valores!$C$2*100)+0.5)/100</f>
        <v>0</v>
      </c>
      <c r="M64" s="99">
        <v>0</v>
      </c>
      <c r="N64" s="67">
        <f>INT((M64*Valores!$C$2*100)+0.5)/100</f>
        <v>0</v>
      </c>
      <c r="O64" s="67">
        <f t="shared" si="0"/>
        <v>0</v>
      </c>
      <c r="P64" s="67">
        <f t="shared" si="1"/>
        <v>12378.156000000001</v>
      </c>
      <c r="Q64" s="68">
        <f>Valores!$C$16</f>
        <v>2494</v>
      </c>
      <c r="R64" s="68">
        <f>Valores!$D$9</f>
        <v>2018.53</v>
      </c>
      <c r="S64" s="67">
        <f>Valores!$C$26</f>
        <v>2048</v>
      </c>
      <c r="T64" s="69">
        <f>Valores!$C$36</f>
        <v>500</v>
      </c>
      <c r="U64" s="67">
        <f>Valores!$C$23</f>
        <v>2079</v>
      </c>
      <c r="V64" s="67">
        <f t="shared" si="10"/>
        <v>4573.8</v>
      </c>
      <c r="W64" s="67">
        <v>0</v>
      </c>
      <c r="X64" s="67">
        <v>0</v>
      </c>
      <c r="Y64" s="95">
        <v>0</v>
      </c>
      <c r="Z64" s="67">
        <f>Y64*Valores!$C$2</f>
        <v>0</v>
      </c>
      <c r="AA64" s="67">
        <v>0</v>
      </c>
      <c r="AB64" s="79">
        <v>129.04</v>
      </c>
      <c r="AC64" s="67">
        <f t="shared" si="3"/>
        <v>0</v>
      </c>
      <c r="AD64" s="67">
        <v>129.04</v>
      </c>
      <c r="AE64" s="95">
        <v>94</v>
      </c>
      <c r="AF64" s="67">
        <f>INT(((AE64*Valores!$C$2)*100)+0.5)/100</f>
        <v>424.19</v>
      </c>
      <c r="AG64" s="67">
        <f>Valores!$C$49</f>
        <v>262.5</v>
      </c>
      <c r="AH64" s="67">
        <f>Valores!$C$50</f>
        <v>75</v>
      </c>
      <c r="AI64" s="15">
        <f t="shared" si="6"/>
        <v>34847.386000000006</v>
      </c>
      <c r="AJ64" s="69">
        <f>Valores!$C$6</f>
        <v>400</v>
      </c>
      <c r="AK64" s="12">
        <f t="shared" si="4"/>
        <v>400</v>
      </c>
      <c r="AL64" s="68">
        <f t="shared" si="5"/>
        <v>8414.8987799999995</v>
      </c>
      <c r="AM64" s="79">
        <v>110</v>
      </c>
      <c r="AN64" s="20"/>
      <c r="AO64" s="20">
        <v>25</v>
      </c>
      <c r="AP64" s="9" t="s">
        <v>465</v>
      </c>
    </row>
    <row r="65" spans="1:42" s="9" customFormat="1" ht="11.25" customHeight="1" x14ac:dyDescent="0.15">
      <c r="A65" s="9">
        <v>64</v>
      </c>
      <c r="D65" s="9" t="s">
        <v>113</v>
      </c>
      <c r="F65" s="10" t="s">
        <v>114</v>
      </c>
      <c r="G65" s="102">
        <v>79</v>
      </c>
      <c r="H65" s="7">
        <f>INT((G65*Valores!$C$2*100)+0.5)/100</f>
        <v>356.5</v>
      </c>
      <c r="I65" s="92">
        <v>1944</v>
      </c>
      <c r="J65" s="67">
        <f>INT((I65*Valores!$C$2*100)+0.5)/100</f>
        <v>8772.69</v>
      </c>
      <c r="K65" s="131">
        <v>0</v>
      </c>
      <c r="L65" s="67">
        <f>INT((K65*Valores!$C$2*100)+0.5)/100</f>
        <v>0</v>
      </c>
      <c r="M65" s="99">
        <v>0</v>
      </c>
      <c r="N65" s="67">
        <f>INT((M65*Valores!$C$2*100)+0.5)/100</f>
        <v>0</v>
      </c>
      <c r="O65" s="67">
        <f t="shared" si="0"/>
        <v>0</v>
      </c>
      <c r="P65" s="67">
        <f t="shared" si="1"/>
        <v>11555.028</v>
      </c>
      <c r="Q65" s="68">
        <f>Valores!$C$16</f>
        <v>2494</v>
      </c>
      <c r="R65" s="68">
        <f>Valores!$D$9</f>
        <v>2018.53</v>
      </c>
      <c r="S65" s="53">
        <f>Valores!$C$26</f>
        <v>2048</v>
      </c>
      <c r="T65" s="77">
        <f>Valores!$C$36</f>
        <v>500</v>
      </c>
      <c r="U65" s="67">
        <f>Valores!$C$23</f>
        <v>2079</v>
      </c>
      <c r="V65" s="67">
        <f t="shared" si="10"/>
        <v>4573.8</v>
      </c>
      <c r="W65" s="67">
        <v>0</v>
      </c>
      <c r="X65" s="67">
        <v>0</v>
      </c>
      <c r="Y65" s="95">
        <v>0</v>
      </c>
      <c r="Z65" s="67">
        <f>Y65*Valores!$C$2</f>
        <v>0</v>
      </c>
      <c r="AA65" s="67">
        <v>0</v>
      </c>
      <c r="AB65" s="79">
        <v>129.04</v>
      </c>
      <c r="AC65" s="67">
        <f t="shared" si="3"/>
        <v>0</v>
      </c>
      <c r="AD65" s="67">
        <v>129.04</v>
      </c>
      <c r="AE65" s="95">
        <v>0</v>
      </c>
      <c r="AF65" s="67">
        <f>INT(((AE65*Valores!$C$2)*100)+0.5)/100</f>
        <v>0</v>
      </c>
      <c r="AG65" s="67">
        <f>Valores!$C$49</f>
        <v>262.5</v>
      </c>
      <c r="AH65" s="67">
        <f>Valores!$C$50</f>
        <v>75</v>
      </c>
      <c r="AI65" s="15">
        <f t="shared" si="6"/>
        <v>32914.127999999997</v>
      </c>
      <c r="AJ65" s="69">
        <f>Valores!$C$6</f>
        <v>400</v>
      </c>
      <c r="AK65" s="12">
        <f t="shared" si="4"/>
        <v>400</v>
      </c>
      <c r="AL65" s="68">
        <f t="shared" si="5"/>
        <v>7970.2494399999987</v>
      </c>
      <c r="AM65" s="79">
        <v>0</v>
      </c>
      <c r="AN65" s="20"/>
      <c r="AO65" s="20">
        <v>30</v>
      </c>
      <c r="AP65" s="9" t="s">
        <v>465</v>
      </c>
    </row>
    <row r="66" spans="1:42" s="9" customFormat="1" ht="11.25" customHeight="1" x14ac:dyDescent="0.15">
      <c r="A66" s="43">
        <v>65</v>
      </c>
      <c r="B66" s="43" t="s">
        <v>460</v>
      </c>
      <c r="C66" s="43"/>
      <c r="D66" s="43" t="s">
        <v>115</v>
      </c>
      <c r="E66" s="43"/>
      <c r="F66" s="44" t="s">
        <v>116</v>
      </c>
      <c r="G66" s="103">
        <v>79</v>
      </c>
      <c r="H66" s="110">
        <f>INT((G66*Valores!$C$2*100)+0.5)/100</f>
        <v>356.5</v>
      </c>
      <c r="I66" s="93">
        <v>1944</v>
      </c>
      <c r="J66" s="70">
        <f>INT((I66*Valores!$C$2*100)+0.5)/100</f>
        <v>8772.69</v>
      </c>
      <c r="K66" s="132">
        <v>0</v>
      </c>
      <c r="L66" s="70">
        <f>INT((K66*Valores!$C$2*100)+0.5)/100</f>
        <v>0</v>
      </c>
      <c r="M66" s="100">
        <v>0</v>
      </c>
      <c r="N66" s="70">
        <f>INT((M66*Valores!$C$2*100)+0.5)/100</f>
        <v>0</v>
      </c>
      <c r="O66" s="70">
        <f t="shared" si="0"/>
        <v>0</v>
      </c>
      <c r="P66" s="70">
        <f t="shared" si="1"/>
        <v>11555.028</v>
      </c>
      <c r="Q66" s="71">
        <f>Valores!$C$16</f>
        <v>2494</v>
      </c>
      <c r="R66" s="71">
        <f>Valores!$D$9</f>
        <v>2018.53</v>
      </c>
      <c r="S66" s="75">
        <f>Valores!$C$26</f>
        <v>2048</v>
      </c>
      <c r="T66" s="78">
        <f>Valores!$C$36</f>
        <v>500</v>
      </c>
      <c r="U66" s="70">
        <f>Valores!$C$23</f>
        <v>2079</v>
      </c>
      <c r="V66" s="70">
        <f t="shared" si="10"/>
        <v>4573.8</v>
      </c>
      <c r="W66" s="70">
        <v>0</v>
      </c>
      <c r="X66" s="70">
        <v>0</v>
      </c>
      <c r="Y66" s="94">
        <v>0</v>
      </c>
      <c r="Z66" s="70">
        <f>Y66*Valores!$C$2</f>
        <v>0</v>
      </c>
      <c r="AA66" s="70">
        <v>0</v>
      </c>
      <c r="AB66" s="80">
        <v>129.04</v>
      </c>
      <c r="AC66" s="70">
        <f t="shared" si="3"/>
        <v>0</v>
      </c>
      <c r="AD66" s="70">
        <v>129.04</v>
      </c>
      <c r="AE66" s="94">
        <v>94</v>
      </c>
      <c r="AF66" s="70">
        <f>INT(((AE66*Valores!$C$2)*100)+0.5)/100</f>
        <v>424.19</v>
      </c>
      <c r="AG66" s="70">
        <f>Valores!$C$49</f>
        <v>262.5</v>
      </c>
      <c r="AH66" s="70">
        <f>Valores!$C$50</f>
        <v>75</v>
      </c>
      <c r="AI66" s="45">
        <f t="shared" si="6"/>
        <v>33338.317999999999</v>
      </c>
      <c r="AJ66" s="72">
        <f>Valores!$C$6</f>
        <v>400</v>
      </c>
      <c r="AK66" s="46">
        <f t="shared" si="4"/>
        <v>400</v>
      </c>
      <c r="AL66" s="71">
        <f t="shared" si="5"/>
        <v>8067.8131399999993</v>
      </c>
      <c r="AM66" s="80">
        <v>0</v>
      </c>
      <c r="AN66" s="47"/>
      <c r="AO66" s="47">
        <v>25</v>
      </c>
      <c r="AP66" s="43" t="s">
        <v>464</v>
      </c>
    </row>
    <row r="67" spans="1:42" s="9" customFormat="1" ht="11.25" customHeight="1" x14ac:dyDescent="0.15">
      <c r="A67" s="9">
        <v>66</v>
      </c>
      <c r="D67" s="9" t="s">
        <v>117</v>
      </c>
      <c r="F67" s="10" t="s">
        <v>118</v>
      </c>
      <c r="G67" s="102">
        <v>100</v>
      </c>
      <c r="H67" s="7">
        <f>INT((G67*Valores!$C$2*100)+0.5)/100</f>
        <v>451.27</v>
      </c>
      <c r="I67" s="92">
        <v>2864</v>
      </c>
      <c r="J67" s="67">
        <f>INT((I67*Valores!$C$2*100)+0.5)/100</f>
        <v>12924.37</v>
      </c>
      <c r="K67" s="131">
        <v>0</v>
      </c>
      <c r="L67" s="67">
        <f>INT((K67*Valores!$C$2*100)+0.5)/100</f>
        <v>0</v>
      </c>
      <c r="M67" s="99">
        <v>0</v>
      </c>
      <c r="N67" s="67">
        <f>INT((M67*Valores!$C$2*100)+0.5)/100</f>
        <v>0</v>
      </c>
      <c r="O67" s="67">
        <f t="shared" si="0"/>
        <v>0</v>
      </c>
      <c r="P67" s="67">
        <f t="shared" si="1"/>
        <v>16650.768</v>
      </c>
      <c r="Q67" s="68">
        <f>Valores!$C$16</f>
        <v>2494</v>
      </c>
      <c r="R67" s="68">
        <f>Valores!$D$9</f>
        <v>2018.53</v>
      </c>
      <c r="S67" s="67">
        <v>0</v>
      </c>
      <c r="T67" s="69">
        <f>Valores!$C$36</f>
        <v>500</v>
      </c>
      <c r="U67" s="67">
        <f>Valores!$C$23</f>
        <v>2079</v>
      </c>
      <c r="V67" s="67">
        <f t="shared" si="10"/>
        <v>4573.8</v>
      </c>
      <c r="W67" s="67">
        <v>0</v>
      </c>
      <c r="X67" s="67">
        <v>0</v>
      </c>
      <c r="Y67" s="95">
        <v>0</v>
      </c>
      <c r="Z67" s="67">
        <f>Y67*Valores!$C$2</f>
        <v>0</v>
      </c>
      <c r="AA67" s="67">
        <v>0</v>
      </c>
      <c r="AB67" s="79">
        <v>129.04</v>
      </c>
      <c r="AC67" s="67">
        <f t="shared" si="3"/>
        <v>0</v>
      </c>
      <c r="AD67" s="67">
        <v>129.04</v>
      </c>
      <c r="AE67" s="95">
        <v>0</v>
      </c>
      <c r="AF67" s="67">
        <f>INT(((AE67*Valores!$C$2)*100)+0.5)/100</f>
        <v>0</v>
      </c>
      <c r="AG67" s="67">
        <f>Valores!$C$49</f>
        <v>262.5</v>
      </c>
      <c r="AH67" s="67">
        <f>Valores!$C$50</f>
        <v>75</v>
      </c>
      <c r="AI67" s="15">
        <f t="shared" si="6"/>
        <v>40208.318000000007</v>
      </c>
      <c r="AJ67" s="69">
        <f>Valores!$C$6</f>
        <v>400</v>
      </c>
      <c r="AK67" s="12">
        <f t="shared" si="4"/>
        <v>400</v>
      </c>
      <c r="AL67" s="68">
        <f t="shared" si="5"/>
        <v>9647.9131400000006</v>
      </c>
      <c r="AM67" s="79">
        <v>220</v>
      </c>
      <c r="AN67" s="20"/>
      <c r="AO67" s="20"/>
      <c r="AP67" s="9" t="s">
        <v>465</v>
      </c>
    </row>
    <row r="68" spans="1:42" s="9" customFormat="1" ht="11.25" customHeight="1" x14ac:dyDescent="0.15">
      <c r="A68" s="9">
        <v>67</v>
      </c>
      <c r="D68" s="9" t="s">
        <v>119</v>
      </c>
      <c r="F68" s="10" t="s">
        <v>120</v>
      </c>
      <c r="G68" s="102">
        <v>79</v>
      </c>
      <c r="H68" s="7">
        <f>INT((G68*Valores!$C$2*100)+0.5)/100</f>
        <v>356.5</v>
      </c>
      <c r="I68" s="92">
        <v>2161</v>
      </c>
      <c r="J68" s="67">
        <f>INT((I68*Valores!$C$2*100)+0.5)/100</f>
        <v>9751.94</v>
      </c>
      <c r="K68" s="131">
        <v>0</v>
      </c>
      <c r="L68" s="67">
        <f>INT((K68*Valores!$C$2*100)+0.5)/100</f>
        <v>0</v>
      </c>
      <c r="M68" s="99">
        <v>0</v>
      </c>
      <c r="N68" s="67">
        <f>INT((M68*Valores!$C$2*100)+0.5)/100</f>
        <v>0</v>
      </c>
      <c r="O68" s="67">
        <f t="shared" si="0"/>
        <v>0</v>
      </c>
      <c r="P68" s="67">
        <f t="shared" si="1"/>
        <v>12730.128000000001</v>
      </c>
      <c r="Q68" s="68">
        <f>Valores!$C$16</f>
        <v>2494</v>
      </c>
      <c r="R68" s="68">
        <f>Valores!$D$9</f>
        <v>2018.53</v>
      </c>
      <c r="S68" s="53">
        <f>Valores!$C$26</f>
        <v>2048</v>
      </c>
      <c r="T68" s="77">
        <f>Valores!$C$36</f>
        <v>500</v>
      </c>
      <c r="U68" s="67">
        <f>Valores!$C$23</f>
        <v>2079</v>
      </c>
      <c r="V68" s="67">
        <f t="shared" si="10"/>
        <v>4573.8</v>
      </c>
      <c r="W68" s="67">
        <v>0</v>
      </c>
      <c r="X68" s="67">
        <v>0</v>
      </c>
      <c r="Y68" s="95">
        <v>0</v>
      </c>
      <c r="Z68" s="67">
        <f>Y68*Valores!$C$2</f>
        <v>0</v>
      </c>
      <c r="AA68" s="67">
        <v>0</v>
      </c>
      <c r="AB68" s="79">
        <v>129.04</v>
      </c>
      <c r="AC68" s="67">
        <f t="shared" si="3"/>
        <v>0</v>
      </c>
      <c r="AD68" s="67">
        <v>129.04</v>
      </c>
      <c r="AE68" s="95">
        <v>0</v>
      </c>
      <c r="AF68" s="67">
        <f>INT(((AE68*Valores!$C$2)*100)+0.5)/100</f>
        <v>0</v>
      </c>
      <c r="AG68" s="67">
        <f>Valores!$C$49</f>
        <v>262.5</v>
      </c>
      <c r="AH68" s="67">
        <f>Valores!$C$50</f>
        <v>75</v>
      </c>
      <c r="AI68" s="15">
        <f t="shared" si="6"/>
        <v>35068.478000000003</v>
      </c>
      <c r="AJ68" s="69">
        <f>Valores!$C$6</f>
        <v>400</v>
      </c>
      <c r="AK68" s="12">
        <f t="shared" si="4"/>
        <v>400</v>
      </c>
      <c r="AL68" s="68">
        <f t="shared" si="5"/>
        <v>8465.7499399999997</v>
      </c>
      <c r="AM68" s="79">
        <v>0</v>
      </c>
      <c r="AN68" s="20"/>
      <c r="AO68" s="20">
        <v>30</v>
      </c>
      <c r="AP68" s="9" t="s">
        <v>465</v>
      </c>
    </row>
    <row r="69" spans="1:42" s="9" customFormat="1" ht="11.25" customHeight="1" x14ac:dyDescent="0.15">
      <c r="A69" s="9">
        <v>68</v>
      </c>
      <c r="D69" s="9" t="s">
        <v>121</v>
      </c>
      <c r="F69" s="10" t="s">
        <v>122</v>
      </c>
      <c r="G69" s="102">
        <v>90</v>
      </c>
      <c r="H69" s="7">
        <f>INT((G69*Valores!$C$2*100)+0.5)/100</f>
        <v>406.14</v>
      </c>
      <c r="I69" s="92">
        <v>3010</v>
      </c>
      <c r="J69" s="67">
        <f>INT((I69*Valores!$C$2*100)+0.5)/100</f>
        <v>13583.23</v>
      </c>
      <c r="K69" s="131">
        <v>0</v>
      </c>
      <c r="L69" s="67">
        <f>INT((K69*Valores!$C$2*100)+0.5)/100</f>
        <v>0</v>
      </c>
      <c r="M69" s="99">
        <v>0</v>
      </c>
      <c r="N69" s="67">
        <f>INT((M69*Valores!$C$2*100)+0.5)/100</f>
        <v>0</v>
      </c>
      <c r="O69" s="67">
        <f t="shared" si="0"/>
        <v>0</v>
      </c>
      <c r="P69" s="67">
        <f t="shared" si="1"/>
        <v>17687.243999999999</v>
      </c>
      <c r="Q69" s="68">
        <f>Valores!$C$16</f>
        <v>2494</v>
      </c>
      <c r="R69" s="68">
        <f>Valores!$D$9</f>
        <v>2018.53</v>
      </c>
      <c r="S69" s="67">
        <f>Valores!$C$26</f>
        <v>2048</v>
      </c>
      <c r="T69" s="69">
        <f>Valores!$C$37</f>
        <v>750</v>
      </c>
      <c r="U69" s="67">
        <f>Valores!$C$23</f>
        <v>2079</v>
      </c>
      <c r="V69" s="67">
        <f t="shared" si="10"/>
        <v>4573.8</v>
      </c>
      <c r="W69" s="67">
        <v>0</v>
      </c>
      <c r="X69" s="67">
        <v>0</v>
      </c>
      <c r="Y69" s="95">
        <v>0</v>
      </c>
      <c r="Z69" s="67">
        <f>Y69*Valores!$C$2</f>
        <v>0</v>
      </c>
      <c r="AA69" s="67">
        <v>0</v>
      </c>
      <c r="AB69" s="79">
        <v>129.04</v>
      </c>
      <c r="AC69" s="67">
        <f t="shared" si="3"/>
        <v>0</v>
      </c>
      <c r="AD69" s="67">
        <v>129.04</v>
      </c>
      <c r="AE69" s="95">
        <v>0</v>
      </c>
      <c r="AF69" s="67">
        <f>INT(((AE69*Valores!$C$2)*100)+0.5)/100</f>
        <v>0</v>
      </c>
      <c r="AG69" s="67">
        <f>Valores!$C$49</f>
        <v>262.5</v>
      </c>
      <c r="AH69" s="67">
        <f>Valores!$C$50</f>
        <v>75</v>
      </c>
      <c r="AI69" s="15">
        <f t="shared" si="6"/>
        <v>44156.524000000005</v>
      </c>
      <c r="AJ69" s="69">
        <f>Valores!$C$7</f>
        <v>600</v>
      </c>
      <c r="AK69" s="12">
        <f t="shared" si="4"/>
        <v>600</v>
      </c>
      <c r="AL69" s="68">
        <f t="shared" si="5"/>
        <v>10756.00052</v>
      </c>
      <c r="AM69" s="79">
        <v>220</v>
      </c>
      <c r="AN69" s="20"/>
      <c r="AO69" s="20"/>
      <c r="AP69" s="9" t="s">
        <v>465</v>
      </c>
    </row>
    <row r="70" spans="1:42" s="9" customFormat="1" ht="11.25" customHeight="1" x14ac:dyDescent="0.15">
      <c r="A70" s="9">
        <v>69</v>
      </c>
      <c r="D70" s="9" t="s">
        <v>123</v>
      </c>
      <c r="F70" s="10" t="s">
        <v>124</v>
      </c>
      <c r="G70" s="102">
        <v>78</v>
      </c>
      <c r="H70" s="7">
        <f>INT((G70*Valores!$C$2*100)+0.5)/100</f>
        <v>351.99</v>
      </c>
      <c r="I70" s="92">
        <v>2162</v>
      </c>
      <c r="J70" s="67">
        <f>INT((I70*Valores!$C$2*100)+0.5)/100</f>
        <v>9756.4599999999991</v>
      </c>
      <c r="K70" s="131">
        <v>0</v>
      </c>
      <c r="L70" s="67">
        <f>INT((K70*Valores!$C$2*100)+0.5)/100</f>
        <v>0</v>
      </c>
      <c r="M70" s="99">
        <v>0</v>
      </c>
      <c r="N70" s="67">
        <f>INT((M70*Valores!$C$2*100)+0.5)/100</f>
        <v>0</v>
      </c>
      <c r="O70" s="67">
        <f t="shared" si="0"/>
        <v>0</v>
      </c>
      <c r="P70" s="67">
        <f t="shared" si="1"/>
        <v>12730.139999999998</v>
      </c>
      <c r="Q70" s="68">
        <f>Valores!$C$16</f>
        <v>2494</v>
      </c>
      <c r="R70" s="68">
        <f>Valores!$D$9</f>
        <v>2018.53</v>
      </c>
      <c r="S70" s="53">
        <f>Valores!$C$26</f>
        <v>2048</v>
      </c>
      <c r="T70" s="77">
        <f>Valores!$C$36</f>
        <v>500</v>
      </c>
      <c r="U70" s="67">
        <f>Valores!$C$23</f>
        <v>2079</v>
      </c>
      <c r="V70" s="67">
        <f t="shared" si="10"/>
        <v>4573.8</v>
      </c>
      <c r="W70" s="67">
        <v>0</v>
      </c>
      <c r="X70" s="67">
        <v>0</v>
      </c>
      <c r="Y70" s="95">
        <v>0</v>
      </c>
      <c r="Z70" s="67">
        <f>Y70*Valores!$C$2</f>
        <v>0</v>
      </c>
      <c r="AA70" s="67">
        <v>0</v>
      </c>
      <c r="AB70" s="79">
        <v>129.04</v>
      </c>
      <c r="AC70" s="67">
        <f t="shared" si="3"/>
        <v>0</v>
      </c>
      <c r="AD70" s="67">
        <v>129.04</v>
      </c>
      <c r="AE70" s="95">
        <v>0</v>
      </c>
      <c r="AF70" s="67">
        <f>INT(((AE70*Valores!$C$2)*100)+0.5)/100</f>
        <v>0</v>
      </c>
      <c r="AG70" s="67">
        <f>Valores!$C$49</f>
        <v>262.5</v>
      </c>
      <c r="AH70" s="67">
        <f>Valores!$C$50</f>
        <v>75</v>
      </c>
      <c r="AI70" s="15">
        <f t="shared" si="6"/>
        <v>35068.5</v>
      </c>
      <c r="AJ70" s="69">
        <f>Valores!$C$6</f>
        <v>400</v>
      </c>
      <c r="AK70" s="12">
        <f t="shared" si="4"/>
        <v>400</v>
      </c>
      <c r="AL70" s="68">
        <f t="shared" si="5"/>
        <v>8465.7549999999992</v>
      </c>
      <c r="AM70" s="79">
        <v>0</v>
      </c>
      <c r="AN70" s="20"/>
      <c r="AO70" s="20">
        <v>25</v>
      </c>
      <c r="AP70" s="9" t="s">
        <v>465</v>
      </c>
    </row>
    <row r="71" spans="1:42" s="9" customFormat="1" ht="11.25" customHeight="1" x14ac:dyDescent="0.15">
      <c r="A71" s="43">
        <v>70</v>
      </c>
      <c r="B71" s="43" t="s">
        <v>460</v>
      </c>
      <c r="C71" s="43"/>
      <c r="D71" s="43" t="s">
        <v>125</v>
      </c>
      <c r="E71" s="43"/>
      <c r="F71" s="44" t="s">
        <v>126</v>
      </c>
      <c r="G71" s="103">
        <v>90</v>
      </c>
      <c r="H71" s="110">
        <f>INT((G71*Valores!$C$2*100)+0.5)/100</f>
        <v>406.14</v>
      </c>
      <c r="I71" s="93">
        <v>2800</v>
      </c>
      <c r="J71" s="70">
        <f>INT((I71*Valores!$C$2*100)+0.5)/100</f>
        <v>12635.56</v>
      </c>
      <c r="K71" s="132">
        <v>0</v>
      </c>
      <c r="L71" s="70">
        <f>INT((K71*Valores!$C$2*100)+0.5)/100</f>
        <v>0</v>
      </c>
      <c r="M71" s="100">
        <v>0</v>
      </c>
      <c r="N71" s="70">
        <f>INT((M71*Valores!$C$2*100)+0.5)/100</f>
        <v>0</v>
      </c>
      <c r="O71" s="70">
        <f t="shared" ref="O71:O137" si="11">IF($J$2=0,IF(D71&lt;&gt;"13-930",(SUM(H71,J71,L71,N71,Z71,U71,T71)*$O$2),0),0)</f>
        <v>0</v>
      </c>
      <c r="P71" s="70">
        <f t="shared" ref="P71:P137" si="12">SUM(H71,J71,L71,N71,Z71,T71)*$J$2</f>
        <v>16550.039999999997</v>
      </c>
      <c r="Q71" s="71">
        <f>Valores!$C$16</f>
        <v>2494</v>
      </c>
      <c r="R71" s="71">
        <f>Valores!$D$9</f>
        <v>2018.53</v>
      </c>
      <c r="S71" s="70">
        <v>0</v>
      </c>
      <c r="T71" s="72">
        <f>Valores!$C$37</f>
        <v>750</v>
      </c>
      <c r="U71" s="70">
        <f>Valores!$C$23</f>
        <v>2079</v>
      </c>
      <c r="V71" s="70">
        <f t="shared" si="10"/>
        <v>4573.8</v>
      </c>
      <c r="W71" s="70">
        <v>0</v>
      </c>
      <c r="X71" s="70">
        <v>0</v>
      </c>
      <c r="Y71" s="94">
        <v>0</v>
      </c>
      <c r="Z71" s="70">
        <f>Y71*Valores!$C$2</f>
        <v>0</v>
      </c>
      <c r="AA71" s="70">
        <v>0</v>
      </c>
      <c r="AB71" s="80">
        <v>129.04</v>
      </c>
      <c r="AC71" s="70">
        <f t="shared" ref="AC71:AC134" si="13">SUM(H71,J71,L71,Z71,T71,N71)*$H$3/100</f>
        <v>0</v>
      </c>
      <c r="AD71" s="70">
        <v>129.04</v>
      </c>
      <c r="AE71" s="94">
        <v>0</v>
      </c>
      <c r="AF71" s="70">
        <f>INT(((AE71*Valores!$C$2)*100)+0.5)/100</f>
        <v>0</v>
      </c>
      <c r="AG71" s="70">
        <f>Valores!$C$49</f>
        <v>262.5</v>
      </c>
      <c r="AH71" s="70">
        <f>Valores!$C$50</f>
        <v>75</v>
      </c>
      <c r="AI71" s="45">
        <f t="shared" si="6"/>
        <v>40023.65</v>
      </c>
      <c r="AJ71" s="72">
        <f>Valores!$C$7</f>
        <v>600</v>
      </c>
      <c r="AK71" s="46">
        <f t="shared" ref="AK71:AK134" si="14">SUM(AJ71:AJ71)</f>
        <v>600</v>
      </c>
      <c r="AL71" s="71">
        <f t="shared" ref="AL71:AL134" si="15">(AI71*(0.16+0.025+0.045)+AK71)</f>
        <v>9805.4395000000004</v>
      </c>
      <c r="AM71" s="80">
        <v>0</v>
      </c>
      <c r="AN71" s="47"/>
      <c r="AO71" s="47"/>
      <c r="AP71" s="43" t="s">
        <v>464</v>
      </c>
    </row>
    <row r="72" spans="1:42" s="9" customFormat="1" ht="11.25" customHeight="1" x14ac:dyDescent="0.15">
      <c r="A72" s="9">
        <v>71</v>
      </c>
      <c r="D72" s="9" t="s">
        <v>127</v>
      </c>
      <c r="F72" s="10" t="s">
        <v>128</v>
      </c>
      <c r="G72" s="102">
        <v>79</v>
      </c>
      <c r="H72" s="7">
        <f>INT((G72*Valores!$C$2*100)+0.5)/100</f>
        <v>356.5</v>
      </c>
      <c r="I72" s="92">
        <v>2161</v>
      </c>
      <c r="J72" s="67">
        <f>INT((I72*Valores!$C$2*100)+0.5)/100</f>
        <v>9751.94</v>
      </c>
      <c r="K72" s="131">
        <v>0</v>
      </c>
      <c r="L72" s="67">
        <f>INT((K72*Valores!$C$2*100)+0.5)/100</f>
        <v>0</v>
      </c>
      <c r="M72" s="99">
        <v>0</v>
      </c>
      <c r="N72" s="67">
        <f>INT((M72*Valores!$C$2*100)+0.5)/100</f>
        <v>0</v>
      </c>
      <c r="O72" s="67">
        <f t="shared" si="11"/>
        <v>0</v>
      </c>
      <c r="P72" s="67">
        <f t="shared" si="12"/>
        <v>12730.128000000001</v>
      </c>
      <c r="Q72" s="68">
        <f>Valores!$C$16</f>
        <v>2494</v>
      </c>
      <c r="R72" s="68">
        <f>Valores!$D$9</f>
        <v>2018.53</v>
      </c>
      <c r="S72" s="53">
        <f>Valores!$C$26</f>
        <v>2048</v>
      </c>
      <c r="T72" s="77">
        <f>Valores!$C$36</f>
        <v>500</v>
      </c>
      <c r="U72" s="67">
        <f>Valores!$C$23</f>
        <v>2079</v>
      </c>
      <c r="V72" s="67">
        <f t="shared" si="10"/>
        <v>4573.8</v>
      </c>
      <c r="W72" s="67">
        <v>0</v>
      </c>
      <c r="X72" s="67">
        <v>0</v>
      </c>
      <c r="Y72" s="95">
        <v>0</v>
      </c>
      <c r="Z72" s="67">
        <f>Y72*Valores!$C$2</f>
        <v>0</v>
      </c>
      <c r="AA72" s="67">
        <v>0</v>
      </c>
      <c r="AB72" s="79">
        <v>129.04</v>
      </c>
      <c r="AC72" s="67">
        <f t="shared" si="13"/>
        <v>0</v>
      </c>
      <c r="AD72" s="67">
        <v>129.04</v>
      </c>
      <c r="AE72" s="95">
        <v>0</v>
      </c>
      <c r="AF72" s="67">
        <f>INT(((AE72*Valores!$C$2)*100)+0.5)/100</f>
        <v>0</v>
      </c>
      <c r="AG72" s="67">
        <f>Valores!$C$49</f>
        <v>262.5</v>
      </c>
      <c r="AH72" s="67">
        <f>Valores!$C$50</f>
        <v>75</v>
      </c>
      <c r="AI72" s="15">
        <f t="shared" ref="AI72:AI135" si="16">SUM(H72,J72,L72,N72,O72,P72,Q72,R72,S72,V72,W72,X72,Z72,AA72,AB72,AC72,AD72,AF72,T72,AG72,AH72)</f>
        <v>35068.478000000003</v>
      </c>
      <c r="AJ72" s="69">
        <f>Valores!$C$6</f>
        <v>400</v>
      </c>
      <c r="AK72" s="12">
        <f t="shared" si="14"/>
        <v>400</v>
      </c>
      <c r="AL72" s="68">
        <f t="shared" si="15"/>
        <v>8465.7499399999997</v>
      </c>
      <c r="AM72" s="79">
        <v>0</v>
      </c>
      <c r="AN72" s="20"/>
      <c r="AO72" s="20">
        <v>30</v>
      </c>
      <c r="AP72" s="9" t="s">
        <v>465</v>
      </c>
    </row>
    <row r="73" spans="1:42" s="9" customFormat="1" ht="11.25" customHeight="1" x14ac:dyDescent="0.15">
      <c r="A73" s="9">
        <v>72</v>
      </c>
      <c r="D73" s="9" t="s">
        <v>129</v>
      </c>
      <c r="F73" s="10" t="s">
        <v>130</v>
      </c>
      <c r="G73" s="102">
        <v>90</v>
      </c>
      <c r="H73" s="7">
        <f>INT((G73*Valores!$C$2*100)+0.5)/100</f>
        <v>406.14</v>
      </c>
      <c r="I73" s="92">
        <v>2720</v>
      </c>
      <c r="J73" s="67">
        <f>INT((I73*Valores!$C$2*100)+0.5)/100</f>
        <v>12274.54</v>
      </c>
      <c r="K73" s="131">
        <v>0</v>
      </c>
      <c r="L73" s="67">
        <f>INT((K73*Valores!$C$2*100)+0.5)/100</f>
        <v>0</v>
      </c>
      <c r="M73" s="99">
        <v>0</v>
      </c>
      <c r="N73" s="67">
        <f>INT((M73*Valores!$C$2*100)+0.5)/100</f>
        <v>0</v>
      </c>
      <c r="O73" s="67">
        <f t="shared" si="11"/>
        <v>0</v>
      </c>
      <c r="P73" s="67">
        <f t="shared" si="12"/>
        <v>16116.815999999999</v>
      </c>
      <c r="Q73" s="68">
        <f>Valores!$C$16</f>
        <v>2494</v>
      </c>
      <c r="R73" s="68">
        <f>Valores!$D$9</f>
        <v>2018.53</v>
      </c>
      <c r="S73" s="67">
        <v>0</v>
      </c>
      <c r="T73" s="69">
        <f>Valores!$C$37</f>
        <v>750</v>
      </c>
      <c r="U73" s="67">
        <f>Valores!$C$23</f>
        <v>2079</v>
      </c>
      <c r="V73" s="67">
        <f t="shared" si="10"/>
        <v>4573.8</v>
      </c>
      <c r="W73" s="67">
        <v>0</v>
      </c>
      <c r="X73" s="67">
        <v>0</v>
      </c>
      <c r="Y73" s="95">
        <v>0</v>
      </c>
      <c r="Z73" s="67">
        <f>Y73*Valores!$C$2</f>
        <v>0</v>
      </c>
      <c r="AA73" s="67">
        <v>0</v>
      </c>
      <c r="AB73" s="79">
        <v>129.04</v>
      </c>
      <c r="AC73" s="67">
        <f t="shared" si="13"/>
        <v>0</v>
      </c>
      <c r="AD73" s="67">
        <v>129.04</v>
      </c>
      <c r="AE73" s="95">
        <v>0</v>
      </c>
      <c r="AF73" s="67">
        <f>INT(((AE73*Valores!$C$2)*100)+0.5)/100</f>
        <v>0</v>
      </c>
      <c r="AG73" s="67">
        <f>Valores!$C$49</f>
        <v>262.5</v>
      </c>
      <c r="AH73" s="67">
        <f>Valores!$C$50</f>
        <v>75</v>
      </c>
      <c r="AI73" s="15">
        <f t="shared" si="16"/>
        <v>39229.406000000003</v>
      </c>
      <c r="AJ73" s="69">
        <f>Valores!$C$7</f>
        <v>600</v>
      </c>
      <c r="AK73" s="12">
        <f t="shared" si="14"/>
        <v>600</v>
      </c>
      <c r="AL73" s="68">
        <f t="shared" si="15"/>
        <v>9622.7633800000003</v>
      </c>
      <c r="AM73" s="79">
        <v>0</v>
      </c>
      <c r="AN73" s="20"/>
      <c r="AO73" s="20"/>
      <c r="AP73" s="9" t="s">
        <v>464</v>
      </c>
    </row>
    <row r="74" spans="1:42" s="9" customFormat="1" ht="11.25" customHeight="1" x14ac:dyDescent="0.15">
      <c r="A74" s="9">
        <v>73</v>
      </c>
      <c r="D74" s="9" t="s">
        <v>131</v>
      </c>
      <c r="F74" s="10" t="s">
        <v>132</v>
      </c>
      <c r="G74" s="102">
        <v>78</v>
      </c>
      <c r="H74" s="7">
        <f>INT((G74*Valores!$C$2*100)+0.5)/100</f>
        <v>351.99</v>
      </c>
      <c r="I74" s="92">
        <v>1284</v>
      </c>
      <c r="J74" s="67">
        <f>INT((I74*Valores!$C$2*100)+0.5)/100</f>
        <v>5794.31</v>
      </c>
      <c r="K74" s="131">
        <v>0</v>
      </c>
      <c r="L74" s="67">
        <f>INT((K74*Valores!$C$2*100)+0.5)/100</f>
        <v>0</v>
      </c>
      <c r="M74" s="99">
        <v>0</v>
      </c>
      <c r="N74" s="67">
        <f>INT((M74*Valores!$C$2*100)+0.5)/100</f>
        <v>0</v>
      </c>
      <c r="O74" s="67">
        <f t="shared" si="11"/>
        <v>0</v>
      </c>
      <c r="P74" s="67">
        <f t="shared" si="12"/>
        <v>7975.5599999999995</v>
      </c>
      <c r="Q74" s="68">
        <f>Valores!$C$15</f>
        <v>2474</v>
      </c>
      <c r="R74" s="68">
        <f>Valores!$D$9</f>
        <v>2018.53</v>
      </c>
      <c r="S74" s="67">
        <f>Valores!$C$26</f>
        <v>2048</v>
      </c>
      <c r="T74" s="69">
        <f>Valores!$C$36</f>
        <v>500</v>
      </c>
      <c r="U74" s="53">
        <f>Valores!$C$24</f>
        <v>2049</v>
      </c>
      <c r="V74" s="67">
        <f t="shared" si="10"/>
        <v>4507.8</v>
      </c>
      <c r="W74" s="67">
        <v>0</v>
      </c>
      <c r="X74" s="67">
        <v>0</v>
      </c>
      <c r="Y74" s="95">
        <v>0</v>
      </c>
      <c r="Z74" s="67">
        <f>Y74*Valores!$C$2</f>
        <v>0</v>
      </c>
      <c r="AA74" s="67">
        <v>0</v>
      </c>
      <c r="AB74" s="79">
        <v>129.04</v>
      </c>
      <c r="AC74" s="67">
        <f t="shared" si="13"/>
        <v>0</v>
      </c>
      <c r="AD74" s="67">
        <v>129.04</v>
      </c>
      <c r="AE74" s="95">
        <v>0</v>
      </c>
      <c r="AF74" s="67">
        <f>INT(((AE74*Valores!$C$2)*100)+0.5)/100</f>
        <v>0</v>
      </c>
      <c r="AG74" s="67">
        <f>Valores!$C$49</f>
        <v>262.5</v>
      </c>
      <c r="AH74" s="67">
        <f>Valores!$C$50</f>
        <v>75</v>
      </c>
      <c r="AI74" s="15">
        <f t="shared" si="16"/>
        <v>26265.77</v>
      </c>
      <c r="AJ74" s="69">
        <f>Valores!$C$6</f>
        <v>400</v>
      </c>
      <c r="AK74" s="12">
        <f t="shared" si="14"/>
        <v>400</v>
      </c>
      <c r="AL74" s="68">
        <f t="shared" si="15"/>
        <v>6441.1270999999997</v>
      </c>
      <c r="AM74" s="79">
        <v>110</v>
      </c>
      <c r="AN74" s="20"/>
      <c r="AO74" s="20">
        <v>30</v>
      </c>
      <c r="AP74" s="9" t="s">
        <v>465</v>
      </c>
    </row>
    <row r="75" spans="1:42" s="9" customFormat="1" ht="11.25" customHeight="1" x14ac:dyDescent="0.15">
      <c r="A75" s="9">
        <v>74</v>
      </c>
      <c r="D75" s="9" t="s">
        <v>133</v>
      </c>
      <c r="F75" s="10" t="s">
        <v>134</v>
      </c>
      <c r="G75" s="102">
        <v>78</v>
      </c>
      <c r="H75" s="7">
        <f>INT((G75*Valores!$C$2*100)+0.5)/100</f>
        <v>351.99</v>
      </c>
      <c r="I75" s="92">
        <v>1284</v>
      </c>
      <c r="J75" s="67">
        <f>INT((I75*Valores!$C$2*100)+0.5)/100</f>
        <v>5794.31</v>
      </c>
      <c r="K75" s="131">
        <v>0</v>
      </c>
      <c r="L75" s="67">
        <f>INT((K75*Valores!$C$2*100)+0.5)/100</f>
        <v>0</v>
      </c>
      <c r="M75" s="99">
        <v>0</v>
      </c>
      <c r="N75" s="67">
        <f>INT((M75*Valores!$C$2*100)+0.5)/100</f>
        <v>0</v>
      </c>
      <c r="O75" s="67">
        <f t="shared" si="11"/>
        <v>0</v>
      </c>
      <c r="P75" s="67">
        <f t="shared" si="12"/>
        <v>7975.5599999999995</v>
      </c>
      <c r="Q75" s="68">
        <f>Valores!$C$15</f>
        <v>2474</v>
      </c>
      <c r="R75" s="68">
        <f>Valores!$D$9</f>
        <v>2018.53</v>
      </c>
      <c r="S75" s="53">
        <f>Valores!$C$26</f>
        <v>2048</v>
      </c>
      <c r="T75" s="77">
        <f>Valores!$C$36</f>
        <v>500</v>
      </c>
      <c r="U75" s="53">
        <f>Valores!$C$24</f>
        <v>2049</v>
      </c>
      <c r="V75" s="67">
        <f t="shared" si="10"/>
        <v>4507.8</v>
      </c>
      <c r="W75" s="67">
        <v>0</v>
      </c>
      <c r="X75" s="67">
        <v>0</v>
      </c>
      <c r="Y75" s="95">
        <v>0</v>
      </c>
      <c r="Z75" s="67">
        <f>Y75*Valores!$C$2</f>
        <v>0</v>
      </c>
      <c r="AA75" s="67">
        <v>0</v>
      </c>
      <c r="AB75" s="79">
        <v>129.04</v>
      </c>
      <c r="AC75" s="67">
        <f t="shared" si="13"/>
        <v>0</v>
      </c>
      <c r="AD75" s="67">
        <v>129.04</v>
      </c>
      <c r="AE75" s="95">
        <v>0</v>
      </c>
      <c r="AF75" s="67">
        <f>INT(((AE75*Valores!$C$2)*100)+0.5)/100</f>
        <v>0</v>
      </c>
      <c r="AG75" s="67">
        <f>Valores!$C$49</f>
        <v>262.5</v>
      </c>
      <c r="AH75" s="67">
        <f>Valores!$C$50</f>
        <v>75</v>
      </c>
      <c r="AI75" s="15">
        <f t="shared" si="16"/>
        <v>26265.77</v>
      </c>
      <c r="AJ75" s="69">
        <f>Valores!$C$6</f>
        <v>400</v>
      </c>
      <c r="AK75" s="12">
        <f t="shared" si="14"/>
        <v>400</v>
      </c>
      <c r="AL75" s="68">
        <f t="shared" si="15"/>
        <v>6441.1270999999997</v>
      </c>
      <c r="AM75" s="79">
        <v>0</v>
      </c>
      <c r="AN75" s="20"/>
      <c r="AO75" s="20"/>
      <c r="AP75" s="9" t="s">
        <v>464</v>
      </c>
    </row>
    <row r="76" spans="1:42" s="9" customFormat="1" ht="11.25" customHeight="1" x14ac:dyDescent="0.15">
      <c r="A76" s="43">
        <v>75</v>
      </c>
      <c r="B76" s="43" t="s">
        <v>460</v>
      </c>
      <c r="C76" s="43"/>
      <c r="D76" s="43" t="s">
        <v>135</v>
      </c>
      <c r="E76" s="43"/>
      <c r="F76" s="44" t="s">
        <v>136</v>
      </c>
      <c r="G76" s="103">
        <v>78</v>
      </c>
      <c r="H76" s="110">
        <f>INT((G76*Valores!$C$2*100)+0.5)/100</f>
        <v>351.99</v>
      </c>
      <c r="I76" s="93">
        <v>1284</v>
      </c>
      <c r="J76" s="70">
        <f>INT((I76*Valores!$C$2*100)+0.5)/100</f>
        <v>5794.31</v>
      </c>
      <c r="K76" s="132">
        <v>0</v>
      </c>
      <c r="L76" s="70">
        <f>INT((K76*Valores!$C$2*100)+0.5)/100</f>
        <v>0</v>
      </c>
      <c r="M76" s="100">
        <v>0</v>
      </c>
      <c r="N76" s="70">
        <f>INT((M76*Valores!$C$2*100)+0.5)/100</f>
        <v>0</v>
      </c>
      <c r="O76" s="70">
        <f t="shared" si="11"/>
        <v>0</v>
      </c>
      <c r="P76" s="70">
        <f t="shared" si="12"/>
        <v>7975.5599999999995</v>
      </c>
      <c r="Q76" s="71">
        <f>Valores!$C$21</f>
        <v>2324</v>
      </c>
      <c r="R76" s="71">
        <f>Valores!$D$9</f>
        <v>2018.53</v>
      </c>
      <c r="S76" s="75">
        <f>Valores!$C$26</f>
        <v>2048</v>
      </c>
      <c r="T76" s="78">
        <f>Valores!$C$36</f>
        <v>500</v>
      </c>
      <c r="U76" s="75">
        <v>0</v>
      </c>
      <c r="V76" s="70">
        <f t="shared" si="10"/>
        <v>0</v>
      </c>
      <c r="W76" s="70">
        <v>0</v>
      </c>
      <c r="X76" s="70">
        <v>0</v>
      </c>
      <c r="Y76" s="94">
        <v>0</v>
      </c>
      <c r="Z76" s="70">
        <f>Y76*Valores!$C$2</f>
        <v>0</v>
      </c>
      <c r="AA76" s="70">
        <v>0</v>
      </c>
      <c r="AB76" s="80">
        <v>129.04</v>
      </c>
      <c r="AC76" s="70">
        <f t="shared" si="13"/>
        <v>0</v>
      </c>
      <c r="AD76" s="70">
        <v>129.04</v>
      </c>
      <c r="AE76" s="94">
        <v>0</v>
      </c>
      <c r="AF76" s="70">
        <f>INT(((AE76*Valores!$C$2)*100)+0.5)/100</f>
        <v>0</v>
      </c>
      <c r="AG76" s="70">
        <f>Valores!$C$49</f>
        <v>262.5</v>
      </c>
      <c r="AH76" s="70">
        <f>Valores!$C$50</f>
        <v>75</v>
      </c>
      <c r="AI76" s="45">
        <f t="shared" si="16"/>
        <v>21607.97</v>
      </c>
      <c r="AJ76" s="72">
        <f>Valores!$C$6</f>
        <v>400</v>
      </c>
      <c r="AK76" s="46">
        <f t="shared" si="14"/>
        <v>400</v>
      </c>
      <c r="AL76" s="71">
        <f t="shared" si="15"/>
        <v>5369.8330999999998</v>
      </c>
      <c r="AM76" s="80">
        <v>0</v>
      </c>
      <c r="AN76" s="47"/>
      <c r="AO76" s="47"/>
      <c r="AP76" s="43" t="s">
        <v>464</v>
      </c>
    </row>
    <row r="77" spans="1:42" s="9" customFormat="1" ht="11.25" customHeight="1" x14ac:dyDescent="0.15">
      <c r="A77" s="9">
        <v>76</v>
      </c>
      <c r="D77" s="9" t="s">
        <v>137</v>
      </c>
      <c r="F77" s="10" t="s">
        <v>138</v>
      </c>
      <c r="G77" s="102">
        <v>82</v>
      </c>
      <c r="H77" s="7">
        <f>INT((G77*Valores!$C$2*100)+0.5)/100</f>
        <v>370.04</v>
      </c>
      <c r="I77" s="92">
        <v>2038</v>
      </c>
      <c r="J77" s="67">
        <f>INT((I77*Valores!$C$2*100)+0.5)/100</f>
        <v>9196.8799999999992</v>
      </c>
      <c r="K77" s="131">
        <v>0</v>
      </c>
      <c r="L77" s="67">
        <f>INT((K77*Valores!$C$2*100)+0.5)/100</f>
        <v>0</v>
      </c>
      <c r="M77" s="99">
        <v>0</v>
      </c>
      <c r="N77" s="67">
        <f>INT((M77*Valores!$C$2*100)+0.5)/100</f>
        <v>0</v>
      </c>
      <c r="O77" s="67">
        <f t="shared" si="11"/>
        <v>0</v>
      </c>
      <c r="P77" s="67">
        <f t="shared" si="12"/>
        <v>12080.304</v>
      </c>
      <c r="Q77" s="73">
        <f>Valores!$C$16</f>
        <v>2494</v>
      </c>
      <c r="R77" s="73">
        <f>Valores!$D$9</f>
        <v>2018.53</v>
      </c>
      <c r="S77" s="77">
        <f>Valores!$C$26</f>
        <v>2048</v>
      </c>
      <c r="T77" s="77">
        <f>Valores!$C$36</f>
        <v>500</v>
      </c>
      <c r="U77" s="69">
        <f>Valores!$C$23</f>
        <v>2079</v>
      </c>
      <c r="V77" s="67">
        <f t="shared" si="10"/>
        <v>4573.8</v>
      </c>
      <c r="W77" s="67">
        <v>0</v>
      </c>
      <c r="X77" s="67">
        <v>0</v>
      </c>
      <c r="Y77" s="95">
        <v>0</v>
      </c>
      <c r="Z77" s="67">
        <f>Y77*Valores!$C$2</f>
        <v>0</v>
      </c>
      <c r="AA77" s="67">
        <v>0</v>
      </c>
      <c r="AB77" s="79">
        <v>129.04</v>
      </c>
      <c r="AC77" s="67">
        <f t="shared" si="13"/>
        <v>0</v>
      </c>
      <c r="AD77" s="67">
        <v>129.04</v>
      </c>
      <c r="AE77" s="95">
        <v>0</v>
      </c>
      <c r="AF77" s="67">
        <f>INT(((AE77*Valores!$C$2)*100)+0.5)/100</f>
        <v>0</v>
      </c>
      <c r="AG77" s="67">
        <f>Valores!$C$49</f>
        <v>262.5</v>
      </c>
      <c r="AH77" s="67">
        <f>Valores!$C$50</f>
        <v>75</v>
      </c>
      <c r="AI77" s="15">
        <f t="shared" si="16"/>
        <v>33877.134000000005</v>
      </c>
      <c r="AJ77" s="69">
        <f>Valores!$C$6</f>
        <v>400</v>
      </c>
      <c r="AK77" s="12">
        <f t="shared" si="14"/>
        <v>400</v>
      </c>
      <c r="AL77" s="68">
        <f t="shared" si="15"/>
        <v>8191.7408200000009</v>
      </c>
      <c r="AM77" s="79">
        <v>110</v>
      </c>
      <c r="AN77" s="20"/>
      <c r="AO77" s="20">
        <v>25</v>
      </c>
      <c r="AP77" s="9" t="s">
        <v>465</v>
      </c>
    </row>
    <row r="78" spans="1:42" s="9" customFormat="1" ht="11.25" customHeight="1" x14ac:dyDescent="0.15">
      <c r="A78" s="9">
        <v>77</v>
      </c>
      <c r="D78" s="9" t="s">
        <v>139</v>
      </c>
      <c r="F78" s="10" t="s">
        <v>140</v>
      </c>
      <c r="G78" s="102">
        <v>78</v>
      </c>
      <c r="H78" s="7">
        <f>INT((G78*Valores!$C$2*100)+0.5)/100</f>
        <v>351.99</v>
      </c>
      <c r="I78" s="92">
        <v>2072</v>
      </c>
      <c r="J78" s="67">
        <f>INT((I78*Valores!$C$2*100)+0.5)/100</f>
        <v>9350.31</v>
      </c>
      <c r="K78" s="131">
        <v>0</v>
      </c>
      <c r="L78" s="67">
        <f>INT((K78*Valores!$C$2*100)+0.5)/100</f>
        <v>0</v>
      </c>
      <c r="M78" s="99">
        <v>0</v>
      </c>
      <c r="N78" s="67">
        <f>INT((M78*Valores!$C$2*100)+0.5)/100</f>
        <v>0</v>
      </c>
      <c r="O78" s="67">
        <f t="shared" si="11"/>
        <v>0</v>
      </c>
      <c r="P78" s="67">
        <f t="shared" si="12"/>
        <v>12242.759999999998</v>
      </c>
      <c r="Q78" s="73">
        <f>Valores!$C$16</f>
        <v>2494</v>
      </c>
      <c r="R78" s="73">
        <f>Valores!$D$9</f>
        <v>2018.53</v>
      </c>
      <c r="S78" s="77">
        <f>Valores!$C$26</f>
        <v>2048</v>
      </c>
      <c r="T78" s="77">
        <f>Valores!$C$36</f>
        <v>500</v>
      </c>
      <c r="U78" s="69">
        <f>Valores!$C$23</f>
        <v>2079</v>
      </c>
      <c r="V78" s="67">
        <f t="shared" si="10"/>
        <v>4573.8</v>
      </c>
      <c r="W78" s="67">
        <v>0</v>
      </c>
      <c r="X78" s="67">
        <v>0</v>
      </c>
      <c r="Y78" s="95">
        <v>0</v>
      </c>
      <c r="Z78" s="67">
        <f>Y78*Valores!$C$2</f>
        <v>0</v>
      </c>
      <c r="AA78" s="67">
        <v>0</v>
      </c>
      <c r="AB78" s="79">
        <v>129.04</v>
      </c>
      <c r="AC78" s="67">
        <f t="shared" si="13"/>
        <v>0</v>
      </c>
      <c r="AD78" s="67">
        <v>129.04</v>
      </c>
      <c r="AE78" s="95">
        <v>0</v>
      </c>
      <c r="AF78" s="67">
        <f>INT(((AE78*Valores!$C$2)*100)+0.5)/100</f>
        <v>0</v>
      </c>
      <c r="AG78" s="67">
        <f>Valores!$C$49</f>
        <v>262.5</v>
      </c>
      <c r="AH78" s="67">
        <f>Valores!$C$50</f>
        <v>75</v>
      </c>
      <c r="AI78" s="15">
        <f t="shared" si="16"/>
        <v>34174.97</v>
      </c>
      <c r="AJ78" s="69">
        <f>Valores!$C$6</f>
        <v>400</v>
      </c>
      <c r="AK78" s="12">
        <f t="shared" si="14"/>
        <v>400</v>
      </c>
      <c r="AL78" s="68">
        <f t="shared" si="15"/>
        <v>8260.2430999999997</v>
      </c>
      <c r="AM78" s="79">
        <v>0</v>
      </c>
      <c r="AN78" s="20"/>
      <c r="AO78" s="20">
        <v>30</v>
      </c>
      <c r="AP78" s="9" t="s">
        <v>465</v>
      </c>
    </row>
    <row r="79" spans="1:42" s="9" customFormat="1" ht="11.25" customHeight="1" x14ac:dyDescent="0.15">
      <c r="A79" s="9">
        <v>78</v>
      </c>
      <c r="D79" s="9" t="s">
        <v>141</v>
      </c>
      <c r="F79" s="10" t="s">
        <v>142</v>
      </c>
      <c r="G79" s="102">
        <v>78</v>
      </c>
      <c r="H79" s="7">
        <f>INT((G79*Valores!$C$2*100)+0.5)/100</f>
        <v>351.99</v>
      </c>
      <c r="I79" s="92">
        <v>1770</v>
      </c>
      <c r="J79" s="67">
        <f>INT((I79*Valores!$C$2*100)+0.5)/100</f>
        <v>7987.48</v>
      </c>
      <c r="K79" s="131">
        <v>0</v>
      </c>
      <c r="L79" s="67">
        <f>INT((K79*Valores!$C$2*100)+0.5)/100</f>
        <v>0</v>
      </c>
      <c r="M79" s="99">
        <v>0</v>
      </c>
      <c r="N79" s="67">
        <f>INT((M79*Valores!$C$2*100)+0.5)/100</f>
        <v>0</v>
      </c>
      <c r="O79" s="67">
        <f t="shared" si="11"/>
        <v>0</v>
      </c>
      <c r="P79" s="67">
        <f t="shared" si="12"/>
        <v>10607.364</v>
      </c>
      <c r="Q79" s="73">
        <f>Valores!$C$16</f>
        <v>2494</v>
      </c>
      <c r="R79" s="73">
        <f>Valores!$D$9</f>
        <v>2018.53</v>
      </c>
      <c r="S79" s="69">
        <f>Valores!$C$26</f>
        <v>2048</v>
      </c>
      <c r="T79" s="69">
        <f>Valores!$C$36</f>
        <v>500</v>
      </c>
      <c r="U79" s="69">
        <f>Valores!$C$23</f>
        <v>2079</v>
      </c>
      <c r="V79" s="67">
        <f t="shared" si="10"/>
        <v>4573.8</v>
      </c>
      <c r="W79" s="67">
        <v>0</v>
      </c>
      <c r="X79" s="67">
        <v>0</v>
      </c>
      <c r="Y79" s="95">
        <v>0</v>
      </c>
      <c r="Z79" s="67">
        <f>Y79*Valores!$C$2</f>
        <v>0</v>
      </c>
      <c r="AA79" s="67">
        <v>0</v>
      </c>
      <c r="AB79" s="79">
        <v>129.04</v>
      </c>
      <c r="AC79" s="67">
        <f t="shared" si="13"/>
        <v>0</v>
      </c>
      <c r="AD79" s="67">
        <v>129.04</v>
      </c>
      <c r="AE79" s="95">
        <v>0</v>
      </c>
      <c r="AF79" s="67">
        <f>INT(((AE79*Valores!$C$2)*100)+0.5)/100</f>
        <v>0</v>
      </c>
      <c r="AG79" s="67">
        <f>Valores!$C$49</f>
        <v>262.5</v>
      </c>
      <c r="AH79" s="67">
        <f>Valores!$C$50</f>
        <v>75</v>
      </c>
      <c r="AI79" s="15">
        <f t="shared" si="16"/>
        <v>31176.743999999999</v>
      </c>
      <c r="AJ79" s="69">
        <f>Valores!$C$6</f>
        <v>400</v>
      </c>
      <c r="AK79" s="12">
        <f t="shared" si="14"/>
        <v>400</v>
      </c>
      <c r="AL79" s="68">
        <f t="shared" si="15"/>
        <v>7570.6511199999995</v>
      </c>
      <c r="AM79" s="79">
        <v>0</v>
      </c>
      <c r="AN79" s="20"/>
      <c r="AO79" s="20"/>
      <c r="AP79" s="9" t="s">
        <v>465</v>
      </c>
    </row>
    <row r="80" spans="1:42" s="9" customFormat="1" ht="11.25" customHeight="1" x14ac:dyDescent="0.15">
      <c r="A80" s="9">
        <v>79</v>
      </c>
      <c r="D80" s="9" t="s">
        <v>143</v>
      </c>
      <c r="F80" s="10" t="s">
        <v>144</v>
      </c>
      <c r="G80" s="102">
        <v>77</v>
      </c>
      <c r="H80" s="7">
        <f>INT((G80*Valores!$C$2*100)+0.5)/100</f>
        <v>347.48</v>
      </c>
      <c r="I80" s="92">
        <v>2073</v>
      </c>
      <c r="J80" s="67">
        <f>INT((I80*Valores!$C$2*100)+0.5)/100</f>
        <v>9354.83</v>
      </c>
      <c r="K80" s="131">
        <v>0</v>
      </c>
      <c r="L80" s="67">
        <f>INT((K80*Valores!$C$2*100)+0.5)/100</f>
        <v>0</v>
      </c>
      <c r="M80" s="99">
        <v>0</v>
      </c>
      <c r="N80" s="67">
        <f>INT((M80*Valores!$C$2*100)+0.5)/100</f>
        <v>0</v>
      </c>
      <c r="O80" s="67">
        <f t="shared" si="11"/>
        <v>0</v>
      </c>
      <c r="P80" s="67">
        <f t="shared" si="12"/>
        <v>12242.771999999999</v>
      </c>
      <c r="Q80" s="73">
        <f>Valores!$C$16</f>
        <v>2494</v>
      </c>
      <c r="R80" s="73">
        <f>Valores!$D$9</f>
        <v>2018.53</v>
      </c>
      <c r="S80" s="77">
        <f>Valores!$C$26</f>
        <v>2048</v>
      </c>
      <c r="T80" s="77">
        <f>Valores!$C$36</f>
        <v>500</v>
      </c>
      <c r="U80" s="69">
        <f>Valores!$C$23</f>
        <v>2079</v>
      </c>
      <c r="V80" s="67">
        <f t="shared" si="10"/>
        <v>4573.8</v>
      </c>
      <c r="W80" s="67">
        <v>0</v>
      </c>
      <c r="X80" s="67">
        <v>0</v>
      </c>
      <c r="Y80" s="95">
        <v>0</v>
      </c>
      <c r="Z80" s="67">
        <f>Y80*Valores!$C$2</f>
        <v>0</v>
      </c>
      <c r="AA80" s="67">
        <v>0</v>
      </c>
      <c r="AB80" s="79">
        <v>129.04</v>
      </c>
      <c r="AC80" s="67">
        <f t="shared" si="13"/>
        <v>0</v>
      </c>
      <c r="AD80" s="67">
        <v>129.04</v>
      </c>
      <c r="AE80" s="95">
        <v>0</v>
      </c>
      <c r="AF80" s="67">
        <f>INT(((AE80*Valores!$C$2)*100)+0.5)/100</f>
        <v>0</v>
      </c>
      <c r="AG80" s="67">
        <f>Valores!$C$49</f>
        <v>262.5</v>
      </c>
      <c r="AH80" s="67">
        <f>Valores!$C$50</f>
        <v>75</v>
      </c>
      <c r="AI80" s="15">
        <f t="shared" si="16"/>
        <v>34174.991999999998</v>
      </c>
      <c r="AJ80" s="69">
        <f>Valores!$C$6</f>
        <v>400</v>
      </c>
      <c r="AK80" s="12">
        <f t="shared" si="14"/>
        <v>400</v>
      </c>
      <c r="AL80" s="68">
        <f t="shared" si="15"/>
        <v>8260.2481599999992</v>
      </c>
      <c r="AM80" s="79">
        <v>0</v>
      </c>
      <c r="AN80" s="20"/>
      <c r="AO80" s="20">
        <v>25</v>
      </c>
      <c r="AP80" s="9" t="s">
        <v>464</v>
      </c>
    </row>
    <row r="81" spans="1:42" s="9" customFormat="1" ht="11.25" customHeight="1" x14ac:dyDescent="0.15">
      <c r="A81" s="43">
        <v>80</v>
      </c>
      <c r="B81" s="43" t="s">
        <v>460</v>
      </c>
      <c r="C81" s="43"/>
      <c r="D81" s="43" t="s">
        <v>145</v>
      </c>
      <c r="E81" s="43"/>
      <c r="F81" s="44" t="s">
        <v>146</v>
      </c>
      <c r="G81" s="103">
        <v>76</v>
      </c>
      <c r="H81" s="110">
        <f>INT((G81*Valores!$C$2*100)+0.5)/100</f>
        <v>342.97</v>
      </c>
      <c r="I81" s="93">
        <v>1872</v>
      </c>
      <c r="J81" s="70">
        <f>INT((I81*Valores!$C$2*100)+0.5)/100</f>
        <v>8447.77</v>
      </c>
      <c r="K81" s="132">
        <v>0</v>
      </c>
      <c r="L81" s="70">
        <f>INT((K81*Valores!$C$2*100)+0.5)/100</f>
        <v>0</v>
      </c>
      <c r="M81" s="100">
        <v>0</v>
      </c>
      <c r="N81" s="70">
        <f>INT((M81*Valores!$C$2*100)+0.5)/100</f>
        <v>0</v>
      </c>
      <c r="O81" s="70">
        <f t="shared" si="11"/>
        <v>0</v>
      </c>
      <c r="P81" s="70">
        <f t="shared" si="12"/>
        <v>11148.887999999999</v>
      </c>
      <c r="Q81" s="74">
        <f>Valores!$C$16</f>
        <v>2494</v>
      </c>
      <c r="R81" s="74">
        <f>Valores!$D$9</f>
        <v>2018.53</v>
      </c>
      <c r="S81" s="72">
        <v>0</v>
      </c>
      <c r="T81" s="72">
        <f>Valores!$C$36</f>
        <v>500</v>
      </c>
      <c r="U81" s="72">
        <f>Valores!$C$23</f>
        <v>2079</v>
      </c>
      <c r="V81" s="70">
        <f t="shared" si="10"/>
        <v>4573.8</v>
      </c>
      <c r="W81" s="70">
        <v>0</v>
      </c>
      <c r="X81" s="70">
        <v>0</v>
      </c>
      <c r="Y81" s="94">
        <v>0</v>
      </c>
      <c r="Z81" s="70">
        <f>Y81*Valores!$C$2</f>
        <v>0</v>
      </c>
      <c r="AA81" s="70">
        <v>0</v>
      </c>
      <c r="AB81" s="80">
        <v>129.04</v>
      </c>
      <c r="AC81" s="70">
        <f t="shared" si="13"/>
        <v>0</v>
      </c>
      <c r="AD81" s="70">
        <v>129.04</v>
      </c>
      <c r="AE81" s="94">
        <v>0</v>
      </c>
      <c r="AF81" s="70">
        <f>INT(((AE81*Valores!$C$2)*100)+0.5)/100</f>
        <v>0</v>
      </c>
      <c r="AG81" s="70">
        <f>Valores!$C$49</f>
        <v>262.5</v>
      </c>
      <c r="AH81" s="70">
        <f>Valores!$C$50</f>
        <v>75</v>
      </c>
      <c r="AI81" s="45">
        <f t="shared" si="16"/>
        <v>30121.537999999997</v>
      </c>
      <c r="AJ81" s="72">
        <f>Valores!$C$6</f>
        <v>400</v>
      </c>
      <c r="AK81" s="46">
        <f t="shared" si="14"/>
        <v>400</v>
      </c>
      <c r="AL81" s="71">
        <f t="shared" si="15"/>
        <v>7327.953739999999</v>
      </c>
      <c r="AM81" s="80">
        <v>0</v>
      </c>
      <c r="AN81" s="47"/>
      <c r="AO81" s="47">
        <v>30</v>
      </c>
      <c r="AP81" s="43" t="s">
        <v>464</v>
      </c>
    </row>
    <row r="82" spans="1:42" s="9" customFormat="1" ht="11.25" customHeight="1" x14ac:dyDescent="0.15">
      <c r="A82" s="9">
        <v>81</v>
      </c>
      <c r="D82" s="9" t="s">
        <v>147</v>
      </c>
      <c r="F82" s="10" t="s">
        <v>148</v>
      </c>
      <c r="G82" s="102">
        <v>75</v>
      </c>
      <c r="H82" s="7">
        <f>INT((G82*Valores!$C$2*100)+0.5)/100</f>
        <v>338.45</v>
      </c>
      <c r="I82" s="92">
        <v>1873</v>
      </c>
      <c r="J82" s="67">
        <f>INT((I82*Valores!$C$2*100)+0.5)/100</f>
        <v>8452.2900000000009</v>
      </c>
      <c r="K82" s="131">
        <v>0</v>
      </c>
      <c r="L82" s="67">
        <f>INT((K82*Valores!$C$2*100)+0.5)/100</f>
        <v>0</v>
      </c>
      <c r="M82" s="99">
        <v>0</v>
      </c>
      <c r="N82" s="67">
        <f>INT((M82*Valores!$C$2*100)+0.5)/100</f>
        <v>0</v>
      </c>
      <c r="O82" s="67">
        <f t="shared" si="11"/>
        <v>0</v>
      </c>
      <c r="P82" s="67">
        <f t="shared" si="12"/>
        <v>11148.888000000001</v>
      </c>
      <c r="Q82" s="73">
        <f>Valores!$C$16</f>
        <v>2494</v>
      </c>
      <c r="R82" s="73">
        <f>Valores!$D$9</f>
        <v>2018.53</v>
      </c>
      <c r="S82" s="77">
        <f>Valores!$C$26</f>
        <v>2048</v>
      </c>
      <c r="T82" s="77">
        <f>Valores!$C$36</f>
        <v>500</v>
      </c>
      <c r="U82" s="69">
        <f>Valores!$C$23</f>
        <v>2079</v>
      </c>
      <c r="V82" s="67">
        <f t="shared" si="10"/>
        <v>4573.8</v>
      </c>
      <c r="W82" s="67">
        <v>0</v>
      </c>
      <c r="X82" s="67">
        <v>0</v>
      </c>
      <c r="Y82" s="95">
        <v>0</v>
      </c>
      <c r="Z82" s="67">
        <f>Y82*Valores!$C$2</f>
        <v>0</v>
      </c>
      <c r="AA82" s="67">
        <v>0</v>
      </c>
      <c r="AB82" s="79">
        <v>129.04</v>
      </c>
      <c r="AC82" s="67">
        <f t="shared" si="13"/>
        <v>0</v>
      </c>
      <c r="AD82" s="67">
        <v>129.04</v>
      </c>
      <c r="AE82" s="95">
        <v>0</v>
      </c>
      <c r="AF82" s="67">
        <f>INT(((AE82*Valores!$C$2)*100)+0.5)/100</f>
        <v>0</v>
      </c>
      <c r="AG82" s="67">
        <f>Valores!$C$49</f>
        <v>262.5</v>
      </c>
      <c r="AH82" s="67">
        <f>Valores!$C$50</f>
        <v>75</v>
      </c>
      <c r="AI82" s="15">
        <f t="shared" si="16"/>
        <v>32169.538000000004</v>
      </c>
      <c r="AJ82" s="69">
        <f>Valores!$C$6</f>
        <v>400</v>
      </c>
      <c r="AK82" s="12">
        <f t="shared" si="14"/>
        <v>400</v>
      </c>
      <c r="AL82" s="68">
        <f t="shared" si="15"/>
        <v>7798.9937400000008</v>
      </c>
      <c r="AM82" s="79">
        <v>110</v>
      </c>
      <c r="AN82" s="20"/>
      <c r="AO82" s="20">
        <v>25</v>
      </c>
      <c r="AP82" s="9" t="s">
        <v>465</v>
      </c>
    </row>
    <row r="83" spans="1:42" s="9" customFormat="1" ht="11.25" customHeight="1" x14ac:dyDescent="0.15">
      <c r="A83" s="9">
        <v>82</v>
      </c>
      <c r="D83" s="9" t="s">
        <v>149</v>
      </c>
      <c r="F83" s="10" t="s">
        <v>150</v>
      </c>
      <c r="G83" s="102">
        <v>76</v>
      </c>
      <c r="H83" s="7">
        <f>INT((G83*Valores!$C$2*100)+0.5)/100</f>
        <v>342.97</v>
      </c>
      <c r="I83" s="92">
        <v>1752</v>
      </c>
      <c r="J83" s="67">
        <f>INT((I83*Valores!$C$2*100)+0.5)/100</f>
        <v>7906.25</v>
      </c>
      <c r="K83" s="131">
        <v>0</v>
      </c>
      <c r="L83" s="67">
        <f>INT((K83*Valores!$C$2*100)+0.5)/100</f>
        <v>0</v>
      </c>
      <c r="M83" s="99">
        <v>0</v>
      </c>
      <c r="N83" s="67">
        <f>INT((M83*Valores!$C$2*100)+0.5)/100</f>
        <v>0</v>
      </c>
      <c r="O83" s="67">
        <f t="shared" si="11"/>
        <v>0</v>
      </c>
      <c r="P83" s="67">
        <f t="shared" si="12"/>
        <v>10499.063999999998</v>
      </c>
      <c r="Q83" s="73">
        <f>Valores!$C$15</f>
        <v>2474</v>
      </c>
      <c r="R83" s="73">
        <f>Valores!$D$9</f>
        <v>2018.53</v>
      </c>
      <c r="S83" s="77">
        <f>Valores!$C$26</f>
        <v>2048</v>
      </c>
      <c r="T83" s="77">
        <f>Valores!$C$36</f>
        <v>500</v>
      </c>
      <c r="U83" s="69">
        <f>Valores!$C$23</f>
        <v>2079</v>
      </c>
      <c r="V83" s="67">
        <f t="shared" si="10"/>
        <v>4573.8</v>
      </c>
      <c r="W83" s="67">
        <v>0</v>
      </c>
      <c r="X83" s="67">
        <v>0</v>
      </c>
      <c r="Y83" s="95">
        <v>0</v>
      </c>
      <c r="Z83" s="67">
        <f>Y83*Valores!$C$2</f>
        <v>0</v>
      </c>
      <c r="AA83" s="67">
        <v>0</v>
      </c>
      <c r="AB83" s="79">
        <v>129.04</v>
      </c>
      <c r="AC83" s="67">
        <f t="shared" si="13"/>
        <v>0</v>
      </c>
      <c r="AD83" s="67">
        <v>129.04</v>
      </c>
      <c r="AE83" s="95">
        <v>0</v>
      </c>
      <c r="AF83" s="67">
        <f>INT(((AE83*Valores!$C$2)*100)+0.5)/100</f>
        <v>0</v>
      </c>
      <c r="AG83" s="67">
        <f>Valores!$C$49</f>
        <v>262.5</v>
      </c>
      <c r="AH83" s="67">
        <f>Valores!$C$50</f>
        <v>75</v>
      </c>
      <c r="AI83" s="15">
        <f t="shared" si="16"/>
        <v>30958.194</v>
      </c>
      <c r="AJ83" s="69">
        <f>Valores!$C$6</f>
        <v>400</v>
      </c>
      <c r="AK83" s="12">
        <f t="shared" si="14"/>
        <v>400</v>
      </c>
      <c r="AL83" s="68">
        <f t="shared" si="15"/>
        <v>7520.3846199999989</v>
      </c>
      <c r="AM83" s="79">
        <v>0</v>
      </c>
      <c r="AN83" s="20"/>
      <c r="AO83" s="20">
        <v>25</v>
      </c>
      <c r="AP83" s="9" t="s">
        <v>465</v>
      </c>
    </row>
    <row r="84" spans="1:42" s="9" customFormat="1" ht="11.25" customHeight="1" x14ac:dyDescent="0.15">
      <c r="A84" s="9">
        <v>83</v>
      </c>
      <c r="D84" s="9" t="s">
        <v>151</v>
      </c>
      <c r="F84" s="10" t="s">
        <v>152</v>
      </c>
      <c r="G84" s="102">
        <v>78</v>
      </c>
      <c r="H84" s="7">
        <f>INT((G84*Valores!$C$2*100)+0.5)/100</f>
        <v>351.99</v>
      </c>
      <c r="I84" s="92">
        <v>1770</v>
      </c>
      <c r="J84" s="67">
        <f>INT((I84*Valores!$C$2*100)+0.5)/100</f>
        <v>7987.48</v>
      </c>
      <c r="K84" s="131">
        <v>0</v>
      </c>
      <c r="L84" s="67">
        <f>INT((K84*Valores!$C$2*100)+0.5)/100</f>
        <v>0</v>
      </c>
      <c r="M84" s="99">
        <v>0</v>
      </c>
      <c r="N84" s="67">
        <f>INT((M84*Valores!$C$2*100)+0.5)/100</f>
        <v>0</v>
      </c>
      <c r="O84" s="67">
        <f t="shared" si="11"/>
        <v>0</v>
      </c>
      <c r="P84" s="67">
        <f t="shared" si="12"/>
        <v>10532.364</v>
      </c>
      <c r="Q84" s="73">
        <f>Valores!$C$16</f>
        <v>2494</v>
      </c>
      <c r="R84" s="73">
        <f>Valores!$D$9</f>
        <v>2018.53</v>
      </c>
      <c r="S84" s="76">
        <f>Valores!$C$26</f>
        <v>2048</v>
      </c>
      <c r="T84" s="69">
        <f>Valores!$C$35</f>
        <v>437.5</v>
      </c>
      <c r="U84" s="77">
        <f>Valores!$C$23</f>
        <v>2079</v>
      </c>
      <c r="V84" s="67">
        <f t="shared" si="10"/>
        <v>4573.8</v>
      </c>
      <c r="W84" s="67">
        <v>0</v>
      </c>
      <c r="X84" s="67">
        <v>0</v>
      </c>
      <c r="Y84" s="95">
        <v>0</v>
      </c>
      <c r="Z84" s="67">
        <f>Y84*Valores!$C$2</f>
        <v>0</v>
      </c>
      <c r="AA84" s="67">
        <v>0</v>
      </c>
      <c r="AB84" s="79">
        <v>129.04</v>
      </c>
      <c r="AC84" s="67">
        <f t="shared" si="13"/>
        <v>0</v>
      </c>
      <c r="AD84" s="67">
        <v>129.04</v>
      </c>
      <c r="AE84" s="95">
        <v>0</v>
      </c>
      <c r="AF84" s="67">
        <f>INT(((AE84*Valores!$C$2)*100)+0.5)/100</f>
        <v>0</v>
      </c>
      <c r="AG84" s="67">
        <f>Valores!$C$49</f>
        <v>262.5</v>
      </c>
      <c r="AH84" s="67">
        <f>Valores!$C$50</f>
        <v>75</v>
      </c>
      <c r="AI84" s="15">
        <f t="shared" si="16"/>
        <v>31039.243999999999</v>
      </c>
      <c r="AJ84" s="69">
        <f>Valores!$C$5</f>
        <v>350</v>
      </c>
      <c r="AK84" s="12">
        <f t="shared" si="14"/>
        <v>350</v>
      </c>
      <c r="AL84" s="68">
        <f t="shared" si="15"/>
        <v>7489.0261199999995</v>
      </c>
      <c r="AM84" s="79">
        <v>110</v>
      </c>
      <c r="AN84" s="20"/>
      <c r="AO84" s="20">
        <v>27</v>
      </c>
      <c r="AP84" s="9" t="s">
        <v>465</v>
      </c>
    </row>
    <row r="85" spans="1:42" s="9" customFormat="1" ht="11.25" customHeight="1" x14ac:dyDescent="0.15">
      <c r="A85" s="9">
        <v>84</v>
      </c>
      <c r="D85" s="9" t="s">
        <v>153</v>
      </c>
      <c r="F85" s="10" t="s">
        <v>154</v>
      </c>
      <c r="G85" s="102">
        <v>76</v>
      </c>
      <c r="H85" s="7">
        <f>INT((G85*Valores!$C$2*100)+0.5)/100</f>
        <v>342.97</v>
      </c>
      <c r="I85" s="92">
        <v>1872</v>
      </c>
      <c r="J85" s="67">
        <f>INT((I85*Valores!$C$2*100)+0.5)/100</f>
        <v>8447.77</v>
      </c>
      <c r="K85" s="131">
        <v>0</v>
      </c>
      <c r="L85" s="67">
        <f>INT((K85*Valores!$C$2*100)+0.5)/100</f>
        <v>0</v>
      </c>
      <c r="M85" s="99">
        <v>0</v>
      </c>
      <c r="N85" s="67">
        <f>INT((M85*Valores!$C$2*100)+0.5)/100</f>
        <v>0</v>
      </c>
      <c r="O85" s="67">
        <f t="shared" si="11"/>
        <v>0</v>
      </c>
      <c r="P85" s="67">
        <f t="shared" si="12"/>
        <v>11073.887999999999</v>
      </c>
      <c r="Q85" s="73">
        <f>Valores!$C$16</f>
        <v>2494</v>
      </c>
      <c r="R85" s="73">
        <f>Valores!$D$9</f>
        <v>2018.53</v>
      </c>
      <c r="S85" s="69">
        <v>0</v>
      </c>
      <c r="T85" s="69">
        <f>Valores!$C$35</f>
        <v>437.5</v>
      </c>
      <c r="U85" s="77">
        <f>Valores!$C$23</f>
        <v>2079</v>
      </c>
      <c r="V85" s="67">
        <f t="shared" si="10"/>
        <v>4573.8</v>
      </c>
      <c r="W85" s="67">
        <v>0</v>
      </c>
      <c r="X85" s="67">
        <v>0</v>
      </c>
      <c r="Y85" s="95">
        <v>0</v>
      </c>
      <c r="Z85" s="67">
        <f>Y85*Valores!$C$2</f>
        <v>0</v>
      </c>
      <c r="AA85" s="67">
        <v>0</v>
      </c>
      <c r="AB85" s="79">
        <v>129.04</v>
      </c>
      <c r="AC85" s="67">
        <f t="shared" si="13"/>
        <v>0</v>
      </c>
      <c r="AD85" s="67">
        <v>129.04</v>
      </c>
      <c r="AE85" s="95">
        <v>0</v>
      </c>
      <c r="AF85" s="67">
        <f>INT(((AE85*Valores!$C$2)*100)+0.5)/100</f>
        <v>0</v>
      </c>
      <c r="AG85" s="67">
        <f>Valores!$C$49</f>
        <v>262.5</v>
      </c>
      <c r="AH85" s="67">
        <f>Valores!$C$50</f>
        <v>75</v>
      </c>
      <c r="AI85" s="15">
        <f t="shared" si="16"/>
        <v>29984.037999999997</v>
      </c>
      <c r="AJ85" s="69">
        <f>Valores!$C$5</f>
        <v>350</v>
      </c>
      <c r="AK85" s="12">
        <f t="shared" si="14"/>
        <v>350</v>
      </c>
      <c r="AL85" s="68">
        <f t="shared" si="15"/>
        <v>7246.328739999999</v>
      </c>
      <c r="AM85" s="79">
        <v>110</v>
      </c>
      <c r="AN85" s="20"/>
      <c r="AO85" s="20">
        <v>27</v>
      </c>
      <c r="AP85" s="9" t="s">
        <v>465</v>
      </c>
    </row>
    <row r="86" spans="1:42" s="9" customFormat="1" ht="11.25" customHeight="1" x14ac:dyDescent="0.15">
      <c r="A86" s="43">
        <v>85</v>
      </c>
      <c r="B86" s="43" t="s">
        <v>460</v>
      </c>
      <c r="C86" s="43"/>
      <c r="D86" s="43" t="s">
        <v>155</v>
      </c>
      <c r="E86" s="43"/>
      <c r="F86" s="44" t="s">
        <v>156</v>
      </c>
      <c r="G86" s="103">
        <v>169</v>
      </c>
      <c r="H86" s="110">
        <f>INT((G86*Valores!$C$2*100)+0.5)/100</f>
        <v>762.65</v>
      </c>
      <c r="I86" s="93">
        <f>1997</f>
        <v>1997</v>
      </c>
      <c r="J86" s="70">
        <f>INT((I86*Valores!$C$2*100)+0.5)/100</f>
        <v>9011.86</v>
      </c>
      <c r="K86" s="132">
        <v>0</v>
      </c>
      <c r="L86" s="70">
        <f>INT((K86*Valores!$C$2*100)+0.5)/100</f>
        <v>0</v>
      </c>
      <c r="M86" s="100">
        <v>0</v>
      </c>
      <c r="N86" s="70">
        <f>INT((M86*Valores!$C$2*100)+0.5)/100</f>
        <v>0</v>
      </c>
      <c r="O86" s="70">
        <f t="shared" si="11"/>
        <v>0</v>
      </c>
      <c r="P86" s="70">
        <f t="shared" si="12"/>
        <v>12329.412</v>
      </c>
      <c r="Q86" s="71">
        <f>Valores!$C$16</f>
        <v>2494</v>
      </c>
      <c r="R86" s="71">
        <f>Valores!$D$9</f>
        <v>2018.53</v>
      </c>
      <c r="S86" s="75">
        <f>Valores!$C$26</f>
        <v>2048</v>
      </c>
      <c r="T86" s="78">
        <f>Valores!$C$36</f>
        <v>500</v>
      </c>
      <c r="U86" s="70">
        <f>Valores!$C$23</f>
        <v>2079</v>
      </c>
      <c r="V86" s="70">
        <f t="shared" si="10"/>
        <v>4573.8</v>
      </c>
      <c r="W86" s="70">
        <v>0</v>
      </c>
      <c r="X86" s="70">
        <v>0</v>
      </c>
      <c r="Y86" s="94">
        <v>0</v>
      </c>
      <c r="Z86" s="70">
        <f>Y86*Valores!$C$2</f>
        <v>0</v>
      </c>
      <c r="AA86" s="70">
        <v>0</v>
      </c>
      <c r="AB86" s="80">
        <v>129.04</v>
      </c>
      <c r="AC86" s="70">
        <f t="shared" si="13"/>
        <v>0</v>
      </c>
      <c r="AD86" s="70">
        <v>129.04</v>
      </c>
      <c r="AE86" s="94">
        <v>0</v>
      </c>
      <c r="AF86" s="70">
        <f>INT(((AE86*Valores!$C$2)*100)+0.5)/100</f>
        <v>0</v>
      </c>
      <c r="AG86" s="70">
        <f>Valores!$C$49</f>
        <v>262.5</v>
      </c>
      <c r="AH86" s="70">
        <f>Valores!$C$50</f>
        <v>75</v>
      </c>
      <c r="AI86" s="45">
        <f t="shared" si="16"/>
        <v>34333.832000000002</v>
      </c>
      <c r="AJ86" s="72">
        <f>Valores!$C$6</f>
        <v>400</v>
      </c>
      <c r="AK86" s="46">
        <f t="shared" si="14"/>
        <v>400</v>
      </c>
      <c r="AL86" s="71">
        <f t="shared" si="15"/>
        <v>8296.7813600000009</v>
      </c>
      <c r="AM86" s="80">
        <v>0</v>
      </c>
      <c r="AN86" s="47"/>
      <c r="AO86" s="47">
        <v>25</v>
      </c>
      <c r="AP86" s="43" t="s">
        <v>464</v>
      </c>
    </row>
    <row r="87" spans="1:42" s="9" customFormat="1" ht="11.25" customHeight="1" x14ac:dyDescent="0.15">
      <c r="A87" s="9">
        <v>86</v>
      </c>
      <c r="D87" s="9" t="s">
        <v>157</v>
      </c>
      <c r="F87" s="10" t="s">
        <v>158</v>
      </c>
      <c r="G87" s="102">
        <v>218</v>
      </c>
      <c r="H87" s="7">
        <f>INT((G87*Valores!$C$2*100)+0.5)/100</f>
        <v>983.77</v>
      </c>
      <c r="I87" s="92">
        <f>1997</f>
        <v>1997</v>
      </c>
      <c r="J87" s="67">
        <f>INT((I87*Valores!$C$2*100)+0.5)/100</f>
        <v>9011.86</v>
      </c>
      <c r="K87" s="131">
        <v>0</v>
      </c>
      <c r="L87" s="67">
        <f>INT((K87*Valores!$C$2*100)+0.5)/100</f>
        <v>0</v>
      </c>
      <c r="M87" s="99">
        <v>0</v>
      </c>
      <c r="N87" s="67">
        <f>INT((M87*Valores!$C$2*100)+0.5)/100</f>
        <v>0</v>
      </c>
      <c r="O87" s="67">
        <f t="shared" si="11"/>
        <v>0</v>
      </c>
      <c r="P87" s="67">
        <f t="shared" si="12"/>
        <v>12594.756000000001</v>
      </c>
      <c r="Q87" s="68">
        <f>Valores!$C$16</f>
        <v>2494</v>
      </c>
      <c r="R87" s="68">
        <f>Valores!$D$9</f>
        <v>2018.53</v>
      </c>
      <c r="S87" s="53">
        <f>Valores!$C$26</f>
        <v>2048</v>
      </c>
      <c r="T87" s="77">
        <f>Valores!$C$36</f>
        <v>500</v>
      </c>
      <c r="U87" s="67">
        <f>Valores!$C$23</f>
        <v>2079</v>
      </c>
      <c r="V87" s="67">
        <f t="shared" si="10"/>
        <v>4573.8</v>
      </c>
      <c r="W87" s="67">
        <v>0</v>
      </c>
      <c r="X87" s="67">
        <v>0</v>
      </c>
      <c r="Y87" s="95">
        <v>0</v>
      </c>
      <c r="Z87" s="67">
        <f>Y87*Valores!$C$2</f>
        <v>0</v>
      </c>
      <c r="AA87" s="67">
        <v>0</v>
      </c>
      <c r="AB87" s="79">
        <v>129.04</v>
      </c>
      <c r="AC87" s="67">
        <f t="shared" si="13"/>
        <v>0</v>
      </c>
      <c r="AD87" s="67">
        <v>129.04</v>
      </c>
      <c r="AE87" s="95">
        <v>0</v>
      </c>
      <c r="AF87" s="67">
        <f>INT(((AE87*Valores!$C$2)*100)+0.5)/100</f>
        <v>0</v>
      </c>
      <c r="AG87" s="67">
        <f>Valores!$C$49</f>
        <v>262.5</v>
      </c>
      <c r="AH87" s="67">
        <f>Valores!$C$50</f>
        <v>75</v>
      </c>
      <c r="AI87" s="15">
        <f t="shared" si="16"/>
        <v>34820.296000000002</v>
      </c>
      <c r="AJ87" s="69">
        <f>Valores!$C$6</f>
        <v>400</v>
      </c>
      <c r="AK87" s="12">
        <f t="shared" si="14"/>
        <v>400</v>
      </c>
      <c r="AL87" s="68">
        <f t="shared" si="15"/>
        <v>8408.6680799999995</v>
      </c>
      <c r="AM87" s="79">
        <v>110</v>
      </c>
      <c r="AN87" s="20"/>
      <c r="AO87" s="20">
        <v>25</v>
      </c>
      <c r="AP87" s="9" t="s">
        <v>465</v>
      </c>
    </row>
    <row r="88" spans="1:42" s="9" customFormat="1" ht="11.25" customHeight="1" x14ac:dyDescent="0.15">
      <c r="A88" s="9">
        <v>87</v>
      </c>
      <c r="D88" s="9" t="s">
        <v>157</v>
      </c>
      <c r="F88" s="10" t="s">
        <v>498</v>
      </c>
      <c r="G88" s="102">
        <v>218</v>
      </c>
      <c r="H88" s="7">
        <f>INT((G88*Valores!$C$2*100)+0.5)/100</f>
        <v>983.77</v>
      </c>
      <c r="I88" s="92">
        <f>1997</f>
        <v>1997</v>
      </c>
      <c r="J88" s="67">
        <f>INT((I88*Valores!$C$2*100)+0.5)/100</f>
        <v>9011.86</v>
      </c>
      <c r="K88" s="131">
        <v>0</v>
      </c>
      <c r="L88" s="67">
        <f>INT((K88*Valores!$C$2*100)+0.5)/100</f>
        <v>0</v>
      </c>
      <c r="M88" s="99">
        <v>0</v>
      </c>
      <c r="N88" s="67">
        <f>INT((M88*Valores!$C$2*100)+0.5)/100</f>
        <v>0</v>
      </c>
      <c r="O88" s="67">
        <f>IF($J$2=0,IF(D88&lt;&gt;"13-930",(SUM(H88,J88,L88,N88,Z88,U88,T88)*$O$2),0),0)</f>
        <v>0</v>
      </c>
      <c r="P88" s="67">
        <f>SUM(H88,J88,L88,N88,Z88,T88)*$J$2</f>
        <v>12594.756000000001</v>
      </c>
      <c r="Q88" s="68">
        <f>Valores!$C$16</f>
        <v>2494</v>
      </c>
      <c r="R88" s="68">
        <f>Valores!$D$9</f>
        <v>2018.53</v>
      </c>
      <c r="S88" s="53">
        <f>Valores!$C$26</f>
        <v>2048</v>
      </c>
      <c r="T88" s="77">
        <f>Valores!$C$36</f>
        <v>500</v>
      </c>
      <c r="U88" s="67">
        <f>Valores!$C$23</f>
        <v>2079</v>
      </c>
      <c r="V88" s="67">
        <f>U88*(1+$J$2)</f>
        <v>4573.8</v>
      </c>
      <c r="W88" s="67">
        <v>0</v>
      </c>
      <c r="X88" s="67">
        <v>0</v>
      </c>
      <c r="Y88" s="95">
        <v>0</v>
      </c>
      <c r="Z88" s="67">
        <f>Y88*Valores!$C$2</f>
        <v>0</v>
      </c>
      <c r="AA88" s="67">
        <v>0</v>
      </c>
      <c r="AB88" s="79">
        <v>129.04</v>
      </c>
      <c r="AC88" s="67">
        <f t="shared" si="13"/>
        <v>0</v>
      </c>
      <c r="AD88" s="67">
        <v>129.04</v>
      </c>
      <c r="AE88" s="95">
        <v>19</v>
      </c>
      <c r="AF88" s="67">
        <f>INT(((AE88*Valores!$C$2)*100)+0.5)/100</f>
        <v>85.74</v>
      </c>
      <c r="AG88" s="67">
        <f>Valores!$C$49</f>
        <v>262.5</v>
      </c>
      <c r="AH88" s="67">
        <f>Valores!$C$50</f>
        <v>75</v>
      </c>
      <c r="AI88" s="15">
        <f t="shared" si="16"/>
        <v>34906.036</v>
      </c>
      <c r="AJ88" s="69">
        <f>Valores!$C$6</f>
        <v>400</v>
      </c>
      <c r="AK88" s="12">
        <f t="shared" si="14"/>
        <v>400</v>
      </c>
      <c r="AL88" s="68">
        <f t="shared" si="15"/>
        <v>8428.3882799999992</v>
      </c>
      <c r="AM88" s="79">
        <v>110</v>
      </c>
      <c r="AN88" s="20"/>
      <c r="AO88" s="20">
        <v>25</v>
      </c>
      <c r="AP88" s="9" t="s">
        <v>465</v>
      </c>
    </row>
    <row r="89" spans="1:42" s="9" customFormat="1" ht="11.25" customHeight="1" x14ac:dyDescent="0.15">
      <c r="A89" s="9">
        <v>88</v>
      </c>
      <c r="D89" s="9" t="s">
        <v>159</v>
      </c>
      <c r="F89" s="10" t="s">
        <v>160</v>
      </c>
      <c r="G89" s="102">
        <f>75+143</f>
        <v>218</v>
      </c>
      <c r="H89" s="7">
        <f>INT((G89*Valores!$C$2*100)+0.5)/100</f>
        <v>983.77</v>
      </c>
      <c r="I89" s="92">
        <v>1997</v>
      </c>
      <c r="J89" s="67">
        <f>INT((I89*Valores!$C$2*100)+0.5)/100</f>
        <v>9011.86</v>
      </c>
      <c r="K89" s="131">
        <v>0</v>
      </c>
      <c r="L89" s="67">
        <f>INT((K89*Valores!$C$2*100)+0.5)/100</f>
        <v>0</v>
      </c>
      <c r="M89" s="99">
        <v>0</v>
      </c>
      <c r="N89" s="67">
        <f>INT((M89*Valores!$C$2*100)+0.5)/100</f>
        <v>0</v>
      </c>
      <c r="O89" s="67">
        <f t="shared" si="11"/>
        <v>0</v>
      </c>
      <c r="P89" s="67">
        <f t="shared" si="12"/>
        <v>12294.756000000001</v>
      </c>
      <c r="Q89" s="68">
        <f>Valores!$C$16</f>
        <v>2494</v>
      </c>
      <c r="R89" s="68">
        <f>Valores!$D$9</f>
        <v>2018.53</v>
      </c>
      <c r="S89" s="67">
        <f>Valores!$C$26</f>
        <v>2048</v>
      </c>
      <c r="T89" s="69">
        <f>Valores!$C$36/2</f>
        <v>250</v>
      </c>
      <c r="U89" s="67">
        <f>Valores!$C$23</f>
        <v>2079</v>
      </c>
      <c r="V89" s="67">
        <f t="shared" si="10"/>
        <v>4573.8</v>
      </c>
      <c r="W89" s="67">
        <v>0</v>
      </c>
      <c r="X89" s="67">
        <v>0</v>
      </c>
      <c r="Y89" s="95">
        <v>0</v>
      </c>
      <c r="Z89" s="67">
        <f>Y89*Valores!$C$2</f>
        <v>0</v>
      </c>
      <c r="AA89" s="67">
        <v>0</v>
      </c>
      <c r="AB89" s="79">
        <v>129.04</v>
      </c>
      <c r="AC89" s="67">
        <f t="shared" si="13"/>
        <v>0</v>
      </c>
      <c r="AD89" s="67">
        <v>129.04</v>
      </c>
      <c r="AE89" s="95">
        <v>0</v>
      </c>
      <c r="AF89" s="67">
        <f>INT(((AE89*Valores!$C$2)*100)+0.5)/100</f>
        <v>0</v>
      </c>
      <c r="AG89" s="67">
        <f>Valores!$C$49</f>
        <v>262.5</v>
      </c>
      <c r="AH89" s="67">
        <f>Valores!$C$50</f>
        <v>75</v>
      </c>
      <c r="AI89" s="15">
        <f t="shared" si="16"/>
        <v>34270.296000000002</v>
      </c>
      <c r="AJ89" s="69">
        <f>Valores!$C$6/2</f>
        <v>200</v>
      </c>
      <c r="AK89" s="12">
        <f t="shared" si="14"/>
        <v>200</v>
      </c>
      <c r="AL89" s="68">
        <f t="shared" si="15"/>
        <v>8082.1680799999995</v>
      </c>
      <c r="AM89" s="79">
        <v>0</v>
      </c>
      <c r="AN89" s="20"/>
      <c r="AO89" s="20">
        <v>25</v>
      </c>
      <c r="AP89" s="9" t="s">
        <v>464</v>
      </c>
    </row>
    <row r="90" spans="1:42" s="9" customFormat="1" ht="11.25" customHeight="1" x14ac:dyDescent="0.15">
      <c r="A90" s="9">
        <v>89</v>
      </c>
      <c r="D90" s="9" t="s">
        <v>161</v>
      </c>
      <c r="F90" s="10" t="s">
        <v>162</v>
      </c>
      <c r="G90" s="102">
        <v>187</v>
      </c>
      <c r="H90" s="7">
        <f>INT((G90*Valores!$C$2*100)+0.5)/100</f>
        <v>843.87</v>
      </c>
      <c r="I90" s="92">
        <v>1704</v>
      </c>
      <c r="J90" s="67">
        <f>INT((I90*Valores!$C$2*100)+0.5)/100</f>
        <v>7689.64</v>
      </c>
      <c r="K90" s="131">
        <v>0</v>
      </c>
      <c r="L90" s="67">
        <f>INT((K90*Valores!$C$2*100)+0.5)/100</f>
        <v>0</v>
      </c>
      <c r="M90" s="99">
        <v>0</v>
      </c>
      <c r="N90" s="67">
        <f>INT((M90*Valores!$C$2*100)+0.5)/100</f>
        <v>0</v>
      </c>
      <c r="O90" s="67">
        <f t="shared" si="11"/>
        <v>0</v>
      </c>
      <c r="P90" s="67">
        <f t="shared" si="12"/>
        <v>10840.212</v>
      </c>
      <c r="Q90" s="68">
        <f>Valores!$C$16</f>
        <v>2494</v>
      </c>
      <c r="R90" s="68">
        <f>Valores!$D$9</f>
        <v>2018.53</v>
      </c>
      <c r="S90" s="67">
        <f>Valores!$C$26</f>
        <v>2048</v>
      </c>
      <c r="T90" s="69">
        <f>Valores!$C$36</f>
        <v>500</v>
      </c>
      <c r="U90" s="67">
        <f>Valores!$C$23</f>
        <v>2079</v>
      </c>
      <c r="V90" s="67">
        <f t="shared" si="10"/>
        <v>4573.8</v>
      </c>
      <c r="W90" s="67">
        <v>0</v>
      </c>
      <c r="X90" s="67">
        <v>0</v>
      </c>
      <c r="Y90" s="95">
        <v>0</v>
      </c>
      <c r="Z90" s="67">
        <f>Y90*Valores!$C$2</f>
        <v>0</v>
      </c>
      <c r="AA90" s="67">
        <v>0</v>
      </c>
      <c r="AB90" s="79">
        <v>129.04</v>
      </c>
      <c r="AC90" s="67">
        <f t="shared" si="13"/>
        <v>0</v>
      </c>
      <c r="AD90" s="67">
        <v>129.04</v>
      </c>
      <c r="AE90" s="95">
        <v>0</v>
      </c>
      <c r="AF90" s="67">
        <f>INT(((AE90*Valores!$C$2)*100)+0.5)/100</f>
        <v>0</v>
      </c>
      <c r="AG90" s="67">
        <f>Valores!$C$49</f>
        <v>262.5</v>
      </c>
      <c r="AH90" s="67">
        <f>Valores!$C$50</f>
        <v>75</v>
      </c>
      <c r="AI90" s="15">
        <f t="shared" si="16"/>
        <v>31603.632000000001</v>
      </c>
      <c r="AJ90" s="69">
        <f>Valores!$C$6</f>
        <v>400</v>
      </c>
      <c r="AK90" s="12">
        <f t="shared" si="14"/>
        <v>400</v>
      </c>
      <c r="AL90" s="68">
        <f t="shared" si="15"/>
        <v>7668.83536</v>
      </c>
      <c r="AM90" s="79">
        <v>110</v>
      </c>
      <c r="AN90" s="20"/>
      <c r="AO90" s="20">
        <v>25</v>
      </c>
      <c r="AP90" s="9" t="s">
        <v>465</v>
      </c>
    </row>
    <row r="91" spans="1:42" s="9" customFormat="1" ht="11.25" customHeight="1" x14ac:dyDescent="0.15">
      <c r="A91" s="43">
        <v>90</v>
      </c>
      <c r="B91" s="43" t="s">
        <v>460</v>
      </c>
      <c r="C91" s="43"/>
      <c r="D91" s="43" t="s">
        <v>161</v>
      </c>
      <c r="E91" s="43"/>
      <c r="F91" s="44" t="s">
        <v>499</v>
      </c>
      <c r="G91" s="103">
        <v>187</v>
      </c>
      <c r="H91" s="110">
        <f>INT((G91*Valores!$C$2*100)+0.5)/100</f>
        <v>843.87</v>
      </c>
      <c r="I91" s="93">
        <v>1704</v>
      </c>
      <c r="J91" s="70">
        <f>INT((I91*Valores!$C$2*100)+0.5)/100</f>
        <v>7689.64</v>
      </c>
      <c r="K91" s="132">
        <v>0</v>
      </c>
      <c r="L91" s="70">
        <f>INT((K91*Valores!$C$2*100)+0.5)/100</f>
        <v>0</v>
      </c>
      <c r="M91" s="100">
        <v>0</v>
      </c>
      <c r="N91" s="70">
        <f>INT((M91*Valores!$C$2*100)+0.5)/100</f>
        <v>0</v>
      </c>
      <c r="O91" s="70">
        <f>IF($J$2=0,IF(D91&lt;&gt;"13-930",(SUM(H91,J91,L91,N91,Z91,U91,T91)*$O$2),0),0)</f>
        <v>0</v>
      </c>
      <c r="P91" s="70">
        <f>SUM(H91,J91,L91,N91,Z91,T91)*$J$2</f>
        <v>10840.212</v>
      </c>
      <c r="Q91" s="71">
        <f>Valores!$C$16</f>
        <v>2494</v>
      </c>
      <c r="R91" s="71">
        <f>Valores!$D$9</f>
        <v>2018.53</v>
      </c>
      <c r="S91" s="70">
        <f>Valores!$C$26</f>
        <v>2048</v>
      </c>
      <c r="T91" s="72">
        <f>Valores!$C$36</f>
        <v>500</v>
      </c>
      <c r="U91" s="70">
        <f>Valores!$C$23</f>
        <v>2079</v>
      </c>
      <c r="V91" s="70">
        <f>U91*(1+$J$2)</f>
        <v>4573.8</v>
      </c>
      <c r="W91" s="70">
        <v>0</v>
      </c>
      <c r="X91" s="70">
        <v>0</v>
      </c>
      <c r="Y91" s="94">
        <v>0</v>
      </c>
      <c r="Z91" s="70">
        <f>Y91*Valores!$C$2</f>
        <v>0</v>
      </c>
      <c r="AA91" s="70">
        <v>0</v>
      </c>
      <c r="AB91" s="80">
        <v>129.04</v>
      </c>
      <c r="AC91" s="70">
        <f t="shared" si="13"/>
        <v>0</v>
      </c>
      <c r="AD91" s="70">
        <v>129.04</v>
      </c>
      <c r="AE91" s="94">
        <v>19</v>
      </c>
      <c r="AF91" s="70">
        <f>INT(((AE91*Valores!$C$2)*100)+0.5)/100</f>
        <v>85.74</v>
      </c>
      <c r="AG91" s="70">
        <f>Valores!$C$49</f>
        <v>262.5</v>
      </c>
      <c r="AH91" s="70">
        <f>Valores!$C$50</f>
        <v>75</v>
      </c>
      <c r="AI91" s="45">
        <f t="shared" si="16"/>
        <v>31689.372000000003</v>
      </c>
      <c r="AJ91" s="72">
        <f>Valores!$C$6</f>
        <v>400</v>
      </c>
      <c r="AK91" s="46">
        <f t="shared" si="14"/>
        <v>400</v>
      </c>
      <c r="AL91" s="71">
        <f t="shared" si="15"/>
        <v>7688.5555599999998</v>
      </c>
      <c r="AM91" s="80">
        <v>110</v>
      </c>
      <c r="AN91" s="47"/>
      <c r="AO91" s="20">
        <v>25</v>
      </c>
      <c r="AP91" s="43" t="s">
        <v>465</v>
      </c>
    </row>
    <row r="92" spans="1:42" s="9" customFormat="1" ht="11.25" customHeight="1" x14ac:dyDescent="0.15">
      <c r="A92" s="9">
        <v>91</v>
      </c>
      <c r="D92" s="9" t="s">
        <v>163</v>
      </c>
      <c r="F92" s="10" t="s">
        <v>164</v>
      </c>
      <c r="G92" s="102">
        <v>161</v>
      </c>
      <c r="H92" s="7">
        <f>INT((G92*Valores!$C$2*100)+0.5)/100</f>
        <v>726.54</v>
      </c>
      <c r="I92" s="92">
        <f>1480</f>
        <v>1480</v>
      </c>
      <c r="J92" s="67">
        <f>INT((I92*Valores!$C$2*100)+0.5)/100</f>
        <v>6678.8</v>
      </c>
      <c r="K92" s="131">
        <v>0</v>
      </c>
      <c r="L92" s="67">
        <f>INT((K92*Valores!$C$2*100)+0.5)/100</f>
        <v>0</v>
      </c>
      <c r="M92" s="99">
        <v>0</v>
      </c>
      <c r="N92" s="67">
        <f>INT((M92*Valores!$C$2*100)+0.5)/100</f>
        <v>0</v>
      </c>
      <c r="O92" s="67">
        <f t="shared" si="11"/>
        <v>0</v>
      </c>
      <c r="P92" s="67">
        <f t="shared" si="12"/>
        <v>9486.4079999999994</v>
      </c>
      <c r="Q92" s="68">
        <f>Valores!$C$16</f>
        <v>2494</v>
      </c>
      <c r="R92" s="68">
        <f>Valores!$D$9</f>
        <v>2018.53</v>
      </c>
      <c r="S92" s="53">
        <f>Valores!$C$26</f>
        <v>2048</v>
      </c>
      <c r="T92" s="77">
        <f>Valores!$C$36</f>
        <v>500</v>
      </c>
      <c r="U92" s="67">
        <f>Valores!$C$23</f>
        <v>2079</v>
      </c>
      <c r="V92" s="67">
        <f t="shared" si="10"/>
        <v>4573.8</v>
      </c>
      <c r="W92" s="67">
        <v>0</v>
      </c>
      <c r="X92" s="67">
        <v>0</v>
      </c>
      <c r="Y92" s="95">
        <v>0</v>
      </c>
      <c r="Z92" s="67">
        <f>Y92*Valores!$C$2</f>
        <v>0</v>
      </c>
      <c r="AA92" s="67">
        <v>0</v>
      </c>
      <c r="AB92" s="79">
        <v>129.04</v>
      </c>
      <c r="AC92" s="67">
        <f t="shared" si="13"/>
        <v>0</v>
      </c>
      <c r="AD92" s="67">
        <v>129.04</v>
      </c>
      <c r="AE92" s="95">
        <v>0</v>
      </c>
      <c r="AF92" s="67">
        <f>INT(((AE92*Valores!$C$2)*100)+0.5)/100</f>
        <v>0</v>
      </c>
      <c r="AG92" s="67">
        <f>Valores!$C$49</f>
        <v>262.5</v>
      </c>
      <c r="AH92" s="67">
        <f>Valores!$C$50</f>
        <v>75</v>
      </c>
      <c r="AI92" s="15">
        <f t="shared" si="16"/>
        <v>29121.657999999999</v>
      </c>
      <c r="AJ92" s="69">
        <f>Valores!$C$6</f>
        <v>400</v>
      </c>
      <c r="AK92" s="12">
        <f t="shared" si="14"/>
        <v>400</v>
      </c>
      <c r="AL92" s="68">
        <f t="shared" si="15"/>
        <v>7097.9813399999994</v>
      </c>
      <c r="AM92" s="79">
        <v>110</v>
      </c>
      <c r="AN92" s="20"/>
      <c r="AO92" s="20">
        <v>25</v>
      </c>
      <c r="AP92" s="9" t="s">
        <v>465</v>
      </c>
    </row>
    <row r="93" spans="1:42" s="9" customFormat="1" ht="11.25" customHeight="1" x14ac:dyDescent="0.15">
      <c r="A93" s="9">
        <v>92</v>
      </c>
      <c r="D93" s="9" t="s">
        <v>163</v>
      </c>
      <c r="F93" s="10" t="s">
        <v>500</v>
      </c>
      <c r="G93" s="102">
        <v>161</v>
      </c>
      <c r="H93" s="7">
        <f>INT((G93*Valores!$C$2*100)+0.5)/100</f>
        <v>726.54</v>
      </c>
      <c r="I93" s="92">
        <f>1480</f>
        <v>1480</v>
      </c>
      <c r="J93" s="67">
        <f>INT((I93*Valores!$C$2*100)+0.5)/100</f>
        <v>6678.8</v>
      </c>
      <c r="K93" s="131">
        <v>0</v>
      </c>
      <c r="L93" s="67">
        <f>INT((K93*Valores!$C$2*100)+0.5)/100</f>
        <v>0</v>
      </c>
      <c r="M93" s="99">
        <v>0</v>
      </c>
      <c r="N93" s="67">
        <f>INT((M93*Valores!$C$2*100)+0.5)/100</f>
        <v>0</v>
      </c>
      <c r="O93" s="67">
        <f>IF($J$2=0,IF(D93&lt;&gt;"13-930",(SUM(H93,J93,L93,N93,Z93,U93,T93)*$O$2),0),0)</f>
        <v>0</v>
      </c>
      <c r="P93" s="67">
        <f>SUM(H93,J93,L93,N93,Z93,T93)*$J$2</f>
        <v>9486.4079999999994</v>
      </c>
      <c r="Q93" s="68">
        <f>Valores!$C$16</f>
        <v>2494</v>
      </c>
      <c r="R93" s="68">
        <f>Valores!$D$9</f>
        <v>2018.53</v>
      </c>
      <c r="S93" s="53">
        <f>Valores!$C$26</f>
        <v>2048</v>
      </c>
      <c r="T93" s="77">
        <f>Valores!$C$36</f>
        <v>500</v>
      </c>
      <c r="U93" s="67">
        <f>Valores!$C$23</f>
        <v>2079</v>
      </c>
      <c r="V93" s="67">
        <f>U93*(1+$J$2)</f>
        <v>4573.8</v>
      </c>
      <c r="W93" s="67">
        <v>0</v>
      </c>
      <c r="X93" s="67">
        <v>0</v>
      </c>
      <c r="Y93" s="95">
        <v>0</v>
      </c>
      <c r="Z93" s="67">
        <f>Y93*Valores!$C$2</f>
        <v>0</v>
      </c>
      <c r="AA93" s="67">
        <v>0</v>
      </c>
      <c r="AB93" s="79">
        <v>129.04</v>
      </c>
      <c r="AC93" s="67">
        <f t="shared" si="13"/>
        <v>0</v>
      </c>
      <c r="AD93" s="67">
        <v>129.04</v>
      </c>
      <c r="AE93" s="95">
        <v>19</v>
      </c>
      <c r="AF93" s="67">
        <f>INT(((AE93*Valores!$C$2)*100)+0.5)/100</f>
        <v>85.74</v>
      </c>
      <c r="AG93" s="67">
        <f>Valores!$C$49</f>
        <v>262.5</v>
      </c>
      <c r="AH93" s="67">
        <f>Valores!$C$50</f>
        <v>75</v>
      </c>
      <c r="AI93" s="15">
        <f t="shared" si="16"/>
        <v>29207.398000000001</v>
      </c>
      <c r="AJ93" s="69">
        <f>Valores!$C$6</f>
        <v>400</v>
      </c>
      <c r="AK93" s="12">
        <f t="shared" si="14"/>
        <v>400</v>
      </c>
      <c r="AL93" s="68">
        <f t="shared" si="15"/>
        <v>7117.70154</v>
      </c>
      <c r="AM93" s="79">
        <v>110</v>
      </c>
      <c r="AN93" s="20"/>
      <c r="AO93" s="20">
        <v>25</v>
      </c>
      <c r="AP93" s="9" t="s">
        <v>465</v>
      </c>
    </row>
    <row r="94" spans="1:42" s="9" customFormat="1" ht="11.25" customHeight="1" x14ac:dyDescent="0.15">
      <c r="A94" s="9">
        <v>93</v>
      </c>
      <c r="D94" s="9" t="s">
        <v>165</v>
      </c>
      <c r="F94" s="10" t="s">
        <v>166</v>
      </c>
      <c r="G94" s="102">
        <v>179</v>
      </c>
      <c r="H94" s="7">
        <f>INT((G94*Valores!$C$2*100)+0.5)/100</f>
        <v>807.77</v>
      </c>
      <c r="I94" s="92">
        <v>1712</v>
      </c>
      <c r="J94" s="67">
        <f>INT((I94*Valores!$C$2*100)+0.5)/100</f>
        <v>7725.74</v>
      </c>
      <c r="K94" s="131">
        <v>0</v>
      </c>
      <c r="L94" s="67">
        <f>INT((K94*Valores!$C$2*100)+0.5)/100</f>
        <v>0</v>
      </c>
      <c r="M94" s="99">
        <v>0</v>
      </c>
      <c r="N94" s="67">
        <f>INT((M94*Valores!$C$2*100)+0.5)/100</f>
        <v>0</v>
      </c>
      <c r="O94" s="67">
        <f t="shared" si="11"/>
        <v>0</v>
      </c>
      <c r="P94" s="67">
        <f t="shared" si="12"/>
        <v>10840.212</v>
      </c>
      <c r="Q94" s="68">
        <f>Valores!$C$16</f>
        <v>2494</v>
      </c>
      <c r="R94" s="68">
        <f>Valores!$D$9</f>
        <v>2018.53</v>
      </c>
      <c r="S94" s="53">
        <f>Valores!$C$26</f>
        <v>2048</v>
      </c>
      <c r="T94" s="77">
        <f>Valores!$C$36</f>
        <v>500</v>
      </c>
      <c r="U94" s="67">
        <f>Valores!$C$23</f>
        <v>2079</v>
      </c>
      <c r="V94" s="67">
        <f t="shared" si="10"/>
        <v>4573.8</v>
      </c>
      <c r="W94" s="67">
        <v>0</v>
      </c>
      <c r="X94" s="67">
        <v>0</v>
      </c>
      <c r="Y94" s="95">
        <v>0</v>
      </c>
      <c r="Z94" s="67">
        <f>Y94*Valores!$C$2</f>
        <v>0</v>
      </c>
      <c r="AA94" s="67">
        <v>0</v>
      </c>
      <c r="AB94" s="79">
        <v>129.04</v>
      </c>
      <c r="AC94" s="67">
        <f t="shared" si="13"/>
        <v>0</v>
      </c>
      <c r="AD94" s="67">
        <v>129.04</v>
      </c>
      <c r="AE94" s="95">
        <v>0</v>
      </c>
      <c r="AF94" s="67">
        <f>INT(((AE94*Valores!$C$2)*100)+0.5)/100</f>
        <v>0</v>
      </c>
      <c r="AG94" s="67">
        <f>Valores!$C$49</f>
        <v>262.5</v>
      </c>
      <c r="AH94" s="67">
        <f>Valores!$C$50</f>
        <v>75</v>
      </c>
      <c r="AI94" s="15">
        <f t="shared" si="16"/>
        <v>31603.632000000001</v>
      </c>
      <c r="AJ94" s="69">
        <f>Valores!$C$6</f>
        <v>400</v>
      </c>
      <c r="AK94" s="12">
        <f t="shared" si="14"/>
        <v>400</v>
      </c>
      <c r="AL94" s="68">
        <f t="shared" si="15"/>
        <v>7668.83536</v>
      </c>
      <c r="AM94" s="79">
        <v>110</v>
      </c>
      <c r="AN94" s="20"/>
      <c r="AO94" s="47">
        <v>25</v>
      </c>
      <c r="AP94" s="9" t="s">
        <v>465</v>
      </c>
    </row>
    <row r="95" spans="1:42" s="9" customFormat="1" ht="11.25" customHeight="1" x14ac:dyDescent="0.15">
      <c r="A95" s="9">
        <v>94</v>
      </c>
      <c r="D95" s="9" t="s">
        <v>167</v>
      </c>
      <c r="F95" s="10" t="s">
        <v>168</v>
      </c>
      <c r="G95" s="102">
        <v>64</v>
      </c>
      <c r="H95" s="7">
        <f>INT((G95*Valores!$C$2*100)+0.5)/100</f>
        <v>288.81</v>
      </c>
      <c r="I95" s="92">
        <v>2086</v>
      </c>
      <c r="J95" s="67">
        <f>INT((I95*Valores!$C$2*100)+0.5)/100</f>
        <v>9413.49</v>
      </c>
      <c r="K95" s="131">
        <v>0</v>
      </c>
      <c r="L95" s="67">
        <f>INT((K95*Valores!$C$2*100)+0.5)/100</f>
        <v>0</v>
      </c>
      <c r="M95" s="99">
        <v>0</v>
      </c>
      <c r="N95" s="67">
        <f>INT((M95*Valores!$C$2*100)+0.5)/100</f>
        <v>0</v>
      </c>
      <c r="O95" s="67">
        <f t="shared" si="11"/>
        <v>0</v>
      </c>
      <c r="P95" s="67">
        <f t="shared" si="12"/>
        <v>12242.759999999998</v>
      </c>
      <c r="Q95" s="68">
        <f>Valores!$C$16</f>
        <v>2494</v>
      </c>
      <c r="R95" s="68">
        <f>Valores!$D$9</f>
        <v>2018.53</v>
      </c>
      <c r="S95" s="53">
        <f>Valores!$C$26</f>
        <v>2048</v>
      </c>
      <c r="T95" s="77">
        <f>Valores!$C$36</f>
        <v>500</v>
      </c>
      <c r="U95" s="67">
        <f>Valores!$C$23</f>
        <v>2079</v>
      </c>
      <c r="V95" s="67">
        <f t="shared" si="10"/>
        <v>4573.8</v>
      </c>
      <c r="W95" s="67">
        <v>0</v>
      </c>
      <c r="X95" s="67">
        <v>0</v>
      </c>
      <c r="Y95" s="95">
        <v>0</v>
      </c>
      <c r="Z95" s="67">
        <f>Y95*Valores!$C$2</f>
        <v>0</v>
      </c>
      <c r="AA95" s="67">
        <v>0</v>
      </c>
      <c r="AB95" s="79">
        <v>129.04</v>
      </c>
      <c r="AC95" s="67">
        <f t="shared" si="13"/>
        <v>0</v>
      </c>
      <c r="AD95" s="67">
        <v>129.04</v>
      </c>
      <c r="AE95" s="95">
        <v>0</v>
      </c>
      <c r="AF95" s="67">
        <f>INT(((AE95*Valores!$C$2)*100)+0.5)/100</f>
        <v>0</v>
      </c>
      <c r="AG95" s="67">
        <f>Valores!$C$49</f>
        <v>262.5</v>
      </c>
      <c r="AH95" s="67">
        <f>Valores!$C$50</f>
        <v>75</v>
      </c>
      <c r="AI95" s="15">
        <f t="shared" si="16"/>
        <v>34174.97</v>
      </c>
      <c r="AJ95" s="69">
        <f>Valores!$C$6</f>
        <v>400</v>
      </c>
      <c r="AK95" s="12">
        <f t="shared" si="14"/>
        <v>400</v>
      </c>
      <c r="AL95" s="68">
        <f t="shared" si="15"/>
        <v>8260.2430999999997</v>
      </c>
      <c r="AM95" s="79">
        <v>0</v>
      </c>
      <c r="AN95" s="20"/>
      <c r="AO95" s="20">
        <v>25</v>
      </c>
      <c r="AP95" s="9" t="s">
        <v>465</v>
      </c>
    </row>
    <row r="96" spans="1:42" s="9" customFormat="1" ht="11.25" customHeight="1" x14ac:dyDescent="0.15">
      <c r="A96" s="43">
        <v>95</v>
      </c>
      <c r="B96" s="43" t="s">
        <v>460</v>
      </c>
      <c r="C96" s="43"/>
      <c r="D96" s="43" t="s">
        <v>169</v>
      </c>
      <c r="E96" s="43"/>
      <c r="F96" s="44" t="s">
        <v>170</v>
      </c>
      <c r="G96" s="103">
        <v>89</v>
      </c>
      <c r="H96" s="110">
        <f>INT((G96*Valores!$C$2*100)+0.5)/100</f>
        <v>401.63</v>
      </c>
      <c r="I96" s="93">
        <v>2481</v>
      </c>
      <c r="J96" s="70">
        <f>INT((I96*Valores!$C$2*100)+0.5)/100</f>
        <v>11196.01</v>
      </c>
      <c r="K96" s="132">
        <v>0</v>
      </c>
      <c r="L96" s="70">
        <f>INT((K96*Valores!$C$2*100)+0.5)/100</f>
        <v>0</v>
      </c>
      <c r="M96" s="100">
        <v>0</v>
      </c>
      <c r="N96" s="70">
        <f>INT((M96*Valores!$C$2*100)+0.5)/100</f>
        <v>0</v>
      </c>
      <c r="O96" s="70">
        <f t="shared" si="11"/>
        <v>0</v>
      </c>
      <c r="P96" s="70">
        <f t="shared" si="12"/>
        <v>14517.168</v>
      </c>
      <c r="Q96" s="71">
        <f>Valores!$C$15</f>
        <v>2474</v>
      </c>
      <c r="R96" s="71">
        <f>Valores!$D$9</f>
        <v>2018.53</v>
      </c>
      <c r="S96" s="70">
        <v>0</v>
      </c>
      <c r="T96" s="72">
        <f>Valores!$C$36</f>
        <v>500</v>
      </c>
      <c r="U96" s="70">
        <f>Valores!$C$23</f>
        <v>2079</v>
      </c>
      <c r="V96" s="70">
        <f t="shared" si="10"/>
        <v>4573.8</v>
      </c>
      <c r="W96" s="70">
        <v>0</v>
      </c>
      <c r="X96" s="70">
        <v>0</v>
      </c>
      <c r="Y96" s="94">
        <v>0</v>
      </c>
      <c r="Z96" s="70">
        <f>Y96*Valores!$C$2</f>
        <v>0</v>
      </c>
      <c r="AA96" s="70">
        <v>0</v>
      </c>
      <c r="AB96" s="80">
        <v>129.04</v>
      </c>
      <c r="AC96" s="70">
        <f t="shared" si="13"/>
        <v>0</v>
      </c>
      <c r="AD96" s="70">
        <v>129.04</v>
      </c>
      <c r="AE96" s="94">
        <v>0</v>
      </c>
      <c r="AF96" s="70">
        <f>INT(((AE96*Valores!$C$2)*100)+0.5)/100</f>
        <v>0</v>
      </c>
      <c r="AG96" s="70">
        <f>Valores!$C$49</f>
        <v>262.5</v>
      </c>
      <c r="AH96" s="70">
        <f>Valores!$C$50</f>
        <v>75</v>
      </c>
      <c r="AI96" s="45">
        <f t="shared" si="16"/>
        <v>36276.718000000001</v>
      </c>
      <c r="AJ96" s="72">
        <f>Valores!$C$6</f>
        <v>400</v>
      </c>
      <c r="AK96" s="46">
        <f t="shared" si="14"/>
        <v>400</v>
      </c>
      <c r="AL96" s="71">
        <f t="shared" si="15"/>
        <v>8743.6451399999987</v>
      </c>
      <c r="AM96" s="80">
        <v>0</v>
      </c>
      <c r="AN96" s="47"/>
      <c r="AO96" s="20">
        <v>25</v>
      </c>
      <c r="AP96" s="43" t="s">
        <v>464</v>
      </c>
    </row>
    <row r="97" spans="1:42" s="9" customFormat="1" ht="11.25" customHeight="1" x14ac:dyDescent="0.15">
      <c r="A97" s="9">
        <v>96</v>
      </c>
      <c r="D97" s="9" t="s">
        <v>171</v>
      </c>
      <c r="F97" s="10" t="s">
        <v>172</v>
      </c>
      <c r="G97" s="102">
        <v>89</v>
      </c>
      <c r="H97" s="7">
        <f>INT((G97*Valores!$C$2*100)+0.5)/100</f>
        <v>401.63</v>
      </c>
      <c r="I97" s="92">
        <v>2381</v>
      </c>
      <c r="J97" s="67">
        <f>INT((I97*Valores!$C$2*100)+0.5)/100</f>
        <v>10744.74</v>
      </c>
      <c r="K97" s="131">
        <v>0</v>
      </c>
      <c r="L97" s="67">
        <f>INT((K97*Valores!$C$2*100)+0.5)/100</f>
        <v>0</v>
      </c>
      <c r="M97" s="99">
        <v>0</v>
      </c>
      <c r="N97" s="67">
        <f>INT((M97*Valores!$C$2*100)+0.5)/100</f>
        <v>0</v>
      </c>
      <c r="O97" s="67">
        <f t="shared" si="11"/>
        <v>0</v>
      </c>
      <c r="P97" s="67">
        <f t="shared" si="12"/>
        <v>13975.643999999998</v>
      </c>
      <c r="Q97" s="68">
        <f>Valores!$C$21</f>
        <v>2324</v>
      </c>
      <c r="R97" s="68">
        <f>Valores!$D$9</f>
        <v>2018.53</v>
      </c>
      <c r="S97" s="67">
        <f>Valores!$C$26</f>
        <v>2048</v>
      </c>
      <c r="T97" s="69">
        <f>Valores!$C$36</f>
        <v>500</v>
      </c>
      <c r="U97" s="67">
        <f>Valores!$C$23</f>
        <v>2079</v>
      </c>
      <c r="V97" s="67">
        <f t="shared" si="10"/>
        <v>4573.8</v>
      </c>
      <c r="W97" s="67">
        <v>0</v>
      </c>
      <c r="X97" s="67">
        <v>0</v>
      </c>
      <c r="Y97" s="95">
        <v>0</v>
      </c>
      <c r="Z97" s="67">
        <f>Y97*Valores!$C$2</f>
        <v>0</v>
      </c>
      <c r="AA97" s="67">
        <v>0</v>
      </c>
      <c r="AB97" s="79">
        <v>129.04</v>
      </c>
      <c r="AC97" s="67">
        <f t="shared" si="13"/>
        <v>0</v>
      </c>
      <c r="AD97" s="67">
        <v>129.04</v>
      </c>
      <c r="AE97" s="95">
        <v>0</v>
      </c>
      <c r="AF97" s="67">
        <f>INT(((AE97*Valores!$C$2)*100)+0.5)/100</f>
        <v>0</v>
      </c>
      <c r="AG97" s="67">
        <f>Valores!$C$49</f>
        <v>262.5</v>
      </c>
      <c r="AH97" s="67">
        <f>Valores!$C$50</f>
        <v>75</v>
      </c>
      <c r="AI97" s="15">
        <f t="shared" si="16"/>
        <v>37181.923999999999</v>
      </c>
      <c r="AJ97" s="69">
        <f>Valores!$C$6</f>
        <v>400</v>
      </c>
      <c r="AK97" s="12">
        <f t="shared" si="14"/>
        <v>400</v>
      </c>
      <c r="AL97" s="68">
        <f t="shared" si="15"/>
        <v>8951.8425199999983</v>
      </c>
      <c r="AM97" s="79">
        <v>0</v>
      </c>
      <c r="AN97" s="20"/>
      <c r="AO97" s="20">
        <v>25</v>
      </c>
      <c r="AP97" s="9" t="s">
        <v>465</v>
      </c>
    </row>
    <row r="98" spans="1:42" s="9" customFormat="1" ht="11.25" customHeight="1" x14ac:dyDescent="0.15">
      <c r="A98" s="9">
        <v>97</v>
      </c>
      <c r="D98" s="9" t="s">
        <v>173</v>
      </c>
      <c r="F98" s="10" t="s">
        <v>174</v>
      </c>
      <c r="G98" s="102">
        <v>89</v>
      </c>
      <c r="H98" s="7">
        <f>INT((G98*Valores!$C$2*100)+0.5)/100</f>
        <v>401.63</v>
      </c>
      <c r="I98" s="92">
        <v>1768</v>
      </c>
      <c r="J98" s="67">
        <f>INT((I98*Valores!$C$2*100)+0.5)/100</f>
        <v>7978.45</v>
      </c>
      <c r="K98" s="131">
        <v>0</v>
      </c>
      <c r="L98" s="67">
        <f>INT((K98*Valores!$C$2*100)+0.5)/100</f>
        <v>0</v>
      </c>
      <c r="M98" s="99">
        <v>0</v>
      </c>
      <c r="N98" s="67">
        <f>INT((M98*Valores!$C$2*100)+0.5)/100</f>
        <v>0</v>
      </c>
      <c r="O98" s="67">
        <f t="shared" si="11"/>
        <v>0</v>
      </c>
      <c r="P98" s="67">
        <f t="shared" si="12"/>
        <v>10656.096</v>
      </c>
      <c r="Q98" s="68">
        <f>Valores!$C$21</f>
        <v>2324</v>
      </c>
      <c r="R98" s="68">
        <f>Valores!$D$9</f>
        <v>2018.53</v>
      </c>
      <c r="S98" s="53">
        <f>Valores!$C$26</f>
        <v>2048</v>
      </c>
      <c r="T98" s="77">
        <f>Valores!$C$36</f>
        <v>500</v>
      </c>
      <c r="U98" s="67">
        <f>Valores!$C$23</f>
        <v>2079</v>
      </c>
      <c r="V98" s="67">
        <f t="shared" si="10"/>
        <v>4573.8</v>
      </c>
      <c r="W98" s="67">
        <v>0</v>
      </c>
      <c r="X98" s="67">
        <v>0</v>
      </c>
      <c r="Y98" s="95">
        <v>0</v>
      </c>
      <c r="Z98" s="67">
        <f>Y98*Valores!$C$2</f>
        <v>0</v>
      </c>
      <c r="AA98" s="67">
        <v>0</v>
      </c>
      <c r="AB98" s="79">
        <v>129.04</v>
      </c>
      <c r="AC98" s="67">
        <f t="shared" si="13"/>
        <v>0</v>
      </c>
      <c r="AD98" s="67">
        <v>129.04</v>
      </c>
      <c r="AE98" s="95">
        <v>0</v>
      </c>
      <c r="AF98" s="67">
        <f>INT(((AE98*Valores!$C$2)*100)+0.5)/100</f>
        <v>0</v>
      </c>
      <c r="AG98" s="67">
        <f>Valores!$C$49</f>
        <v>262.5</v>
      </c>
      <c r="AH98" s="67">
        <f>Valores!$C$50</f>
        <v>75</v>
      </c>
      <c r="AI98" s="15">
        <f t="shared" si="16"/>
        <v>31096.085999999999</v>
      </c>
      <c r="AJ98" s="69">
        <f>Valores!$C$6</f>
        <v>400</v>
      </c>
      <c r="AK98" s="12">
        <f t="shared" si="14"/>
        <v>400</v>
      </c>
      <c r="AL98" s="68">
        <f t="shared" si="15"/>
        <v>7552.0997799999996</v>
      </c>
      <c r="AM98" s="79">
        <v>0</v>
      </c>
      <c r="AN98" s="20"/>
      <c r="AO98" s="20">
        <v>25</v>
      </c>
      <c r="AP98" s="9" t="s">
        <v>465</v>
      </c>
    </row>
    <row r="99" spans="1:42" s="9" customFormat="1" ht="11.25" customHeight="1" x14ac:dyDescent="0.15">
      <c r="A99" s="9">
        <v>98</v>
      </c>
      <c r="D99" s="9" t="s">
        <v>175</v>
      </c>
      <c r="F99" s="10" t="s">
        <v>176</v>
      </c>
      <c r="G99" s="102">
        <v>89</v>
      </c>
      <c r="H99" s="7">
        <f>INT((G99*Valores!$C$2*100)+0.5)/100</f>
        <v>401.63</v>
      </c>
      <c r="I99" s="92">
        <v>1768</v>
      </c>
      <c r="J99" s="67">
        <f>INT((I99*Valores!$C$2*100)+0.5)/100</f>
        <v>7978.45</v>
      </c>
      <c r="K99" s="131">
        <v>0</v>
      </c>
      <c r="L99" s="67">
        <f>INT((K99*Valores!$C$2*100)+0.5)/100</f>
        <v>0</v>
      </c>
      <c r="M99" s="99">
        <v>0</v>
      </c>
      <c r="N99" s="67">
        <f>INT((M99*Valores!$C$2*100)+0.5)/100</f>
        <v>0</v>
      </c>
      <c r="O99" s="67">
        <f t="shared" si="11"/>
        <v>0</v>
      </c>
      <c r="P99" s="67">
        <f t="shared" si="12"/>
        <v>10656.096</v>
      </c>
      <c r="Q99" s="68">
        <f>Valores!$C$15</f>
        <v>2474</v>
      </c>
      <c r="R99" s="68">
        <f>Valores!$D$9</f>
        <v>2018.53</v>
      </c>
      <c r="S99" s="53">
        <f>Valores!$C$26</f>
        <v>2048</v>
      </c>
      <c r="T99" s="77">
        <f>Valores!$C$36</f>
        <v>500</v>
      </c>
      <c r="U99" s="67">
        <f>Valores!$C$23</f>
        <v>2079</v>
      </c>
      <c r="V99" s="67">
        <f t="shared" si="10"/>
        <v>4573.8</v>
      </c>
      <c r="W99" s="67">
        <v>0</v>
      </c>
      <c r="X99" s="67">
        <v>0</v>
      </c>
      <c r="Y99" s="95">
        <v>0</v>
      </c>
      <c r="Z99" s="67">
        <f>Y99*Valores!$C$2</f>
        <v>0</v>
      </c>
      <c r="AA99" s="67">
        <v>0</v>
      </c>
      <c r="AB99" s="79">
        <v>129.04</v>
      </c>
      <c r="AC99" s="67">
        <f t="shared" si="13"/>
        <v>0</v>
      </c>
      <c r="AD99" s="67">
        <v>129.04</v>
      </c>
      <c r="AE99" s="95">
        <v>0</v>
      </c>
      <c r="AF99" s="67">
        <f>INT(((AE99*Valores!$C$2)*100)+0.5)/100</f>
        <v>0</v>
      </c>
      <c r="AG99" s="67">
        <f>Valores!$C$49</f>
        <v>262.5</v>
      </c>
      <c r="AH99" s="67">
        <f>Valores!$C$50</f>
        <v>75</v>
      </c>
      <c r="AI99" s="15">
        <f t="shared" si="16"/>
        <v>31246.085999999999</v>
      </c>
      <c r="AJ99" s="69">
        <f>Valores!$C$6</f>
        <v>400</v>
      </c>
      <c r="AK99" s="12">
        <f t="shared" si="14"/>
        <v>400</v>
      </c>
      <c r="AL99" s="68">
        <f t="shared" si="15"/>
        <v>7586.5997799999996</v>
      </c>
      <c r="AM99" s="79">
        <v>110</v>
      </c>
      <c r="AN99" s="20"/>
      <c r="AO99" s="47"/>
      <c r="AP99" s="9" t="s">
        <v>465</v>
      </c>
    </row>
    <row r="100" spans="1:42" s="9" customFormat="1" ht="11.25" customHeight="1" x14ac:dyDescent="0.15">
      <c r="A100" s="9">
        <v>99</v>
      </c>
      <c r="D100" s="9" t="s">
        <v>177</v>
      </c>
      <c r="F100" s="10" t="s">
        <v>178</v>
      </c>
      <c r="G100" s="102">
        <v>89</v>
      </c>
      <c r="H100" s="7">
        <f>INT((G100*Valores!$C$2*100)+0.5)/100</f>
        <v>401.63</v>
      </c>
      <c r="I100" s="92">
        <v>2211</v>
      </c>
      <c r="J100" s="67">
        <f>INT((I100*Valores!$C$2*100)+0.5)/100</f>
        <v>9977.58</v>
      </c>
      <c r="K100" s="131">
        <v>0</v>
      </c>
      <c r="L100" s="67">
        <f>INT((K100*Valores!$C$2*100)+0.5)/100</f>
        <v>0</v>
      </c>
      <c r="M100" s="99">
        <v>0</v>
      </c>
      <c r="N100" s="67">
        <f>INT((M100*Valores!$C$2*100)+0.5)/100</f>
        <v>0</v>
      </c>
      <c r="O100" s="67">
        <f t="shared" si="11"/>
        <v>0</v>
      </c>
      <c r="P100" s="67">
        <f t="shared" si="12"/>
        <v>13055.051999999998</v>
      </c>
      <c r="Q100" s="68">
        <f>Valores!$C$15</f>
        <v>2474</v>
      </c>
      <c r="R100" s="68">
        <f>Valores!$D$9</f>
        <v>2018.53</v>
      </c>
      <c r="S100" s="53">
        <f>Valores!$C$26</f>
        <v>2048</v>
      </c>
      <c r="T100" s="77">
        <f>Valores!$C$36</f>
        <v>500</v>
      </c>
      <c r="U100" s="67">
        <f>Valores!$C$23</f>
        <v>2079</v>
      </c>
      <c r="V100" s="67">
        <f t="shared" si="10"/>
        <v>4573.8</v>
      </c>
      <c r="W100" s="67">
        <v>0</v>
      </c>
      <c r="X100" s="67">
        <v>0</v>
      </c>
      <c r="Y100" s="95">
        <v>0</v>
      </c>
      <c r="Z100" s="67">
        <f>Y100*Valores!$C$2</f>
        <v>0</v>
      </c>
      <c r="AA100" s="67">
        <v>0</v>
      </c>
      <c r="AB100" s="79">
        <v>129.04</v>
      </c>
      <c r="AC100" s="67">
        <f t="shared" si="13"/>
        <v>0</v>
      </c>
      <c r="AD100" s="67">
        <v>129.04</v>
      </c>
      <c r="AE100" s="95">
        <v>0</v>
      </c>
      <c r="AF100" s="67">
        <f>INT(((AE100*Valores!$C$2)*100)+0.5)/100</f>
        <v>0</v>
      </c>
      <c r="AG100" s="67">
        <f>Valores!$C$49</f>
        <v>262.5</v>
      </c>
      <c r="AH100" s="67">
        <f>Valores!$C$50</f>
        <v>75</v>
      </c>
      <c r="AI100" s="15">
        <f t="shared" si="16"/>
        <v>35644.171999999999</v>
      </c>
      <c r="AJ100" s="69">
        <f>Valores!$C$6</f>
        <v>400</v>
      </c>
      <c r="AK100" s="12">
        <f t="shared" si="14"/>
        <v>400</v>
      </c>
      <c r="AL100" s="68">
        <f t="shared" si="15"/>
        <v>8598.1595599999982</v>
      </c>
      <c r="AM100" s="79">
        <v>0</v>
      </c>
      <c r="AN100" s="20"/>
      <c r="AO100" s="20"/>
      <c r="AP100" s="9" t="s">
        <v>465</v>
      </c>
    </row>
    <row r="101" spans="1:42" s="9" customFormat="1" ht="11.25" customHeight="1" x14ac:dyDescent="0.15">
      <c r="A101" s="43">
        <v>100</v>
      </c>
      <c r="B101" s="43" t="s">
        <v>460</v>
      </c>
      <c r="C101" s="43"/>
      <c r="D101" s="43" t="s">
        <v>179</v>
      </c>
      <c r="E101" s="43"/>
      <c r="F101" s="44" t="s">
        <v>180</v>
      </c>
      <c r="G101" s="103">
        <v>89</v>
      </c>
      <c r="H101" s="110">
        <f>INT((G101*Valores!$C$2*100)+0.5)/100</f>
        <v>401.63</v>
      </c>
      <c r="I101" s="93">
        <v>1956</v>
      </c>
      <c r="J101" s="70">
        <f>INT((I101*Valores!$C$2*100)+0.5)/100</f>
        <v>8826.84</v>
      </c>
      <c r="K101" s="132">
        <v>0</v>
      </c>
      <c r="L101" s="70">
        <f>INT((K101*Valores!$C$2*100)+0.5)/100</f>
        <v>0</v>
      </c>
      <c r="M101" s="100">
        <v>0</v>
      </c>
      <c r="N101" s="70">
        <f>INT((M101*Valores!$C$2*100)+0.5)/100</f>
        <v>0</v>
      </c>
      <c r="O101" s="70">
        <f t="shared" si="11"/>
        <v>0</v>
      </c>
      <c r="P101" s="70">
        <f t="shared" si="12"/>
        <v>11674.163999999999</v>
      </c>
      <c r="Q101" s="71">
        <f>Valores!$C$21</f>
        <v>2324</v>
      </c>
      <c r="R101" s="71">
        <f>Valores!$D$9</f>
        <v>2018.53</v>
      </c>
      <c r="S101" s="70">
        <v>0</v>
      </c>
      <c r="T101" s="72">
        <f>Valores!$C$36</f>
        <v>500</v>
      </c>
      <c r="U101" s="70">
        <f>Valores!$C$23</f>
        <v>2079</v>
      </c>
      <c r="V101" s="70">
        <f t="shared" si="10"/>
        <v>4573.8</v>
      </c>
      <c r="W101" s="70">
        <v>0</v>
      </c>
      <c r="X101" s="70">
        <v>0</v>
      </c>
      <c r="Y101" s="94">
        <v>0</v>
      </c>
      <c r="Z101" s="70">
        <f>Y101*Valores!$C$2</f>
        <v>0</v>
      </c>
      <c r="AA101" s="70">
        <v>0</v>
      </c>
      <c r="AB101" s="80">
        <v>129.04</v>
      </c>
      <c r="AC101" s="70">
        <f t="shared" si="13"/>
        <v>0</v>
      </c>
      <c r="AD101" s="70">
        <v>129.04</v>
      </c>
      <c r="AE101" s="94">
        <v>0</v>
      </c>
      <c r="AF101" s="70">
        <f>INT(((AE101*Valores!$C$2)*100)+0.5)/100</f>
        <v>0</v>
      </c>
      <c r="AG101" s="70">
        <f>Valores!$C$49</f>
        <v>262.5</v>
      </c>
      <c r="AH101" s="70">
        <f>Valores!$C$50</f>
        <v>75</v>
      </c>
      <c r="AI101" s="45">
        <f t="shared" si="16"/>
        <v>30914.543999999998</v>
      </c>
      <c r="AJ101" s="72">
        <f>Valores!$C$6</f>
        <v>400</v>
      </c>
      <c r="AK101" s="46">
        <f t="shared" si="14"/>
        <v>400</v>
      </c>
      <c r="AL101" s="71">
        <f t="shared" si="15"/>
        <v>7510.345119999999</v>
      </c>
      <c r="AM101" s="80">
        <v>0</v>
      </c>
      <c r="AN101" s="47"/>
      <c r="AO101" s="20"/>
      <c r="AP101" s="43" t="s">
        <v>464</v>
      </c>
    </row>
    <row r="102" spans="1:42" s="9" customFormat="1" ht="11.25" customHeight="1" x14ac:dyDescent="0.15">
      <c r="A102" s="9">
        <v>101</v>
      </c>
      <c r="D102" s="9" t="s">
        <v>181</v>
      </c>
      <c r="F102" s="10" t="s">
        <v>182</v>
      </c>
      <c r="G102" s="102">
        <v>89</v>
      </c>
      <c r="H102" s="7">
        <f>INT((G102*Valores!$C$2*100)+0.5)/100</f>
        <v>401.63</v>
      </c>
      <c r="I102" s="92">
        <v>1267</v>
      </c>
      <c r="J102" s="67">
        <f>INT((I102*Valores!$C$2*100)+0.5)/100</f>
        <v>5717.59</v>
      </c>
      <c r="K102" s="131">
        <v>0</v>
      </c>
      <c r="L102" s="67">
        <f>INT((K102*Valores!$C$2*100)+0.5)/100</f>
        <v>0</v>
      </c>
      <c r="M102" s="99">
        <v>0</v>
      </c>
      <c r="N102" s="67">
        <f>INT((M102*Valores!$C$2*100)+0.5)/100</f>
        <v>0</v>
      </c>
      <c r="O102" s="67">
        <f t="shared" si="11"/>
        <v>0</v>
      </c>
      <c r="P102" s="67">
        <f t="shared" si="12"/>
        <v>7943.0640000000003</v>
      </c>
      <c r="Q102" s="68">
        <f>Valores!$C$21</f>
        <v>2324</v>
      </c>
      <c r="R102" s="68">
        <f>Valores!$D$9</f>
        <v>2018.53</v>
      </c>
      <c r="S102" s="67">
        <v>0</v>
      </c>
      <c r="T102" s="69">
        <f>Valores!$C$36</f>
        <v>500</v>
      </c>
      <c r="U102" s="67">
        <f>Valores!$C$23</f>
        <v>2079</v>
      </c>
      <c r="V102" s="67">
        <f t="shared" si="10"/>
        <v>4573.8</v>
      </c>
      <c r="W102" s="67">
        <v>0</v>
      </c>
      <c r="X102" s="67">
        <v>0</v>
      </c>
      <c r="Y102" s="95">
        <v>0</v>
      </c>
      <c r="Z102" s="67">
        <f>Y102*Valores!$C$2</f>
        <v>0</v>
      </c>
      <c r="AA102" s="67">
        <v>0</v>
      </c>
      <c r="AB102" s="79">
        <v>129.04</v>
      </c>
      <c r="AC102" s="67">
        <f t="shared" si="13"/>
        <v>0</v>
      </c>
      <c r="AD102" s="67">
        <v>129.04</v>
      </c>
      <c r="AE102" s="95">
        <v>0</v>
      </c>
      <c r="AF102" s="67">
        <f>INT(((AE102*Valores!$C$2)*100)+0.5)/100</f>
        <v>0</v>
      </c>
      <c r="AG102" s="67">
        <f>Valores!$C$49</f>
        <v>262.5</v>
      </c>
      <c r="AH102" s="67">
        <f>Valores!$C$50</f>
        <v>75</v>
      </c>
      <c r="AI102" s="15">
        <f t="shared" si="16"/>
        <v>24074.194</v>
      </c>
      <c r="AJ102" s="69">
        <f>Valores!$C$6</f>
        <v>400</v>
      </c>
      <c r="AK102" s="12">
        <f t="shared" si="14"/>
        <v>400</v>
      </c>
      <c r="AL102" s="68">
        <f t="shared" si="15"/>
        <v>5937.0646199999992</v>
      </c>
      <c r="AM102" s="79">
        <v>0</v>
      </c>
      <c r="AN102" s="20"/>
      <c r="AO102" s="20"/>
      <c r="AP102" s="9" t="s">
        <v>464</v>
      </c>
    </row>
    <row r="103" spans="1:42" s="9" customFormat="1" ht="11.25" customHeight="1" x14ac:dyDescent="0.15">
      <c r="A103" s="9">
        <v>102</v>
      </c>
      <c r="D103" s="9" t="s">
        <v>183</v>
      </c>
      <c r="F103" s="10" t="s">
        <v>184</v>
      </c>
      <c r="G103" s="102">
        <v>67</v>
      </c>
      <c r="H103" s="7">
        <f>INT((G103*Valores!$C$2*100)+0.5)/100</f>
        <v>302.35000000000002</v>
      </c>
      <c r="I103" s="92">
        <v>2108</v>
      </c>
      <c r="J103" s="67">
        <f>INT((I103*Valores!$C$2*100)+0.5)/100</f>
        <v>9512.77</v>
      </c>
      <c r="K103" s="131">
        <v>0</v>
      </c>
      <c r="L103" s="67">
        <f>INT((K103*Valores!$C$2*100)+0.5)/100</f>
        <v>0</v>
      </c>
      <c r="M103" s="99">
        <v>0</v>
      </c>
      <c r="N103" s="67">
        <f>INT((M103*Valores!$C$2*100)+0.5)/100</f>
        <v>0</v>
      </c>
      <c r="O103" s="67">
        <f t="shared" si="11"/>
        <v>0</v>
      </c>
      <c r="P103" s="67">
        <f t="shared" si="12"/>
        <v>12228.144</v>
      </c>
      <c r="Q103" s="68">
        <f>Valores!$C$21</f>
        <v>2324</v>
      </c>
      <c r="R103" s="68">
        <f>Valores!$D$9</f>
        <v>2018.53</v>
      </c>
      <c r="S103" s="67">
        <v>0</v>
      </c>
      <c r="T103" s="69">
        <f>Valores!$C$34</f>
        <v>375</v>
      </c>
      <c r="U103" s="53">
        <f>Valores!$C$24</f>
        <v>2049</v>
      </c>
      <c r="V103" s="67">
        <f t="shared" si="10"/>
        <v>4507.8</v>
      </c>
      <c r="W103" s="67">
        <v>0</v>
      </c>
      <c r="X103" s="67">
        <v>0</v>
      </c>
      <c r="Y103" s="95">
        <v>0</v>
      </c>
      <c r="Z103" s="67">
        <f>Y103*Valores!$C$2</f>
        <v>0</v>
      </c>
      <c r="AA103" s="67">
        <v>0</v>
      </c>
      <c r="AB103" s="79">
        <v>129.04</v>
      </c>
      <c r="AC103" s="67">
        <f t="shared" si="13"/>
        <v>0</v>
      </c>
      <c r="AD103" s="67">
        <v>129.04</v>
      </c>
      <c r="AE103" s="95">
        <v>0</v>
      </c>
      <c r="AF103" s="67">
        <f>INT(((AE103*Valores!$C$2)*100)+0.5)/100</f>
        <v>0</v>
      </c>
      <c r="AG103" s="67">
        <f>Valores!$C$49</f>
        <v>262.5</v>
      </c>
      <c r="AH103" s="67">
        <f>Valores!$C$50</f>
        <v>75</v>
      </c>
      <c r="AI103" s="15">
        <f t="shared" si="16"/>
        <v>31864.174000000003</v>
      </c>
      <c r="AJ103" s="69">
        <f>Valores!$C$4</f>
        <v>300</v>
      </c>
      <c r="AK103" s="12">
        <f t="shared" si="14"/>
        <v>300</v>
      </c>
      <c r="AL103" s="68">
        <f t="shared" si="15"/>
        <v>7628.7600199999997</v>
      </c>
      <c r="AM103" s="79">
        <v>110</v>
      </c>
      <c r="AN103" s="20"/>
      <c r="AO103" s="20">
        <v>30</v>
      </c>
      <c r="AP103" s="9" t="s">
        <v>465</v>
      </c>
    </row>
    <row r="104" spans="1:42" s="9" customFormat="1" ht="11.25" customHeight="1" x14ac:dyDescent="0.15">
      <c r="A104" s="9">
        <v>103</v>
      </c>
      <c r="D104" s="9" t="s">
        <v>185</v>
      </c>
      <c r="F104" s="10" t="s">
        <v>186</v>
      </c>
      <c r="G104" s="102">
        <v>45</v>
      </c>
      <c r="H104" s="7">
        <f>INT((G104*Valores!$C$2*100)+0.5)/100</f>
        <v>203.07</v>
      </c>
      <c r="I104" s="92">
        <v>1502</v>
      </c>
      <c r="J104" s="67">
        <f>INT((I104*Valores!$C$2*100)+0.5)/100</f>
        <v>6778.08</v>
      </c>
      <c r="K104" s="131">
        <v>0</v>
      </c>
      <c r="L104" s="67">
        <f>INT((K104*Valores!$C$2*100)+0.5)/100</f>
        <v>0</v>
      </c>
      <c r="M104" s="99">
        <v>0</v>
      </c>
      <c r="N104" s="67">
        <f>INT((M104*Valores!$C$2*100)+0.5)/100</f>
        <v>0</v>
      </c>
      <c r="O104" s="67">
        <f t="shared" si="11"/>
        <v>0</v>
      </c>
      <c r="P104" s="67">
        <f t="shared" si="12"/>
        <v>8827.3799999999992</v>
      </c>
      <c r="Q104" s="68">
        <f>Valores!$C$21</f>
        <v>2324</v>
      </c>
      <c r="R104" s="68">
        <f>Valores!$D$9</f>
        <v>2018.53</v>
      </c>
      <c r="S104" s="67">
        <v>0</v>
      </c>
      <c r="T104" s="69">
        <f>Valores!$C$34</f>
        <v>375</v>
      </c>
      <c r="U104" s="53">
        <f>Valores!$C$24</f>
        <v>2049</v>
      </c>
      <c r="V104" s="67">
        <f t="shared" si="10"/>
        <v>4507.8</v>
      </c>
      <c r="W104" s="67">
        <v>0</v>
      </c>
      <c r="X104" s="67">
        <v>0</v>
      </c>
      <c r="Y104" s="95">
        <v>0</v>
      </c>
      <c r="Z104" s="67">
        <f>Y104*Valores!$C$2</f>
        <v>0</v>
      </c>
      <c r="AA104" s="67">
        <v>0</v>
      </c>
      <c r="AB104" s="79">
        <v>129.04</v>
      </c>
      <c r="AC104" s="67">
        <f t="shared" si="13"/>
        <v>0</v>
      </c>
      <c r="AD104" s="67">
        <v>129.04</v>
      </c>
      <c r="AE104" s="95">
        <v>0</v>
      </c>
      <c r="AF104" s="67">
        <f>INT(((AE104*Valores!$C$2)*100)+0.5)/100</f>
        <v>0</v>
      </c>
      <c r="AG104" s="67">
        <f>Valores!$C$49</f>
        <v>262.5</v>
      </c>
      <c r="AH104" s="67">
        <f>Valores!$C$50</f>
        <v>75</v>
      </c>
      <c r="AI104" s="15">
        <f t="shared" si="16"/>
        <v>25629.439999999999</v>
      </c>
      <c r="AJ104" s="69">
        <f>Valores!$C$4</f>
        <v>300</v>
      </c>
      <c r="AK104" s="12">
        <f t="shared" si="14"/>
        <v>300</v>
      </c>
      <c r="AL104" s="68">
        <f t="shared" si="15"/>
        <v>6194.7711999999992</v>
      </c>
      <c r="AM104" s="79">
        <v>110</v>
      </c>
      <c r="AN104" s="20"/>
      <c r="AO104" s="47"/>
      <c r="AP104" s="9" t="s">
        <v>465</v>
      </c>
    </row>
    <row r="105" spans="1:42" s="9" customFormat="1" ht="11.25" customHeight="1" x14ac:dyDescent="0.15">
      <c r="A105" s="9">
        <v>104</v>
      </c>
      <c r="D105" s="9" t="s">
        <v>187</v>
      </c>
      <c r="F105" s="10" t="s">
        <v>188</v>
      </c>
      <c r="G105" s="102">
        <v>61</v>
      </c>
      <c r="H105" s="7">
        <f>INT((G105*Valores!$C$2*100)+0.5)/100</f>
        <v>275.27</v>
      </c>
      <c r="I105" s="92">
        <v>2114</v>
      </c>
      <c r="J105" s="67">
        <f>INT((I105*Valores!$C$2*100)+0.5)/100</f>
        <v>9539.85</v>
      </c>
      <c r="K105" s="131">
        <v>0</v>
      </c>
      <c r="L105" s="67">
        <f>INT((K105*Valores!$C$2*100)+0.5)/100</f>
        <v>0</v>
      </c>
      <c r="M105" s="99">
        <v>0</v>
      </c>
      <c r="N105" s="67">
        <f>INT((M105*Valores!$C$2*100)+0.5)/100</f>
        <v>0</v>
      </c>
      <c r="O105" s="67">
        <f t="shared" si="11"/>
        <v>0</v>
      </c>
      <c r="P105" s="67">
        <f t="shared" si="12"/>
        <v>12228.144</v>
      </c>
      <c r="Q105" s="68">
        <f>Valores!$C$21</f>
        <v>2324</v>
      </c>
      <c r="R105" s="68">
        <f>Valores!$D$9</f>
        <v>2018.53</v>
      </c>
      <c r="S105" s="67">
        <v>0</v>
      </c>
      <c r="T105" s="69">
        <f>Valores!$C$34</f>
        <v>375</v>
      </c>
      <c r="U105" s="53">
        <f>Valores!$C$24</f>
        <v>2049</v>
      </c>
      <c r="V105" s="67">
        <f t="shared" si="10"/>
        <v>4507.8</v>
      </c>
      <c r="W105" s="67">
        <v>0</v>
      </c>
      <c r="X105" s="67">
        <v>0</v>
      </c>
      <c r="Y105" s="95">
        <v>0</v>
      </c>
      <c r="Z105" s="67">
        <f>Y105*Valores!$C$2</f>
        <v>0</v>
      </c>
      <c r="AA105" s="67">
        <v>0</v>
      </c>
      <c r="AB105" s="79">
        <v>129.04</v>
      </c>
      <c r="AC105" s="67">
        <f t="shared" si="13"/>
        <v>0</v>
      </c>
      <c r="AD105" s="67">
        <v>129.04</v>
      </c>
      <c r="AE105" s="95">
        <v>0</v>
      </c>
      <c r="AF105" s="67">
        <f>INT(((AE105*Valores!$C$2)*100)+0.5)/100</f>
        <v>0</v>
      </c>
      <c r="AG105" s="67">
        <f>Valores!$C$49</f>
        <v>262.5</v>
      </c>
      <c r="AH105" s="67">
        <f>Valores!$C$50</f>
        <v>75</v>
      </c>
      <c r="AI105" s="15">
        <f t="shared" si="16"/>
        <v>31864.174000000003</v>
      </c>
      <c r="AJ105" s="69">
        <f>Valores!$C$4</f>
        <v>300</v>
      </c>
      <c r="AK105" s="12">
        <f t="shared" si="14"/>
        <v>300</v>
      </c>
      <c r="AL105" s="68">
        <f t="shared" si="15"/>
        <v>7628.7600199999997</v>
      </c>
      <c r="AM105" s="79">
        <v>110</v>
      </c>
      <c r="AN105" s="20"/>
      <c r="AO105" s="20">
        <v>30</v>
      </c>
      <c r="AP105" s="9" t="s">
        <v>465</v>
      </c>
    </row>
    <row r="106" spans="1:42" s="9" customFormat="1" ht="11.25" customHeight="1" x14ac:dyDescent="0.15">
      <c r="A106" s="43">
        <v>105</v>
      </c>
      <c r="B106" s="43" t="s">
        <v>460</v>
      </c>
      <c r="C106" s="43"/>
      <c r="D106" s="43" t="s">
        <v>189</v>
      </c>
      <c r="E106" s="43"/>
      <c r="F106" s="44" t="s">
        <v>190</v>
      </c>
      <c r="G106" s="103">
        <v>59</v>
      </c>
      <c r="H106" s="110">
        <f>INT((G106*Valores!$C$2*100)+0.5)/100</f>
        <v>266.25</v>
      </c>
      <c r="I106" s="93">
        <v>2013</v>
      </c>
      <c r="J106" s="70">
        <f>INT((I106*Valores!$C$2*100)+0.5)/100</f>
        <v>9084.07</v>
      </c>
      <c r="K106" s="132">
        <v>0</v>
      </c>
      <c r="L106" s="70">
        <f>INT((K106*Valores!$C$2*100)+0.5)/100</f>
        <v>0</v>
      </c>
      <c r="M106" s="100">
        <v>0</v>
      </c>
      <c r="N106" s="70">
        <f>INT((M106*Valores!$C$2*100)+0.5)/100</f>
        <v>0</v>
      </c>
      <c r="O106" s="70">
        <f t="shared" si="11"/>
        <v>0</v>
      </c>
      <c r="P106" s="70">
        <f t="shared" si="12"/>
        <v>11670.384</v>
      </c>
      <c r="Q106" s="71">
        <f>Valores!$C$21</f>
        <v>2324</v>
      </c>
      <c r="R106" s="71">
        <f>Valores!$D$9</f>
        <v>2018.53</v>
      </c>
      <c r="S106" s="70">
        <v>0</v>
      </c>
      <c r="T106" s="72">
        <f>Valores!$C$34</f>
        <v>375</v>
      </c>
      <c r="U106" s="75">
        <f>Valores!$C$24</f>
        <v>2049</v>
      </c>
      <c r="V106" s="70">
        <f t="shared" si="10"/>
        <v>4507.8</v>
      </c>
      <c r="W106" s="70">
        <v>0</v>
      </c>
      <c r="X106" s="70">
        <v>0</v>
      </c>
      <c r="Y106" s="94">
        <v>0</v>
      </c>
      <c r="Z106" s="70">
        <f>Y106*Valores!$C$2</f>
        <v>0</v>
      </c>
      <c r="AA106" s="70">
        <v>0</v>
      </c>
      <c r="AB106" s="80">
        <v>129.04</v>
      </c>
      <c r="AC106" s="70">
        <f t="shared" si="13"/>
        <v>0</v>
      </c>
      <c r="AD106" s="70">
        <v>129.04</v>
      </c>
      <c r="AE106" s="94">
        <v>0</v>
      </c>
      <c r="AF106" s="70">
        <f>INT(((AE106*Valores!$C$2)*100)+0.5)/100</f>
        <v>0</v>
      </c>
      <c r="AG106" s="70">
        <f>Valores!$C$49</f>
        <v>262.5</v>
      </c>
      <c r="AH106" s="70">
        <f>Valores!$C$50</f>
        <v>75</v>
      </c>
      <c r="AI106" s="45">
        <f t="shared" si="16"/>
        <v>30841.613999999998</v>
      </c>
      <c r="AJ106" s="72">
        <f>Valores!$C$4</f>
        <v>300</v>
      </c>
      <c r="AK106" s="46">
        <f t="shared" si="14"/>
        <v>300</v>
      </c>
      <c r="AL106" s="71">
        <f t="shared" si="15"/>
        <v>7393.5712199999989</v>
      </c>
      <c r="AM106" s="80">
        <v>110</v>
      </c>
      <c r="AN106" s="47"/>
      <c r="AO106" s="20">
        <v>30</v>
      </c>
      <c r="AP106" s="43" t="s">
        <v>465</v>
      </c>
    </row>
    <row r="107" spans="1:42" s="9" customFormat="1" ht="11.25" customHeight="1" x14ac:dyDescent="0.15">
      <c r="A107" s="9">
        <v>106</v>
      </c>
      <c r="D107" s="9" t="s">
        <v>191</v>
      </c>
      <c r="F107" s="10" t="s">
        <v>192</v>
      </c>
      <c r="G107" s="102">
        <v>56</v>
      </c>
      <c r="H107" s="7">
        <f>INT((G107*Valores!$C$2*100)+0.5)/100</f>
        <v>252.71</v>
      </c>
      <c r="I107" s="92">
        <v>1720</v>
      </c>
      <c r="J107" s="67">
        <f>INT((I107*Valores!$C$2*100)+0.5)/100</f>
        <v>7761.84</v>
      </c>
      <c r="K107" s="131">
        <v>0</v>
      </c>
      <c r="L107" s="67">
        <f>INT((K107*Valores!$C$2*100)+0.5)/100</f>
        <v>0</v>
      </c>
      <c r="M107" s="99">
        <v>0</v>
      </c>
      <c r="N107" s="67">
        <f>INT((M107*Valores!$C$2*100)+0.5)/100</f>
        <v>0</v>
      </c>
      <c r="O107" s="67">
        <f t="shared" si="11"/>
        <v>0</v>
      </c>
      <c r="P107" s="67">
        <f t="shared" si="12"/>
        <v>10067.459999999999</v>
      </c>
      <c r="Q107" s="68">
        <f>Valores!$C$21</f>
        <v>2324</v>
      </c>
      <c r="R107" s="68">
        <f>Valores!$D$9</f>
        <v>2018.53</v>
      </c>
      <c r="S107" s="67">
        <v>0</v>
      </c>
      <c r="T107" s="69">
        <f>Valores!$C$34</f>
        <v>375</v>
      </c>
      <c r="U107" s="53">
        <f>Valores!$C$24</f>
        <v>2049</v>
      </c>
      <c r="V107" s="67">
        <f t="shared" si="10"/>
        <v>4507.8</v>
      </c>
      <c r="W107" s="67">
        <v>0</v>
      </c>
      <c r="X107" s="67">
        <v>0</v>
      </c>
      <c r="Y107" s="95">
        <v>0</v>
      </c>
      <c r="Z107" s="67">
        <f>Y107*Valores!$C$2</f>
        <v>0</v>
      </c>
      <c r="AA107" s="67">
        <v>0</v>
      </c>
      <c r="AB107" s="79">
        <v>129.04</v>
      </c>
      <c r="AC107" s="67">
        <f t="shared" si="13"/>
        <v>0</v>
      </c>
      <c r="AD107" s="67">
        <v>129.04</v>
      </c>
      <c r="AE107" s="95">
        <v>0</v>
      </c>
      <c r="AF107" s="67">
        <f>INT(((AE107*Valores!$C$2)*100)+0.5)/100</f>
        <v>0</v>
      </c>
      <c r="AG107" s="67">
        <f>Valores!$C$49</f>
        <v>262.5</v>
      </c>
      <c r="AH107" s="67">
        <f>Valores!$C$50</f>
        <v>75</v>
      </c>
      <c r="AI107" s="15">
        <f t="shared" si="16"/>
        <v>27902.92</v>
      </c>
      <c r="AJ107" s="69">
        <f>Valores!$C$4</f>
        <v>300</v>
      </c>
      <c r="AK107" s="12">
        <f t="shared" si="14"/>
        <v>300</v>
      </c>
      <c r="AL107" s="68">
        <f t="shared" si="15"/>
        <v>6717.6715999999988</v>
      </c>
      <c r="AM107" s="79">
        <v>110</v>
      </c>
      <c r="AN107" s="20"/>
      <c r="AO107" s="20">
        <v>30</v>
      </c>
      <c r="AP107" s="9" t="s">
        <v>465</v>
      </c>
    </row>
    <row r="108" spans="1:42" s="9" customFormat="1" ht="11.25" customHeight="1" x14ac:dyDescent="0.15">
      <c r="A108" s="9">
        <v>107</v>
      </c>
      <c r="D108" s="9" t="s">
        <v>193</v>
      </c>
      <c r="F108" s="10" t="s">
        <v>194</v>
      </c>
      <c r="G108" s="102">
        <v>45</v>
      </c>
      <c r="H108" s="7">
        <f>INT((G108*Valores!$C$2*100)+0.5)/100</f>
        <v>203.07</v>
      </c>
      <c r="I108" s="92">
        <v>1502</v>
      </c>
      <c r="J108" s="67">
        <f>INT((I108*Valores!$C$2*100)+0.5)/100</f>
        <v>6778.08</v>
      </c>
      <c r="K108" s="131">
        <v>0</v>
      </c>
      <c r="L108" s="67">
        <f>INT((K108*Valores!$C$2*100)+0.5)/100</f>
        <v>0</v>
      </c>
      <c r="M108" s="99">
        <v>0</v>
      </c>
      <c r="N108" s="67">
        <f>INT((M108*Valores!$C$2*100)+0.5)/100</f>
        <v>0</v>
      </c>
      <c r="O108" s="67">
        <f t="shared" si="11"/>
        <v>0</v>
      </c>
      <c r="P108" s="67">
        <f t="shared" si="12"/>
        <v>8827.3799999999992</v>
      </c>
      <c r="Q108" s="68">
        <f>Valores!$C$21</f>
        <v>2324</v>
      </c>
      <c r="R108" s="68">
        <f>Valores!$D$9</f>
        <v>2018.53</v>
      </c>
      <c r="S108" s="67">
        <v>0</v>
      </c>
      <c r="T108" s="69">
        <f>Valores!$C$34</f>
        <v>375</v>
      </c>
      <c r="U108" s="53">
        <f>Valores!$C$24</f>
        <v>2049</v>
      </c>
      <c r="V108" s="67">
        <f t="shared" si="10"/>
        <v>4507.8</v>
      </c>
      <c r="W108" s="67">
        <v>0</v>
      </c>
      <c r="X108" s="67">
        <v>0</v>
      </c>
      <c r="Y108" s="95">
        <v>0</v>
      </c>
      <c r="Z108" s="67">
        <f>Y108*Valores!$C$2</f>
        <v>0</v>
      </c>
      <c r="AA108" s="67">
        <v>0</v>
      </c>
      <c r="AB108" s="79">
        <v>129.04</v>
      </c>
      <c r="AC108" s="67">
        <f t="shared" si="13"/>
        <v>0</v>
      </c>
      <c r="AD108" s="67">
        <v>129.04</v>
      </c>
      <c r="AE108" s="95">
        <v>0</v>
      </c>
      <c r="AF108" s="67">
        <f>INT(((AE108*Valores!$C$2)*100)+0.5)/100</f>
        <v>0</v>
      </c>
      <c r="AG108" s="67">
        <f>Valores!$C$49</f>
        <v>262.5</v>
      </c>
      <c r="AH108" s="67">
        <f>Valores!$C$50</f>
        <v>75</v>
      </c>
      <c r="AI108" s="15">
        <f t="shared" si="16"/>
        <v>25629.439999999999</v>
      </c>
      <c r="AJ108" s="69">
        <f>Valores!$C$4</f>
        <v>300</v>
      </c>
      <c r="AK108" s="12">
        <f t="shared" si="14"/>
        <v>300</v>
      </c>
      <c r="AL108" s="68">
        <f t="shared" si="15"/>
        <v>6194.7711999999992</v>
      </c>
      <c r="AM108" s="79">
        <v>110</v>
      </c>
      <c r="AN108" s="20"/>
      <c r="AO108" s="20">
        <v>30</v>
      </c>
      <c r="AP108" s="9" t="s">
        <v>465</v>
      </c>
    </row>
    <row r="109" spans="1:42" s="9" customFormat="1" ht="11.25" customHeight="1" x14ac:dyDescent="0.15">
      <c r="A109" s="9">
        <v>108</v>
      </c>
      <c r="D109" s="9" t="s">
        <v>195</v>
      </c>
      <c r="F109" s="10" t="s">
        <v>196</v>
      </c>
      <c r="G109" s="102">
        <v>45</v>
      </c>
      <c r="H109" s="7">
        <f>INT((G109*Valores!$C$2*100)+0.5)/100</f>
        <v>203.07</v>
      </c>
      <c r="I109" s="92">
        <v>1139</v>
      </c>
      <c r="J109" s="67">
        <f>INT((I109*Valores!$C$2*100)+0.5)/100</f>
        <v>5139.97</v>
      </c>
      <c r="K109" s="131">
        <v>0</v>
      </c>
      <c r="L109" s="67">
        <f>INT((K109*Valores!$C$2*100)+0.5)/100</f>
        <v>0</v>
      </c>
      <c r="M109" s="99">
        <v>0</v>
      </c>
      <c r="N109" s="67">
        <f>INT((M109*Valores!$C$2*100)+0.5)/100</f>
        <v>0</v>
      </c>
      <c r="O109" s="67">
        <f t="shared" si="11"/>
        <v>0</v>
      </c>
      <c r="P109" s="67">
        <f t="shared" si="12"/>
        <v>6861.6480000000001</v>
      </c>
      <c r="Q109" s="68">
        <f>Valores!$C$21</f>
        <v>2324</v>
      </c>
      <c r="R109" s="68">
        <f>Valores!$D$9</f>
        <v>2018.53</v>
      </c>
      <c r="S109" s="67">
        <v>0</v>
      </c>
      <c r="T109" s="69">
        <f>Valores!$C$34</f>
        <v>375</v>
      </c>
      <c r="U109" s="53">
        <f>Valores!$C$24</f>
        <v>2049</v>
      </c>
      <c r="V109" s="67">
        <f t="shared" si="10"/>
        <v>4507.8</v>
      </c>
      <c r="W109" s="67">
        <v>0</v>
      </c>
      <c r="X109" s="67">
        <v>0</v>
      </c>
      <c r="Y109" s="95">
        <v>0</v>
      </c>
      <c r="Z109" s="67">
        <f>Y109*Valores!$C$2</f>
        <v>0</v>
      </c>
      <c r="AA109" s="67">
        <v>0</v>
      </c>
      <c r="AB109" s="79">
        <v>129.04</v>
      </c>
      <c r="AC109" s="67">
        <f t="shared" si="13"/>
        <v>0</v>
      </c>
      <c r="AD109" s="67">
        <v>129.04</v>
      </c>
      <c r="AE109" s="95">
        <v>0</v>
      </c>
      <c r="AF109" s="67">
        <f>INT(((AE109*Valores!$C$2)*100)+0.5)/100</f>
        <v>0</v>
      </c>
      <c r="AG109" s="67">
        <f>Valores!$C$49</f>
        <v>262.5</v>
      </c>
      <c r="AH109" s="67">
        <f>Valores!$C$50</f>
        <v>75</v>
      </c>
      <c r="AI109" s="15">
        <f t="shared" si="16"/>
        <v>22025.598000000002</v>
      </c>
      <c r="AJ109" s="69">
        <f>Valores!$C$4</f>
        <v>300</v>
      </c>
      <c r="AK109" s="12">
        <f t="shared" si="14"/>
        <v>300</v>
      </c>
      <c r="AL109" s="68">
        <f t="shared" si="15"/>
        <v>5365.8875399999997</v>
      </c>
      <c r="AM109" s="79">
        <v>110</v>
      </c>
      <c r="AN109" s="20"/>
      <c r="AO109" s="47">
        <v>30</v>
      </c>
      <c r="AP109" s="9" t="s">
        <v>465</v>
      </c>
    </row>
    <row r="110" spans="1:42" s="9" customFormat="1" ht="11.25" customHeight="1" x14ac:dyDescent="0.15">
      <c r="A110" s="9">
        <v>109</v>
      </c>
      <c r="D110" s="9" t="s">
        <v>197</v>
      </c>
      <c r="F110" s="10" t="s">
        <v>198</v>
      </c>
      <c r="G110" s="102">
        <v>46</v>
      </c>
      <c r="H110" s="7">
        <f>INT((G110*Valores!$C$2*100)+0.5)/100</f>
        <v>207.58</v>
      </c>
      <c r="I110" s="92">
        <v>1102</v>
      </c>
      <c r="J110" s="67">
        <f>INT((I110*Valores!$C$2*100)+0.5)/100</f>
        <v>4973</v>
      </c>
      <c r="K110" s="131">
        <v>0</v>
      </c>
      <c r="L110" s="67">
        <f>INT((K110*Valores!$C$2*100)+0.5)/100</f>
        <v>0</v>
      </c>
      <c r="M110" s="99">
        <v>0</v>
      </c>
      <c r="N110" s="67">
        <f>INT((M110*Valores!$C$2*100)+0.5)/100</f>
        <v>0</v>
      </c>
      <c r="O110" s="67">
        <f t="shared" si="11"/>
        <v>0</v>
      </c>
      <c r="P110" s="67">
        <f t="shared" si="12"/>
        <v>6666.6959999999999</v>
      </c>
      <c r="Q110" s="68">
        <f>Valores!$C$21</f>
        <v>2324</v>
      </c>
      <c r="R110" s="68">
        <f>Valores!$D$9</f>
        <v>2018.53</v>
      </c>
      <c r="S110" s="67">
        <v>0</v>
      </c>
      <c r="T110" s="69">
        <f>Valores!$C$34</f>
        <v>375</v>
      </c>
      <c r="U110" s="53">
        <f>Valores!$C$24</f>
        <v>2049</v>
      </c>
      <c r="V110" s="67">
        <f t="shared" si="10"/>
        <v>4507.8</v>
      </c>
      <c r="W110" s="67">
        <v>0</v>
      </c>
      <c r="X110" s="67">
        <v>0</v>
      </c>
      <c r="Y110" s="95">
        <v>0</v>
      </c>
      <c r="Z110" s="67">
        <f>Y110*Valores!$C$2</f>
        <v>0</v>
      </c>
      <c r="AA110" s="67">
        <v>0</v>
      </c>
      <c r="AB110" s="79">
        <v>129.04</v>
      </c>
      <c r="AC110" s="67">
        <f t="shared" si="13"/>
        <v>0</v>
      </c>
      <c r="AD110" s="67">
        <v>129.04</v>
      </c>
      <c r="AE110" s="95">
        <v>0</v>
      </c>
      <c r="AF110" s="67">
        <f>INT(((AE110*Valores!$C$2)*100)+0.5)/100</f>
        <v>0</v>
      </c>
      <c r="AG110" s="67">
        <f>Valores!$C$49</f>
        <v>262.5</v>
      </c>
      <c r="AH110" s="67">
        <f>Valores!$C$50</f>
        <v>75</v>
      </c>
      <c r="AI110" s="15">
        <f t="shared" si="16"/>
        <v>21668.186000000002</v>
      </c>
      <c r="AJ110" s="69">
        <f>Valores!$C$4</f>
        <v>300</v>
      </c>
      <c r="AK110" s="12">
        <f t="shared" si="14"/>
        <v>300</v>
      </c>
      <c r="AL110" s="68">
        <f t="shared" si="15"/>
        <v>5283.6827800000001</v>
      </c>
      <c r="AM110" s="79">
        <v>110</v>
      </c>
      <c r="AN110" s="20"/>
      <c r="AO110" s="20">
        <v>30</v>
      </c>
      <c r="AP110" s="9" t="s">
        <v>465</v>
      </c>
    </row>
    <row r="111" spans="1:42" s="9" customFormat="1" ht="11.25" customHeight="1" x14ac:dyDescent="0.15">
      <c r="A111" s="43">
        <v>110</v>
      </c>
      <c r="B111" s="43" t="s">
        <v>460</v>
      </c>
      <c r="C111" s="43"/>
      <c r="D111" s="43" t="s">
        <v>199</v>
      </c>
      <c r="E111" s="43"/>
      <c r="F111" s="44" t="s">
        <v>200</v>
      </c>
      <c r="G111" s="103">
        <v>66</v>
      </c>
      <c r="H111" s="110">
        <f>INT((G111*Valores!$C$2*100)+0.5)/100</f>
        <v>297.83999999999997</v>
      </c>
      <c r="I111" s="93">
        <v>1911</v>
      </c>
      <c r="J111" s="70">
        <f>INT((I111*Valores!$C$2*100)+0.5)/100</f>
        <v>8623.77</v>
      </c>
      <c r="K111" s="132">
        <v>0</v>
      </c>
      <c r="L111" s="70">
        <f>INT((K111*Valores!$C$2*100)+0.5)/100</f>
        <v>0</v>
      </c>
      <c r="M111" s="100">
        <v>0</v>
      </c>
      <c r="N111" s="70">
        <f>INT((M111*Valores!$C$2*100)+0.5)/100</f>
        <v>0</v>
      </c>
      <c r="O111" s="70">
        <f t="shared" si="11"/>
        <v>0</v>
      </c>
      <c r="P111" s="70">
        <f t="shared" si="12"/>
        <v>11155.932000000001</v>
      </c>
      <c r="Q111" s="71">
        <f>Valores!$C$21</f>
        <v>2324</v>
      </c>
      <c r="R111" s="71">
        <f>Valores!$D$9</f>
        <v>2018.53</v>
      </c>
      <c r="S111" s="75">
        <f>Valores!$C$26</f>
        <v>2048</v>
      </c>
      <c r="T111" s="78">
        <f>Valores!$C$34</f>
        <v>375</v>
      </c>
      <c r="U111" s="75">
        <f>Valores!$C$24</f>
        <v>2049</v>
      </c>
      <c r="V111" s="70">
        <f t="shared" si="10"/>
        <v>4507.8</v>
      </c>
      <c r="W111" s="70">
        <v>0</v>
      </c>
      <c r="X111" s="70">
        <v>0</v>
      </c>
      <c r="Y111" s="94">
        <v>0</v>
      </c>
      <c r="Z111" s="70">
        <f>Y111*Valores!$C$2</f>
        <v>0</v>
      </c>
      <c r="AA111" s="70">
        <v>0</v>
      </c>
      <c r="AB111" s="80">
        <v>129.04</v>
      </c>
      <c r="AC111" s="70">
        <f t="shared" si="13"/>
        <v>0</v>
      </c>
      <c r="AD111" s="70">
        <v>129.04</v>
      </c>
      <c r="AE111" s="94">
        <v>94</v>
      </c>
      <c r="AF111" s="70">
        <f>INT(((AE111*Valores!$C$2)*100)+0.5)/100</f>
        <v>424.19</v>
      </c>
      <c r="AG111" s="70">
        <f>Valores!$C$49</f>
        <v>262.5</v>
      </c>
      <c r="AH111" s="70">
        <f>Valores!$C$50</f>
        <v>75</v>
      </c>
      <c r="AI111" s="45">
        <f t="shared" si="16"/>
        <v>32370.642</v>
      </c>
      <c r="AJ111" s="72">
        <f>Valores!$C$4</f>
        <v>300</v>
      </c>
      <c r="AK111" s="46">
        <f t="shared" si="14"/>
        <v>300</v>
      </c>
      <c r="AL111" s="71">
        <f t="shared" si="15"/>
        <v>7745.2476599999991</v>
      </c>
      <c r="AM111" s="80">
        <v>110</v>
      </c>
      <c r="AN111" s="47"/>
      <c r="AO111" s="20">
        <v>25</v>
      </c>
      <c r="AP111" s="43" t="s">
        <v>465</v>
      </c>
    </row>
    <row r="112" spans="1:42" s="9" customFormat="1" ht="11.25" customHeight="1" x14ac:dyDescent="0.15">
      <c r="A112" s="9">
        <v>111</v>
      </c>
      <c r="D112" s="9" t="s">
        <v>201</v>
      </c>
      <c r="F112" s="10" t="s">
        <v>202</v>
      </c>
      <c r="G112" s="102">
        <v>61</v>
      </c>
      <c r="H112" s="7">
        <f>INT((G112*Valores!$C$2*100)+0.5)/100</f>
        <v>275.27</v>
      </c>
      <c r="I112" s="92">
        <v>1545</v>
      </c>
      <c r="J112" s="67">
        <f>INT((I112*Valores!$C$2*100)+0.5)/100</f>
        <v>6972.12</v>
      </c>
      <c r="K112" s="131">
        <v>0</v>
      </c>
      <c r="L112" s="67">
        <f>INT((K112*Valores!$C$2*100)+0.5)/100</f>
        <v>0</v>
      </c>
      <c r="M112" s="99">
        <v>0</v>
      </c>
      <c r="N112" s="67">
        <f>INT((M112*Valores!$C$2*100)+0.5)/100</f>
        <v>0</v>
      </c>
      <c r="O112" s="67">
        <f t="shared" si="11"/>
        <v>0</v>
      </c>
      <c r="P112" s="67">
        <f t="shared" si="12"/>
        <v>9146.8679999999986</v>
      </c>
      <c r="Q112" s="68">
        <f>Valores!$C$21</f>
        <v>2324</v>
      </c>
      <c r="R112" s="68">
        <f>Valores!$D$9</f>
        <v>2018.53</v>
      </c>
      <c r="S112" s="67">
        <f>Valores!$C$26</f>
        <v>2048</v>
      </c>
      <c r="T112" s="69">
        <f>Valores!$C$34</f>
        <v>375</v>
      </c>
      <c r="U112" s="53">
        <f>Valores!$C$24</f>
        <v>2049</v>
      </c>
      <c r="V112" s="67">
        <f t="shared" si="10"/>
        <v>4507.8</v>
      </c>
      <c r="W112" s="67">
        <v>0</v>
      </c>
      <c r="X112" s="67">
        <v>0</v>
      </c>
      <c r="Y112" s="95">
        <v>0</v>
      </c>
      <c r="Z112" s="67">
        <f>Y112*Valores!$C$2</f>
        <v>0</v>
      </c>
      <c r="AA112" s="67">
        <v>0</v>
      </c>
      <c r="AB112" s="79">
        <v>129.04</v>
      </c>
      <c r="AC112" s="67">
        <f t="shared" si="13"/>
        <v>0</v>
      </c>
      <c r="AD112" s="67">
        <v>129.04</v>
      </c>
      <c r="AE112" s="95">
        <v>94</v>
      </c>
      <c r="AF112" s="67">
        <f>INT(((AE112*Valores!$C$2)*100)+0.5)/100</f>
        <v>424.19</v>
      </c>
      <c r="AG112" s="67">
        <f>Valores!$C$49</f>
        <v>262.5</v>
      </c>
      <c r="AH112" s="67">
        <f>Valores!$C$50</f>
        <v>75</v>
      </c>
      <c r="AI112" s="15">
        <f t="shared" si="16"/>
        <v>28687.357999999997</v>
      </c>
      <c r="AJ112" s="69">
        <f>Valores!$C$4</f>
        <v>300</v>
      </c>
      <c r="AK112" s="12">
        <f t="shared" si="14"/>
        <v>300</v>
      </c>
      <c r="AL112" s="68">
        <f t="shared" si="15"/>
        <v>6898.0923399999983</v>
      </c>
      <c r="AM112" s="79">
        <v>0</v>
      </c>
      <c r="AN112" s="20"/>
      <c r="AO112" s="20">
        <v>25</v>
      </c>
      <c r="AP112" s="9" t="s">
        <v>464</v>
      </c>
    </row>
    <row r="113" spans="1:42" s="9" customFormat="1" ht="11.25" customHeight="1" x14ac:dyDescent="0.15">
      <c r="A113" s="9">
        <v>112</v>
      </c>
      <c r="D113" s="9" t="s">
        <v>203</v>
      </c>
      <c r="F113" s="10" t="s">
        <v>204</v>
      </c>
      <c r="G113" s="102">
        <f>75+143</f>
        <v>218</v>
      </c>
      <c r="H113" s="7">
        <f>INT((G113*Valores!$C$2*100)+0.5)/100</f>
        <v>983.77</v>
      </c>
      <c r="I113" s="92">
        <v>2100</v>
      </c>
      <c r="J113" s="67">
        <f>INT((I113*Valores!$C$2*100)+0.5)/100</f>
        <v>9476.67</v>
      </c>
      <c r="K113" s="131">
        <v>0</v>
      </c>
      <c r="L113" s="67">
        <f>INT((K113*Valores!$C$2*100)+0.5)/100</f>
        <v>0</v>
      </c>
      <c r="M113" s="99">
        <v>0</v>
      </c>
      <c r="N113" s="67">
        <f>INT((M113*Valores!$C$2*100)+0.5)/100</f>
        <v>0</v>
      </c>
      <c r="O113" s="67">
        <f t="shared" si="11"/>
        <v>0</v>
      </c>
      <c r="P113" s="67">
        <f t="shared" si="12"/>
        <v>13002.528</v>
      </c>
      <c r="Q113" s="68">
        <f>Valores!$C$21</f>
        <v>2324</v>
      </c>
      <c r="R113" s="68">
        <f>Valores!$D$9</f>
        <v>2018.53</v>
      </c>
      <c r="S113" s="53">
        <f>Valores!$C$26</f>
        <v>2048</v>
      </c>
      <c r="T113" s="77">
        <f>Valores!$C$34</f>
        <v>375</v>
      </c>
      <c r="U113" s="53">
        <f>Valores!$C$24</f>
        <v>2049</v>
      </c>
      <c r="V113" s="67">
        <f t="shared" ref="V113:V176" si="17">U113*(1+$J$2)</f>
        <v>4507.8</v>
      </c>
      <c r="W113" s="67">
        <v>0</v>
      </c>
      <c r="X113" s="67">
        <v>0</v>
      </c>
      <c r="Y113" s="95">
        <v>0</v>
      </c>
      <c r="Z113" s="67">
        <f>Y113*Valores!$C$2</f>
        <v>0</v>
      </c>
      <c r="AA113" s="67">
        <v>0</v>
      </c>
      <c r="AB113" s="79">
        <v>129.04</v>
      </c>
      <c r="AC113" s="67">
        <f t="shared" si="13"/>
        <v>0</v>
      </c>
      <c r="AD113" s="67">
        <v>129.04</v>
      </c>
      <c r="AE113" s="95">
        <v>0</v>
      </c>
      <c r="AF113" s="67">
        <f>INT(((AE113*Valores!$C$2)*100)+0.5)/100</f>
        <v>0</v>
      </c>
      <c r="AG113" s="67">
        <f>Valores!$C$49</f>
        <v>262.5</v>
      </c>
      <c r="AH113" s="67">
        <f>Valores!$C$50</f>
        <v>75</v>
      </c>
      <c r="AI113" s="15">
        <f t="shared" si="16"/>
        <v>35331.878000000004</v>
      </c>
      <c r="AJ113" s="69">
        <f>Valores!$C$4</f>
        <v>300</v>
      </c>
      <c r="AK113" s="12">
        <f t="shared" si="14"/>
        <v>300</v>
      </c>
      <c r="AL113" s="68">
        <f t="shared" si="15"/>
        <v>8426.33194</v>
      </c>
      <c r="AM113" s="79">
        <v>110</v>
      </c>
      <c r="AN113" s="20"/>
      <c r="AO113" s="20">
        <v>30</v>
      </c>
      <c r="AP113" s="9" t="s">
        <v>465</v>
      </c>
    </row>
    <row r="114" spans="1:42" s="9" customFormat="1" ht="11.25" customHeight="1" x14ac:dyDescent="0.15">
      <c r="A114" s="9">
        <v>113</v>
      </c>
      <c r="D114" s="9" t="s">
        <v>205</v>
      </c>
      <c r="F114" s="10" t="s">
        <v>206</v>
      </c>
      <c r="G114" s="102">
        <f>77+143</f>
        <v>220</v>
      </c>
      <c r="H114" s="7">
        <f>INT((G114*Valores!$C$2*100)+0.5)/100</f>
        <v>992.79</v>
      </c>
      <c r="I114" s="92">
        <v>1995</v>
      </c>
      <c r="J114" s="67">
        <f>INT((I114*Valores!$C$2*100)+0.5)/100</f>
        <v>9002.84</v>
      </c>
      <c r="K114" s="131">
        <v>0</v>
      </c>
      <c r="L114" s="67">
        <f>INT((K114*Valores!$C$2*100)+0.5)/100</f>
        <v>0</v>
      </c>
      <c r="M114" s="99">
        <v>0</v>
      </c>
      <c r="N114" s="67">
        <f>INT((M114*Valores!$C$2*100)+0.5)/100</f>
        <v>0</v>
      </c>
      <c r="O114" s="67">
        <f t="shared" si="11"/>
        <v>0</v>
      </c>
      <c r="P114" s="67">
        <f t="shared" si="12"/>
        <v>12444.756000000001</v>
      </c>
      <c r="Q114" s="68">
        <f>Valores!$C$21</f>
        <v>2324</v>
      </c>
      <c r="R114" s="68">
        <f>Valores!$D$9</f>
        <v>2018.53</v>
      </c>
      <c r="S114" s="53">
        <f>Valores!$C$26</f>
        <v>2048</v>
      </c>
      <c r="T114" s="77">
        <f>Valores!$C$34</f>
        <v>375</v>
      </c>
      <c r="U114" s="53">
        <f>Valores!$C$24</f>
        <v>2049</v>
      </c>
      <c r="V114" s="67">
        <f t="shared" si="17"/>
        <v>4507.8</v>
      </c>
      <c r="W114" s="67">
        <v>0</v>
      </c>
      <c r="X114" s="67">
        <v>0</v>
      </c>
      <c r="Y114" s="95">
        <v>0</v>
      </c>
      <c r="Z114" s="67">
        <f>Y114*Valores!$C$2</f>
        <v>0</v>
      </c>
      <c r="AA114" s="67">
        <v>0</v>
      </c>
      <c r="AB114" s="79">
        <v>129.04</v>
      </c>
      <c r="AC114" s="67">
        <f t="shared" si="13"/>
        <v>0</v>
      </c>
      <c r="AD114" s="67">
        <v>129.04</v>
      </c>
      <c r="AE114" s="95">
        <v>0</v>
      </c>
      <c r="AF114" s="67">
        <f>INT(((AE114*Valores!$C$2)*100)+0.5)/100</f>
        <v>0</v>
      </c>
      <c r="AG114" s="67">
        <f>Valores!$C$49</f>
        <v>262.5</v>
      </c>
      <c r="AH114" s="67">
        <f>Valores!$C$50</f>
        <v>75</v>
      </c>
      <c r="AI114" s="15">
        <f t="shared" si="16"/>
        <v>34309.296000000002</v>
      </c>
      <c r="AJ114" s="69">
        <f>Valores!$C$4</f>
        <v>300</v>
      </c>
      <c r="AK114" s="12">
        <f t="shared" si="14"/>
        <v>300</v>
      </c>
      <c r="AL114" s="68">
        <f t="shared" si="15"/>
        <v>8191.1380799999997</v>
      </c>
      <c r="AM114" s="79">
        <v>110</v>
      </c>
      <c r="AN114" s="20"/>
      <c r="AO114" s="47">
        <v>30</v>
      </c>
      <c r="AP114" s="9" t="s">
        <v>465</v>
      </c>
    </row>
    <row r="115" spans="1:42" s="9" customFormat="1" ht="11.25" customHeight="1" x14ac:dyDescent="0.15">
      <c r="A115" s="9">
        <v>114</v>
      </c>
      <c r="D115" s="9" t="s">
        <v>207</v>
      </c>
      <c r="F115" s="10" t="s">
        <v>208</v>
      </c>
      <c r="G115" s="102">
        <f>72+115</f>
        <v>187</v>
      </c>
      <c r="H115" s="7">
        <f>INT((G115*Valores!$C$2*100)+0.5)/100</f>
        <v>843.87</v>
      </c>
      <c r="I115" s="92">
        <v>1704</v>
      </c>
      <c r="J115" s="67">
        <f>INT((I115*Valores!$C$2*100)+0.5)/100</f>
        <v>7689.64</v>
      </c>
      <c r="K115" s="131">
        <v>0</v>
      </c>
      <c r="L115" s="67">
        <f>INT((K115*Valores!$C$2*100)+0.5)/100</f>
        <v>0</v>
      </c>
      <c r="M115" s="99">
        <v>0</v>
      </c>
      <c r="N115" s="67">
        <f>INT((M115*Valores!$C$2*100)+0.5)/100</f>
        <v>0</v>
      </c>
      <c r="O115" s="67">
        <f t="shared" si="11"/>
        <v>0</v>
      </c>
      <c r="P115" s="67">
        <f t="shared" si="12"/>
        <v>10690.212</v>
      </c>
      <c r="Q115" s="68">
        <f>Valores!$C$21</f>
        <v>2324</v>
      </c>
      <c r="R115" s="68">
        <f>Valores!$D$9</f>
        <v>2018.53</v>
      </c>
      <c r="S115" s="53">
        <f>Valores!$C$26</f>
        <v>2048</v>
      </c>
      <c r="T115" s="77">
        <f>Valores!$C$34</f>
        <v>375</v>
      </c>
      <c r="U115" s="53">
        <f>Valores!$C$24</f>
        <v>2049</v>
      </c>
      <c r="V115" s="67">
        <f t="shared" si="17"/>
        <v>4507.8</v>
      </c>
      <c r="W115" s="67">
        <v>0</v>
      </c>
      <c r="X115" s="67">
        <v>0</v>
      </c>
      <c r="Y115" s="95">
        <v>0</v>
      </c>
      <c r="Z115" s="67">
        <f>Y115*Valores!$C$2</f>
        <v>0</v>
      </c>
      <c r="AA115" s="67">
        <v>0</v>
      </c>
      <c r="AB115" s="79">
        <v>129.04</v>
      </c>
      <c r="AC115" s="67">
        <f t="shared" si="13"/>
        <v>0</v>
      </c>
      <c r="AD115" s="67">
        <v>129.04</v>
      </c>
      <c r="AE115" s="95">
        <v>0</v>
      </c>
      <c r="AF115" s="67">
        <f>INT(((AE115*Valores!$C$2)*100)+0.5)/100</f>
        <v>0</v>
      </c>
      <c r="AG115" s="67">
        <f>Valores!$C$49</f>
        <v>262.5</v>
      </c>
      <c r="AH115" s="67">
        <f>Valores!$C$50</f>
        <v>75</v>
      </c>
      <c r="AI115" s="15">
        <f t="shared" si="16"/>
        <v>31092.632000000001</v>
      </c>
      <c r="AJ115" s="69">
        <f>Valores!$C$4</f>
        <v>300</v>
      </c>
      <c r="AK115" s="12">
        <f t="shared" si="14"/>
        <v>300</v>
      </c>
      <c r="AL115" s="68">
        <f t="shared" si="15"/>
        <v>7451.3053599999994</v>
      </c>
      <c r="AM115" s="79">
        <v>0</v>
      </c>
      <c r="AN115" s="20"/>
      <c r="AO115" s="20">
        <v>30</v>
      </c>
      <c r="AP115" s="9" t="s">
        <v>465</v>
      </c>
    </row>
    <row r="116" spans="1:42" s="9" customFormat="1" ht="11.25" customHeight="1" x14ac:dyDescent="0.15">
      <c r="A116" s="43">
        <v>115</v>
      </c>
      <c r="B116" s="43" t="s">
        <v>460</v>
      </c>
      <c r="C116" s="43"/>
      <c r="D116" s="43" t="s">
        <v>209</v>
      </c>
      <c r="E116" s="43"/>
      <c r="F116" s="44" t="s">
        <v>210</v>
      </c>
      <c r="G116" s="103">
        <f>67+94</f>
        <v>161</v>
      </c>
      <c r="H116" s="110">
        <f>INT((G116*Valores!$C$2*100)+0.5)/100</f>
        <v>726.54</v>
      </c>
      <c r="I116" s="93">
        <v>1480</v>
      </c>
      <c r="J116" s="70">
        <f>INT((I116*Valores!$C$2*100)+0.5)/100</f>
        <v>6678.8</v>
      </c>
      <c r="K116" s="132">
        <v>0</v>
      </c>
      <c r="L116" s="70">
        <f>INT((K116*Valores!$C$2*100)+0.5)/100</f>
        <v>0</v>
      </c>
      <c r="M116" s="100">
        <v>0</v>
      </c>
      <c r="N116" s="70">
        <f>INT((M116*Valores!$C$2*100)+0.5)/100</f>
        <v>0</v>
      </c>
      <c r="O116" s="70">
        <f t="shared" si="11"/>
        <v>0</v>
      </c>
      <c r="P116" s="70">
        <f t="shared" si="12"/>
        <v>9336.4079999999994</v>
      </c>
      <c r="Q116" s="71">
        <f>Valores!$C$21</f>
        <v>2324</v>
      </c>
      <c r="R116" s="71">
        <f>Valores!$D$9</f>
        <v>2018.53</v>
      </c>
      <c r="S116" s="75">
        <f>Valores!$C$26</f>
        <v>2048</v>
      </c>
      <c r="T116" s="78">
        <f>Valores!$C$34</f>
        <v>375</v>
      </c>
      <c r="U116" s="75">
        <f>Valores!$C$24</f>
        <v>2049</v>
      </c>
      <c r="V116" s="70">
        <f t="shared" si="17"/>
        <v>4507.8</v>
      </c>
      <c r="W116" s="70">
        <v>0</v>
      </c>
      <c r="X116" s="70">
        <v>0</v>
      </c>
      <c r="Y116" s="94">
        <v>0</v>
      </c>
      <c r="Z116" s="70">
        <f>Y116*Valores!$C$2</f>
        <v>0</v>
      </c>
      <c r="AA116" s="70">
        <v>0</v>
      </c>
      <c r="AB116" s="80">
        <v>129.04</v>
      </c>
      <c r="AC116" s="70">
        <f t="shared" si="13"/>
        <v>0</v>
      </c>
      <c r="AD116" s="70">
        <v>129.04</v>
      </c>
      <c r="AE116" s="94">
        <v>0</v>
      </c>
      <c r="AF116" s="70">
        <f>INT(((AE116*Valores!$C$2)*100)+0.5)/100</f>
        <v>0</v>
      </c>
      <c r="AG116" s="70">
        <f>Valores!$C$49</f>
        <v>262.5</v>
      </c>
      <c r="AH116" s="70">
        <f>Valores!$C$50</f>
        <v>75</v>
      </c>
      <c r="AI116" s="45">
        <f t="shared" si="16"/>
        <v>28610.657999999999</v>
      </c>
      <c r="AJ116" s="72">
        <f>Valores!$C$4</f>
        <v>300</v>
      </c>
      <c r="AK116" s="46">
        <f t="shared" si="14"/>
        <v>300</v>
      </c>
      <c r="AL116" s="71">
        <f t="shared" si="15"/>
        <v>6880.4513399999996</v>
      </c>
      <c r="AM116" s="80">
        <v>0</v>
      </c>
      <c r="AN116" s="47"/>
      <c r="AO116" s="20">
        <v>30</v>
      </c>
      <c r="AP116" s="43" t="s">
        <v>465</v>
      </c>
    </row>
    <row r="117" spans="1:42" s="9" customFormat="1" ht="11.25" customHeight="1" x14ac:dyDescent="0.15">
      <c r="A117" s="9">
        <v>116</v>
      </c>
      <c r="D117" s="9" t="s">
        <v>211</v>
      </c>
      <c r="F117" s="10" t="s">
        <v>212</v>
      </c>
      <c r="G117" s="102">
        <f>1184+94</f>
        <v>1278</v>
      </c>
      <c r="H117" s="7">
        <f>INT((G117*Valores!$C$2*100)+0.5)/100</f>
        <v>5767.23</v>
      </c>
      <c r="I117" s="115">
        <v>0</v>
      </c>
      <c r="J117" s="67">
        <f>INT((I117*Valores!$C$2*100)+0.5)/100</f>
        <v>0</v>
      </c>
      <c r="K117" s="131">
        <v>0</v>
      </c>
      <c r="L117" s="67">
        <f>INT((K117*Valores!$C$2*100)+0.5)/100</f>
        <v>0</v>
      </c>
      <c r="M117" s="99">
        <v>0</v>
      </c>
      <c r="N117" s="67">
        <f>INT((M117*Valores!$C$2*100)+0.5)/100</f>
        <v>0</v>
      </c>
      <c r="O117" s="67">
        <f t="shared" si="11"/>
        <v>0</v>
      </c>
      <c r="P117" s="67">
        <f t="shared" si="12"/>
        <v>7370.6759999999995</v>
      </c>
      <c r="Q117" s="68">
        <f>Valores!$C$21</f>
        <v>2324</v>
      </c>
      <c r="R117" s="68">
        <f>Valores!$D$9</f>
        <v>2018.53</v>
      </c>
      <c r="S117" s="67">
        <f>Valores!$C$26</f>
        <v>2048</v>
      </c>
      <c r="T117" s="69">
        <f>Valores!$C$34</f>
        <v>375</v>
      </c>
      <c r="U117" s="53">
        <f>Valores!$C$24</f>
        <v>2049</v>
      </c>
      <c r="V117" s="67">
        <f t="shared" si="17"/>
        <v>4507.8</v>
      </c>
      <c r="W117" s="67">
        <v>0</v>
      </c>
      <c r="X117" s="67">
        <v>0</v>
      </c>
      <c r="Y117" s="95">
        <v>0</v>
      </c>
      <c r="Z117" s="67">
        <f>Y117*Valores!$C$2</f>
        <v>0</v>
      </c>
      <c r="AA117" s="67">
        <v>0</v>
      </c>
      <c r="AB117" s="79">
        <v>129.04</v>
      </c>
      <c r="AC117" s="67">
        <f t="shared" si="13"/>
        <v>0</v>
      </c>
      <c r="AD117" s="67">
        <v>129.04</v>
      </c>
      <c r="AE117" s="95">
        <v>0</v>
      </c>
      <c r="AF117" s="67">
        <f>INT(((AE117*Valores!$C$2)*100)+0.5)/100</f>
        <v>0</v>
      </c>
      <c r="AG117" s="67">
        <f>Valores!$C$49</f>
        <v>262.5</v>
      </c>
      <c r="AH117" s="67">
        <f>Valores!$C$50</f>
        <v>75</v>
      </c>
      <c r="AI117" s="15">
        <f t="shared" si="16"/>
        <v>25006.815999999999</v>
      </c>
      <c r="AJ117" s="69">
        <f>Valores!$C$4</f>
        <v>300</v>
      </c>
      <c r="AK117" s="12">
        <f t="shared" si="14"/>
        <v>300</v>
      </c>
      <c r="AL117" s="68">
        <f t="shared" si="15"/>
        <v>6051.5676799999992</v>
      </c>
      <c r="AM117" s="79">
        <v>110</v>
      </c>
      <c r="AN117" s="20"/>
      <c r="AO117" s="20">
        <v>30</v>
      </c>
      <c r="AP117" s="9" t="s">
        <v>465</v>
      </c>
    </row>
    <row r="118" spans="1:42" s="9" customFormat="1" ht="11.25" customHeight="1" x14ac:dyDescent="0.15">
      <c r="A118" s="9">
        <v>117</v>
      </c>
      <c r="D118" s="9" t="s">
        <v>213</v>
      </c>
      <c r="F118" s="10" t="s">
        <v>214</v>
      </c>
      <c r="G118" s="102">
        <v>77</v>
      </c>
      <c r="H118" s="7">
        <f>INT((G118*Valores!$C$2*100)+0.5)/100</f>
        <v>347.48</v>
      </c>
      <c r="I118" s="115">
        <v>2073</v>
      </c>
      <c r="J118" s="67">
        <f>INT((I118*Valores!$C$2*100)+0.5)/100</f>
        <v>9354.83</v>
      </c>
      <c r="K118" s="131">
        <v>0</v>
      </c>
      <c r="L118" s="67">
        <f>INT((K118*Valores!$C$2*100)+0.5)/100</f>
        <v>0</v>
      </c>
      <c r="M118" s="99">
        <v>0</v>
      </c>
      <c r="N118" s="67">
        <f>INT((M118*Valores!$C$2*100)+0.5)/100</f>
        <v>0</v>
      </c>
      <c r="O118" s="67">
        <f t="shared" si="11"/>
        <v>0</v>
      </c>
      <c r="P118" s="67">
        <f t="shared" si="12"/>
        <v>12242.771999999999</v>
      </c>
      <c r="Q118" s="68">
        <f>Valores!$C$15</f>
        <v>2474</v>
      </c>
      <c r="R118" s="68">
        <f>Valores!$D$9</f>
        <v>2018.53</v>
      </c>
      <c r="S118" s="53">
        <f>Valores!$C$26</f>
        <v>2048</v>
      </c>
      <c r="T118" s="77">
        <f>Valores!$C$36</f>
        <v>500</v>
      </c>
      <c r="U118" s="67">
        <f>Valores!$C$23</f>
        <v>2079</v>
      </c>
      <c r="V118" s="67">
        <f t="shared" si="17"/>
        <v>4573.8</v>
      </c>
      <c r="W118" s="67">
        <v>0</v>
      </c>
      <c r="X118" s="67">
        <v>0</v>
      </c>
      <c r="Y118" s="95">
        <v>0</v>
      </c>
      <c r="Z118" s="67">
        <f>Y118*Valores!$C$2</f>
        <v>0</v>
      </c>
      <c r="AA118" s="67">
        <v>0</v>
      </c>
      <c r="AB118" s="79">
        <v>129.04</v>
      </c>
      <c r="AC118" s="67">
        <f t="shared" si="13"/>
        <v>0</v>
      </c>
      <c r="AD118" s="67">
        <v>129.04</v>
      </c>
      <c r="AE118" s="95">
        <v>0</v>
      </c>
      <c r="AF118" s="67">
        <f>INT(((AE118*Valores!$C$2)*100)+0.5)/100</f>
        <v>0</v>
      </c>
      <c r="AG118" s="67">
        <f>Valores!$C$49</f>
        <v>262.5</v>
      </c>
      <c r="AH118" s="67">
        <f>Valores!$C$50</f>
        <v>75</v>
      </c>
      <c r="AI118" s="15">
        <f t="shared" si="16"/>
        <v>34154.991999999998</v>
      </c>
      <c r="AJ118" s="69">
        <f>Valores!$C$6</f>
        <v>400</v>
      </c>
      <c r="AK118" s="12">
        <f t="shared" si="14"/>
        <v>400</v>
      </c>
      <c r="AL118" s="68">
        <f t="shared" si="15"/>
        <v>8255.6481599999988</v>
      </c>
      <c r="AM118" s="79">
        <v>0</v>
      </c>
      <c r="AN118" s="20"/>
      <c r="AO118" s="20">
        <v>30</v>
      </c>
      <c r="AP118" s="9" t="s">
        <v>465</v>
      </c>
    </row>
    <row r="119" spans="1:42" s="9" customFormat="1" ht="11.25" customHeight="1" x14ac:dyDescent="0.15">
      <c r="A119" s="9">
        <v>118</v>
      </c>
      <c r="D119" s="9" t="s">
        <v>215</v>
      </c>
      <c r="F119" s="10" t="s">
        <v>216</v>
      </c>
      <c r="G119" s="102">
        <v>77</v>
      </c>
      <c r="H119" s="7">
        <f>INT((G119*Valores!$C$2*100)+0.5)/100</f>
        <v>347.48</v>
      </c>
      <c r="I119" s="115">
        <v>2043</v>
      </c>
      <c r="J119" s="67">
        <f>INT((I119*Valores!$C$2*100)+0.5)/100</f>
        <v>9219.4500000000007</v>
      </c>
      <c r="K119" s="131">
        <v>0</v>
      </c>
      <c r="L119" s="67">
        <f>INT((K119*Valores!$C$2*100)+0.5)/100</f>
        <v>0</v>
      </c>
      <c r="M119" s="99">
        <v>0</v>
      </c>
      <c r="N119" s="67">
        <f>INT((M119*Valores!$C$2*100)+0.5)/100</f>
        <v>0</v>
      </c>
      <c r="O119" s="67">
        <f t="shared" si="11"/>
        <v>0</v>
      </c>
      <c r="P119" s="67">
        <f t="shared" si="12"/>
        <v>12080.316000000001</v>
      </c>
      <c r="Q119" s="68">
        <f>Valores!$C$16</f>
        <v>2494</v>
      </c>
      <c r="R119" s="68">
        <f>Valores!$D$9</f>
        <v>2018.53</v>
      </c>
      <c r="S119" s="53">
        <f>Valores!$C$26</f>
        <v>2048</v>
      </c>
      <c r="T119" s="77">
        <f>Valores!$C$36</f>
        <v>500</v>
      </c>
      <c r="U119" s="67">
        <f>Valores!$C$23</f>
        <v>2079</v>
      </c>
      <c r="V119" s="67">
        <f t="shared" si="17"/>
        <v>4573.8</v>
      </c>
      <c r="W119" s="67">
        <v>0</v>
      </c>
      <c r="X119" s="67">
        <v>0</v>
      </c>
      <c r="Y119" s="95">
        <v>0</v>
      </c>
      <c r="Z119" s="67">
        <f>Y119*Valores!$C$2</f>
        <v>0</v>
      </c>
      <c r="AA119" s="67">
        <v>0</v>
      </c>
      <c r="AB119" s="79">
        <v>129.04</v>
      </c>
      <c r="AC119" s="67">
        <f t="shared" si="13"/>
        <v>0</v>
      </c>
      <c r="AD119" s="67">
        <v>129.04</v>
      </c>
      <c r="AE119" s="95">
        <v>0</v>
      </c>
      <c r="AF119" s="67">
        <f>INT(((AE119*Valores!$C$2)*100)+0.5)/100</f>
        <v>0</v>
      </c>
      <c r="AG119" s="67">
        <f>Valores!$C$49</f>
        <v>262.5</v>
      </c>
      <c r="AH119" s="67">
        <f>Valores!$C$50</f>
        <v>75</v>
      </c>
      <c r="AI119" s="15">
        <f t="shared" si="16"/>
        <v>33877.156000000003</v>
      </c>
      <c r="AJ119" s="69">
        <f>Valores!$C$6</f>
        <v>400</v>
      </c>
      <c r="AK119" s="12">
        <f t="shared" si="14"/>
        <v>400</v>
      </c>
      <c r="AL119" s="68">
        <f t="shared" si="15"/>
        <v>8191.7458800000004</v>
      </c>
      <c r="AM119" s="79">
        <v>110</v>
      </c>
      <c r="AN119" s="20"/>
      <c r="AO119" s="47">
        <v>30</v>
      </c>
      <c r="AP119" s="9" t="s">
        <v>465</v>
      </c>
    </row>
    <row r="120" spans="1:42" s="9" customFormat="1" ht="11.25" customHeight="1" x14ac:dyDescent="0.15">
      <c r="A120" s="9">
        <v>119</v>
      </c>
      <c r="D120" s="9" t="s">
        <v>217</v>
      </c>
      <c r="F120" s="10" t="s">
        <v>218</v>
      </c>
      <c r="G120" s="102">
        <v>76</v>
      </c>
      <c r="H120" s="7">
        <f>INT((G120*Valores!$C$2*100)+0.5)/100</f>
        <v>342.97</v>
      </c>
      <c r="I120" s="115">
        <v>1954</v>
      </c>
      <c r="J120" s="67">
        <f>INT((I120*Valores!$C$2*100)+0.5)/100</f>
        <v>8817.82</v>
      </c>
      <c r="K120" s="131">
        <v>0</v>
      </c>
      <c r="L120" s="67">
        <f>INT((K120*Valores!$C$2*100)+0.5)/100</f>
        <v>0</v>
      </c>
      <c r="M120" s="99">
        <v>0</v>
      </c>
      <c r="N120" s="67">
        <f>INT((M120*Valores!$C$2*100)+0.5)/100</f>
        <v>0</v>
      </c>
      <c r="O120" s="67">
        <f t="shared" si="11"/>
        <v>0</v>
      </c>
      <c r="P120" s="67">
        <f t="shared" si="12"/>
        <v>11592.947999999999</v>
      </c>
      <c r="Q120" s="68">
        <f>Valores!$C$16</f>
        <v>2494</v>
      </c>
      <c r="R120" s="68">
        <f>Valores!$D$9</f>
        <v>2018.53</v>
      </c>
      <c r="S120" s="53">
        <f>Valores!$C$26</f>
        <v>2048</v>
      </c>
      <c r="T120" s="77">
        <f>Valores!$C$36</f>
        <v>500</v>
      </c>
      <c r="U120" s="67">
        <f>Valores!$C$23</f>
        <v>2079</v>
      </c>
      <c r="V120" s="67">
        <f t="shared" si="17"/>
        <v>4573.8</v>
      </c>
      <c r="W120" s="67">
        <v>0</v>
      </c>
      <c r="X120" s="67">
        <v>0</v>
      </c>
      <c r="Y120" s="95">
        <v>0</v>
      </c>
      <c r="Z120" s="67">
        <f>Y120*Valores!$C$2</f>
        <v>0</v>
      </c>
      <c r="AA120" s="67">
        <v>0</v>
      </c>
      <c r="AB120" s="79">
        <v>129.04</v>
      </c>
      <c r="AC120" s="67">
        <f t="shared" si="13"/>
        <v>0</v>
      </c>
      <c r="AD120" s="67">
        <v>129.04</v>
      </c>
      <c r="AE120" s="95">
        <v>0</v>
      </c>
      <c r="AF120" s="67">
        <f>INT(((AE120*Valores!$C$2)*100)+0.5)/100</f>
        <v>0</v>
      </c>
      <c r="AG120" s="67">
        <f>Valores!$C$49</f>
        <v>262.5</v>
      </c>
      <c r="AH120" s="67">
        <f>Valores!$C$50</f>
        <v>75</v>
      </c>
      <c r="AI120" s="15">
        <f t="shared" si="16"/>
        <v>32983.648000000001</v>
      </c>
      <c r="AJ120" s="69">
        <f>Valores!$C$6</f>
        <v>400</v>
      </c>
      <c r="AK120" s="12">
        <f t="shared" si="14"/>
        <v>400</v>
      </c>
      <c r="AL120" s="68">
        <f t="shared" si="15"/>
        <v>7986.2390399999995</v>
      </c>
      <c r="AM120" s="79">
        <v>0</v>
      </c>
      <c r="AN120" s="20"/>
      <c r="AO120" s="20">
        <v>30</v>
      </c>
      <c r="AP120" s="9" t="s">
        <v>465</v>
      </c>
    </row>
    <row r="121" spans="1:42" s="9" customFormat="1" ht="11.25" customHeight="1" x14ac:dyDescent="0.15">
      <c r="A121" s="43">
        <v>120</v>
      </c>
      <c r="B121" s="43" t="s">
        <v>460</v>
      </c>
      <c r="C121" s="43"/>
      <c r="D121" s="43" t="s">
        <v>219</v>
      </c>
      <c r="E121" s="43"/>
      <c r="F121" s="44" t="s">
        <v>220</v>
      </c>
      <c r="G121" s="103">
        <v>274</v>
      </c>
      <c r="H121" s="110">
        <f>INT((G121*Valores!$C$2*100)+0.5)/100</f>
        <v>1236.48</v>
      </c>
      <c r="I121" s="114">
        <v>1163</v>
      </c>
      <c r="J121" s="70">
        <f>INT((I121*Valores!$C$2*100)+0.5)/100</f>
        <v>5248.27</v>
      </c>
      <c r="K121" s="132">
        <v>0</v>
      </c>
      <c r="L121" s="70">
        <f>INT((K121*Valores!$C$2*100)+0.5)/100</f>
        <v>0</v>
      </c>
      <c r="M121" s="100">
        <v>0</v>
      </c>
      <c r="N121" s="70">
        <f>INT((M121*Valores!$C$2*100)+0.5)/100</f>
        <v>0</v>
      </c>
      <c r="O121" s="70">
        <f t="shared" si="11"/>
        <v>0</v>
      </c>
      <c r="P121" s="70">
        <f t="shared" si="12"/>
        <v>8381.6999999999989</v>
      </c>
      <c r="Q121" s="71">
        <f>Valores!$C$16</f>
        <v>2494</v>
      </c>
      <c r="R121" s="71">
        <f>Valores!$D$9</f>
        <v>2018.53</v>
      </c>
      <c r="S121" s="75">
        <f>Valores!$C$26</f>
        <v>2048</v>
      </c>
      <c r="T121" s="78">
        <f>Valores!$C$36</f>
        <v>500</v>
      </c>
      <c r="U121" s="70">
        <f>Valores!$C$23</f>
        <v>2079</v>
      </c>
      <c r="V121" s="70">
        <f t="shared" si="17"/>
        <v>4573.8</v>
      </c>
      <c r="W121" s="70">
        <v>0</v>
      </c>
      <c r="X121" s="70">
        <v>0</v>
      </c>
      <c r="Y121" s="94">
        <v>0</v>
      </c>
      <c r="Z121" s="70">
        <f>Y121*Valores!$C$2</f>
        <v>0</v>
      </c>
      <c r="AA121" s="70">
        <v>0</v>
      </c>
      <c r="AB121" s="80">
        <v>129.04</v>
      </c>
      <c r="AC121" s="70">
        <f t="shared" si="13"/>
        <v>0</v>
      </c>
      <c r="AD121" s="70">
        <v>129.04</v>
      </c>
      <c r="AE121" s="94">
        <v>0</v>
      </c>
      <c r="AF121" s="70">
        <f>INT(((AE121*Valores!$C$2)*100)+0.5)/100</f>
        <v>0</v>
      </c>
      <c r="AG121" s="70">
        <f>Valores!$C$49</f>
        <v>262.5</v>
      </c>
      <c r="AH121" s="70">
        <f>Valores!$C$50</f>
        <v>75</v>
      </c>
      <c r="AI121" s="45">
        <f t="shared" si="16"/>
        <v>27096.359999999997</v>
      </c>
      <c r="AJ121" s="72">
        <f>Valores!$C$6</f>
        <v>400</v>
      </c>
      <c r="AK121" s="46">
        <f t="shared" si="14"/>
        <v>400</v>
      </c>
      <c r="AL121" s="71">
        <f t="shared" si="15"/>
        <v>6632.1627999999992</v>
      </c>
      <c r="AM121" s="80">
        <v>0</v>
      </c>
      <c r="AN121" s="47"/>
      <c r="AO121" s="20">
        <v>30</v>
      </c>
      <c r="AP121" s="43" t="s">
        <v>465</v>
      </c>
    </row>
    <row r="122" spans="1:42" s="9" customFormat="1" ht="11.25" customHeight="1" x14ac:dyDescent="0.15">
      <c r="A122" s="9">
        <v>121</v>
      </c>
      <c r="D122" s="9" t="s">
        <v>221</v>
      </c>
      <c r="F122" s="10" t="s">
        <v>222</v>
      </c>
      <c r="G122" s="102">
        <v>2800</v>
      </c>
      <c r="H122" s="7">
        <f>INT((G122*Valores!$C$2*100)+0.5)/100</f>
        <v>12635.56</v>
      </c>
      <c r="I122" s="115">
        <v>0</v>
      </c>
      <c r="J122" s="67">
        <f>INT((I122*Valores!$C$2*100)+0.5)/100</f>
        <v>0</v>
      </c>
      <c r="K122" s="131">
        <v>0</v>
      </c>
      <c r="L122" s="67">
        <f>INT((K122*Valores!$C$2*100)+0.5)/100</f>
        <v>0</v>
      </c>
      <c r="M122" s="99">
        <v>0</v>
      </c>
      <c r="N122" s="67">
        <f>INT((M122*Valores!$C$2*100)+0.5)/100</f>
        <v>0</v>
      </c>
      <c r="O122" s="67">
        <f t="shared" si="11"/>
        <v>0</v>
      </c>
      <c r="P122" s="67">
        <f t="shared" si="12"/>
        <v>16062.671999999999</v>
      </c>
      <c r="Q122" s="68">
        <f>Valores!$C$21</f>
        <v>2324</v>
      </c>
      <c r="R122" s="68">
        <f>Valores!$D$9</f>
        <v>2018.53</v>
      </c>
      <c r="S122" s="67">
        <f>Valores!$C$26</f>
        <v>2048</v>
      </c>
      <c r="T122" s="69">
        <f>Valores!$C$37</f>
        <v>750</v>
      </c>
      <c r="U122" s="53">
        <f>Valores!$C$24</f>
        <v>2049</v>
      </c>
      <c r="V122" s="67">
        <f t="shared" si="17"/>
        <v>4507.8</v>
      </c>
      <c r="W122" s="67">
        <v>0</v>
      </c>
      <c r="X122" s="67">
        <v>0</v>
      </c>
      <c r="Y122" s="95">
        <v>0</v>
      </c>
      <c r="Z122" s="67">
        <f>Y122*Valores!$C$2</f>
        <v>0</v>
      </c>
      <c r="AA122" s="67">
        <v>0</v>
      </c>
      <c r="AB122" s="79">
        <v>129.04</v>
      </c>
      <c r="AC122" s="67">
        <f t="shared" si="13"/>
        <v>0</v>
      </c>
      <c r="AD122" s="67">
        <v>129.04</v>
      </c>
      <c r="AE122" s="95">
        <v>0</v>
      </c>
      <c r="AF122" s="67">
        <f>INT(((AE122*Valores!$C$2)*100)+0.5)/100</f>
        <v>0</v>
      </c>
      <c r="AG122" s="67">
        <f>Valores!$C$49</f>
        <v>262.5</v>
      </c>
      <c r="AH122" s="67">
        <f>Valores!$C$50</f>
        <v>75</v>
      </c>
      <c r="AI122" s="15">
        <f t="shared" si="16"/>
        <v>40942.142</v>
      </c>
      <c r="AJ122" s="69">
        <f>Valores!$C$7</f>
        <v>600</v>
      </c>
      <c r="AK122" s="12">
        <f t="shared" si="14"/>
        <v>600</v>
      </c>
      <c r="AL122" s="68">
        <f t="shared" si="15"/>
        <v>10016.692659999999</v>
      </c>
      <c r="AM122" s="79">
        <v>220</v>
      </c>
      <c r="AN122" s="20"/>
      <c r="AO122" s="20"/>
      <c r="AP122" s="9" t="s">
        <v>465</v>
      </c>
    </row>
    <row r="123" spans="1:42" s="9" customFormat="1" ht="11.25" customHeight="1" x14ac:dyDescent="0.15">
      <c r="A123" s="9">
        <v>122</v>
      </c>
      <c r="D123" s="9" t="s">
        <v>223</v>
      </c>
      <c r="F123" s="10" t="s">
        <v>224</v>
      </c>
      <c r="G123" s="102">
        <v>2850</v>
      </c>
      <c r="H123" s="7">
        <f>INT((G123*Valores!$C$2*100)+0.5)/100</f>
        <v>12861.2</v>
      </c>
      <c r="I123" s="115">
        <v>0</v>
      </c>
      <c r="J123" s="67">
        <f>INT((I123*Valores!$C$2*100)+0.5)/100</f>
        <v>0</v>
      </c>
      <c r="K123" s="131">
        <v>0</v>
      </c>
      <c r="L123" s="67">
        <f>INT((K123*Valores!$C$2*100)+0.5)/100</f>
        <v>0</v>
      </c>
      <c r="M123" s="99">
        <v>0</v>
      </c>
      <c r="N123" s="67">
        <f>INT((M123*Valores!$C$2*100)+0.5)/100</f>
        <v>0</v>
      </c>
      <c r="O123" s="67">
        <f t="shared" si="11"/>
        <v>0</v>
      </c>
      <c r="P123" s="67">
        <f t="shared" si="12"/>
        <v>16333.44</v>
      </c>
      <c r="Q123" s="68">
        <f>Valores!$C$16</f>
        <v>2494</v>
      </c>
      <c r="R123" s="68">
        <f>Valores!$D$9</f>
        <v>2018.53</v>
      </c>
      <c r="S123" s="53">
        <f>Valores!$C$26</f>
        <v>2048</v>
      </c>
      <c r="T123" s="77">
        <f>Valores!$C$37</f>
        <v>750</v>
      </c>
      <c r="U123" s="53">
        <f>Valores!$C$24</f>
        <v>2049</v>
      </c>
      <c r="V123" s="67">
        <f t="shared" si="17"/>
        <v>4507.8</v>
      </c>
      <c r="W123" s="67">
        <v>0</v>
      </c>
      <c r="X123" s="67">
        <v>0</v>
      </c>
      <c r="Y123" s="95">
        <v>0</v>
      </c>
      <c r="Z123" s="67">
        <f>Y123*Valores!$C$2</f>
        <v>0</v>
      </c>
      <c r="AA123" s="67">
        <v>0</v>
      </c>
      <c r="AB123" s="79">
        <v>129.04</v>
      </c>
      <c r="AC123" s="67">
        <f t="shared" si="13"/>
        <v>0</v>
      </c>
      <c r="AD123" s="67">
        <v>129.04</v>
      </c>
      <c r="AE123" s="95">
        <v>0</v>
      </c>
      <c r="AF123" s="67">
        <f>INT(((AE123*Valores!$C$2)*100)+0.5)/100</f>
        <v>0</v>
      </c>
      <c r="AG123" s="67">
        <f>Valores!$C$49</f>
        <v>262.5</v>
      </c>
      <c r="AH123" s="67">
        <f>Valores!$C$50</f>
        <v>75</v>
      </c>
      <c r="AI123" s="15">
        <f t="shared" si="16"/>
        <v>41608.550000000003</v>
      </c>
      <c r="AJ123" s="69">
        <f>Valores!$C$7</f>
        <v>600</v>
      </c>
      <c r="AK123" s="12">
        <f t="shared" si="14"/>
        <v>600</v>
      </c>
      <c r="AL123" s="68">
        <f t="shared" si="15"/>
        <v>10169.9665</v>
      </c>
      <c r="AM123" s="79">
        <v>110</v>
      </c>
      <c r="AN123" s="20"/>
      <c r="AO123" s="20"/>
      <c r="AP123" s="9" t="s">
        <v>465</v>
      </c>
    </row>
    <row r="124" spans="1:42" s="9" customFormat="1" ht="11.25" customHeight="1" x14ac:dyDescent="0.15">
      <c r="A124" s="9">
        <v>123</v>
      </c>
      <c r="D124" s="9" t="s">
        <v>225</v>
      </c>
      <c r="F124" s="10" t="s">
        <v>226</v>
      </c>
      <c r="G124" s="102">
        <v>1735</v>
      </c>
      <c r="H124" s="7">
        <f>INT((G124*Valores!$C$2*100)+0.5)/100</f>
        <v>7829.53</v>
      </c>
      <c r="I124" s="115">
        <v>0</v>
      </c>
      <c r="J124" s="67">
        <f>INT((I124*Valores!$C$2*100)+0.5)/100</f>
        <v>0</v>
      </c>
      <c r="K124" s="131">
        <v>0</v>
      </c>
      <c r="L124" s="67">
        <f>INT((K124*Valores!$C$2*100)+0.5)/100</f>
        <v>0</v>
      </c>
      <c r="M124" s="99">
        <v>0</v>
      </c>
      <c r="N124" s="67">
        <f>INT((M124*Valores!$C$2*100)+0.5)/100</f>
        <v>0</v>
      </c>
      <c r="O124" s="67">
        <f t="shared" si="11"/>
        <v>0</v>
      </c>
      <c r="P124" s="67">
        <f t="shared" si="12"/>
        <v>9920.4359999999979</v>
      </c>
      <c r="Q124" s="68">
        <f>Valores!$C$21</f>
        <v>2324</v>
      </c>
      <c r="R124" s="68">
        <f>Valores!$D$9</f>
        <v>2018.53</v>
      </c>
      <c r="S124" s="67">
        <v>0</v>
      </c>
      <c r="T124" s="69">
        <f>Valores!$C$35</f>
        <v>437.5</v>
      </c>
      <c r="U124" s="53">
        <f>Valores!$C$24</f>
        <v>2049</v>
      </c>
      <c r="V124" s="67">
        <f t="shared" si="17"/>
        <v>4507.8</v>
      </c>
      <c r="W124" s="67">
        <v>0</v>
      </c>
      <c r="X124" s="67">
        <v>0</v>
      </c>
      <c r="Y124" s="95">
        <v>0</v>
      </c>
      <c r="Z124" s="67">
        <f>Y124*Valores!$C$2</f>
        <v>0</v>
      </c>
      <c r="AA124" s="67">
        <v>0</v>
      </c>
      <c r="AB124" s="79">
        <v>129.04</v>
      </c>
      <c r="AC124" s="67">
        <f t="shared" si="13"/>
        <v>0</v>
      </c>
      <c r="AD124" s="67">
        <v>129.04</v>
      </c>
      <c r="AE124" s="95">
        <v>0</v>
      </c>
      <c r="AF124" s="67">
        <f>INT(((AE124*Valores!$C$2)*100)+0.5)/100</f>
        <v>0</v>
      </c>
      <c r="AG124" s="67">
        <f>Valores!$C$49</f>
        <v>262.5</v>
      </c>
      <c r="AH124" s="67">
        <f>Valores!$C$50</f>
        <v>75</v>
      </c>
      <c r="AI124" s="15">
        <f t="shared" si="16"/>
        <v>27633.375999999997</v>
      </c>
      <c r="AJ124" s="69">
        <f>Valores!$C$5</f>
        <v>350</v>
      </c>
      <c r="AK124" s="12">
        <f t="shared" si="14"/>
        <v>350</v>
      </c>
      <c r="AL124" s="68">
        <f t="shared" si="15"/>
        <v>6705.6764799999992</v>
      </c>
      <c r="AM124" s="79">
        <v>110</v>
      </c>
      <c r="AN124" s="20"/>
      <c r="AO124" s="47"/>
      <c r="AP124" s="9" t="s">
        <v>465</v>
      </c>
    </row>
    <row r="125" spans="1:42" s="9" customFormat="1" ht="11.25" customHeight="1" x14ac:dyDescent="0.15">
      <c r="A125" s="9">
        <v>124</v>
      </c>
      <c r="D125" s="9" t="s">
        <v>227</v>
      </c>
      <c r="F125" s="10" t="s">
        <v>228</v>
      </c>
      <c r="G125" s="102">
        <v>72</v>
      </c>
      <c r="H125" s="7">
        <f>INT((G125*Valores!$C$2*100)+0.5)/100</f>
        <v>324.91000000000003</v>
      </c>
      <c r="I125" s="115">
        <v>1590</v>
      </c>
      <c r="J125" s="67">
        <f>INT((I125*Valores!$C$2*100)+0.5)/100</f>
        <v>7175.19</v>
      </c>
      <c r="K125" s="131">
        <v>0</v>
      </c>
      <c r="L125" s="67">
        <f>INT((K125*Valores!$C$2*100)+0.5)/100</f>
        <v>0</v>
      </c>
      <c r="M125" s="99">
        <v>0</v>
      </c>
      <c r="N125" s="67">
        <f>INT((M125*Valores!$C$2*100)+0.5)/100</f>
        <v>0</v>
      </c>
      <c r="O125" s="67">
        <f t="shared" si="11"/>
        <v>0</v>
      </c>
      <c r="P125" s="67">
        <f t="shared" si="12"/>
        <v>9525.119999999999</v>
      </c>
      <c r="Q125" s="68">
        <f>Valores!$C$21</f>
        <v>2324</v>
      </c>
      <c r="R125" s="68">
        <f>Valores!$D$9</f>
        <v>2018.53</v>
      </c>
      <c r="S125" s="69">
        <f>Valores!$C$26</f>
        <v>2048</v>
      </c>
      <c r="T125" s="69">
        <f>Valores!$C$35</f>
        <v>437.5</v>
      </c>
      <c r="U125" s="53">
        <f>Valores!$C$24</f>
        <v>2049</v>
      </c>
      <c r="V125" s="67">
        <f t="shared" si="17"/>
        <v>4507.8</v>
      </c>
      <c r="W125" s="67">
        <v>0</v>
      </c>
      <c r="X125" s="67">
        <v>0</v>
      </c>
      <c r="Y125" s="95">
        <v>0</v>
      </c>
      <c r="Z125" s="67">
        <f>Y125*Valores!$C$2</f>
        <v>0</v>
      </c>
      <c r="AA125" s="67">
        <v>0</v>
      </c>
      <c r="AB125" s="79">
        <v>129.04</v>
      </c>
      <c r="AC125" s="67">
        <f t="shared" si="13"/>
        <v>0</v>
      </c>
      <c r="AD125" s="67">
        <v>129.04</v>
      </c>
      <c r="AE125" s="95">
        <v>0</v>
      </c>
      <c r="AF125" s="67">
        <f>INT(((AE125*Valores!$C$2)*100)+0.5)/100</f>
        <v>0</v>
      </c>
      <c r="AG125" s="67">
        <f>Valores!$C$49</f>
        <v>262.5</v>
      </c>
      <c r="AH125" s="67">
        <f>Valores!$C$50</f>
        <v>75</v>
      </c>
      <c r="AI125" s="15">
        <f t="shared" si="16"/>
        <v>28956.629999999997</v>
      </c>
      <c r="AJ125" s="69">
        <f>Valores!$C$5</f>
        <v>350</v>
      </c>
      <c r="AK125" s="12">
        <f t="shared" si="14"/>
        <v>350</v>
      </c>
      <c r="AL125" s="68">
        <f t="shared" si="15"/>
        <v>7010.0248999999985</v>
      </c>
      <c r="AM125" s="79">
        <v>110</v>
      </c>
      <c r="AN125" s="20"/>
      <c r="AO125" s="20">
        <v>25</v>
      </c>
      <c r="AP125" s="9" t="s">
        <v>465</v>
      </c>
    </row>
    <row r="126" spans="1:42" s="9" customFormat="1" ht="11.25" customHeight="1" x14ac:dyDescent="0.15">
      <c r="A126" s="43">
        <v>125</v>
      </c>
      <c r="B126" s="43" t="s">
        <v>460</v>
      </c>
      <c r="C126" s="43"/>
      <c r="D126" s="43" t="s">
        <v>229</v>
      </c>
      <c r="E126" s="43"/>
      <c r="F126" s="44" t="s">
        <v>230</v>
      </c>
      <c r="G126" s="103">
        <v>72</v>
      </c>
      <c r="H126" s="110">
        <f>INT((G126*Valores!$C$2*100)+0.5)/100</f>
        <v>324.91000000000003</v>
      </c>
      <c r="I126" s="114">
        <v>1590</v>
      </c>
      <c r="J126" s="70">
        <f>INT((I126*Valores!$C$2*100)+0.5)/100</f>
        <v>7175.19</v>
      </c>
      <c r="K126" s="132">
        <v>0</v>
      </c>
      <c r="L126" s="70">
        <f>INT((K126*Valores!$C$2*100)+0.5)/100</f>
        <v>0</v>
      </c>
      <c r="M126" s="100">
        <v>0</v>
      </c>
      <c r="N126" s="70">
        <f>INT((M126*Valores!$C$2*100)+0.5)/100</f>
        <v>0</v>
      </c>
      <c r="O126" s="70">
        <f t="shared" si="11"/>
        <v>0</v>
      </c>
      <c r="P126" s="70">
        <f t="shared" si="12"/>
        <v>9525.119999999999</v>
      </c>
      <c r="Q126" s="71">
        <f>Valores!$C$21</f>
        <v>2324</v>
      </c>
      <c r="R126" s="71">
        <f>Valores!$D$9</f>
        <v>2018.53</v>
      </c>
      <c r="S126" s="78">
        <f>Valores!$C$26</f>
        <v>2048</v>
      </c>
      <c r="T126" s="78">
        <f>Valores!$C$35</f>
        <v>437.5</v>
      </c>
      <c r="U126" s="75">
        <f>Valores!$C$24</f>
        <v>2049</v>
      </c>
      <c r="V126" s="70">
        <f t="shared" si="17"/>
        <v>4507.8</v>
      </c>
      <c r="W126" s="70">
        <v>0</v>
      </c>
      <c r="X126" s="70">
        <v>0</v>
      </c>
      <c r="Y126" s="94">
        <v>0</v>
      </c>
      <c r="Z126" s="70">
        <f>Y126*Valores!$C$2</f>
        <v>0</v>
      </c>
      <c r="AA126" s="70">
        <v>0</v>
      </c>
      <c r="AB126" s="80">
        <v>129.04</v>
      </c>
      <c r="AC126" s="70">
        <f t="shared" si="13"/>
        <v>0</v>
      </c>
      <c r="AD126" s="70">
        <v>129.04</v>
      </c>
      <c r="AE126" s="94">
        <v>94</v>
      </c>
      <c r="AF126" s="70">
        <f>INT(((AE126*Valores!$C$2)*100)+0.5)/100</f>
        <v>424.19</v>
      </c>
      <c r="AG126" s="70">
        <f>Valores!$C$49</f>
        <v>262.5</v>
      </c>
      <c r="AH126" s="70">
        <f>Valores!$C$50</f>
        <v>75</v>
      </c>
      <c r="AI126" s="45">
        <f t="shared" si="16"/>
        <v>29380.819999999996</v>
      </c>
      <c r="AJ126" s="72">
        <f>Valores!$C$5</f>
        <v>350</v>
      </c>
      <c r="AK126" s="46">
        <f t="shared" si="14"/>
        <v>350</v>
      </c>
      <c r="AL126" s="71">
        <f t="shared" si="15"/>
        <v>7107.5885999999982</v>
      </c>
      <c r="AM126" s="80">
        <v>110</v>
      </c>
      <c r="AN126" s="47"/>
      <c r="AO126" s="20">
        <v>20</v>
      </c>
      <c r="AP126" s="43" t="s">
        <v>465</v>
      </c>
    </row>
    <row r="127" spans="1:42" s="9" customFormat="1" ht="11.25" customHeight="1" x14ac:dyDescent="0.15">
      <c r="A127" s="9">
        <v>126</v>
      </c>
      <c r="D127" s="9" t="s">
        <v>231</v>
      </c>
      <c r="F127" s="10" t="s">
        <v>232</v>
      </c>
      <c r="G127" s="102">
        <v>77</v>
      </c>
      <c r="H127" s="7">
        <f>INT((G127*Valores!$C$2*100)+0.5)/100</f>
        <v>347.48</v>
      </c>
      <c r="I127" s="115">
        <v>2043</v>
      </c>
      <c r="J127" s="67">
        <f>INT((I127*Valores!$C$2*100)+0.5)/100</f>
        <v>9219.4500000000007</v>
      </c>
      <c r="K127" s="131">
        <v>0</v>
      </c>
      <c r="L127" s="67">
        <f>INT((K127*Valores!$C$2*100)+0.5)/100</f>
        <v>0</v>
      </c>
      <c r="M127" s="99">
        <v>0</v>
      </c>
      <c r="N127" s="67">
        <f>INT((M127*Valores!$C$2*100)+0.5)/100</f>
        <v>0</v>
      </c>
      <c r="O127" s="67">
        <f t="shared" si="11"/>
        <v>0</v>
      </c>
      <c r="P127" s="67">
        <f t="shared" si="12"/>
        <v>12080.316000000001</v>
      </c>
      <c r="Q127" s="73">
        <f>Valores!$C$16</f>
        <v>2494</v>
      </c>
      <c r="R127" s="68">
        <f>Valores!$D$9</f>
        <v>2018.53</v>
      </c>
      <c r="S127" s="69">
        <f>Valores!$C$26</f>
        <v>2048</v>
      </c>
      <c r="T127" s="69">
        <f>Valores!$C$36</f>
        <v>500</v>
      </c>
      <c r="U127" s="67">
        <f>Valores!$C$23</f>
        <v>2079</v>
      </c>
      <c r="V127" s="67">
        <f t="shared" si="17"/>
        <v>4573.8</v>
      </c>
      <c r="W127" s="67">
        <v>0</v>
      </c>
      <c r="X127" s="67">
        <v>0</v>
      </c>
      <c r="Y127" s="95">
        <v>0</v>
      </c>
      <c r="Z127" s="67">
        <f>Y127*Valores!$C$2</f>
        <v>0</v>
      </c>
      <c r="AA127" s="67">
        <v>0</v>
      </c>
      <c r="AB127" s="79">
        <v>129.04</v>
      </c>
      <c r="AC127" s="67">
        <f t="shared" si="13"/>
        <v>0</v>
      </c>
      <c r="AD127" s="67">
        <v>129.04</v>
      </c>
      <c r="AE127" s="95">
        <v>0</v>
      </c>
      <c r="AF127" s="67">
        <f>INT(((AE127*Valores!$C$2)*100)+0.5)/100</f>
        <v>0</v>
      </c>
      <c r="AG127" s="67">
        <f>Valores!$C$49</f>
        <v>262.5</v>
      </c>
      <c r="AH127" s="67">
        <f>Valores!$C$50</f>
        <v>75</v>
      </c>
      <c r="AI127" s="15">
        <f t="shared" si="16"/>
        <v>33877.156000000003</v>
      </c>
      <c r="AJ127" s="69">
        <f>Valores!$C$6</f>
        <v>400</v>
      </c>
      <c r="AK127" s="12">
        <f t="shared" si="14"/>
        <v>400</v>
      </c>
      <c r="AL127" s="68">
        <f t="shared" si="15"/>
        <v>8191.7458800000004</v>
      </c>
      <c r="AM127" s="79">
        <v>0</v>
      </c>
      <c r="AN127" s="20"/>
      <c r="AO127" s="20"/>
      <c r="AP127" s="9" t="s">
        <v>465</v>
      </c>
    </row>
    <row r="128" spans="1:42" s="9" customFormat="1" ht="11.25" customHeight="1" x14ac:dyDescent="0.15">
      <c r="A128" s="9">
        <v>127</v>
      </c>
      <c r="D128" s="9" t="s">
        <v>233</v>
      </c>
      <c r="F128" s="10" t="s">
        <v>234</v>
      </c>
      <c r="G128" s="102">
        <v>61</v>
      </c>
      <c r="H128" s="7">
        <f>INT((G128*Valores!$C$2*100)+0.5)/100</f>
        <v>275.27</v>
      </c>
      <c r="I128" s="115">
        <v>1217</v>
      </c>
      <c r="J128" s="67">
        <f>INT((I128*Valores!$C$2*100)+0.5)/100</f>
        <v>5491.96</v>
      </c>
      <c r="K128" s="131">
        <v>0</v>
      </c>
      <c r="L128" s="67">
        <f>INT((K128*Valores!$C$2*100)+0.5)/100</f>
        <v>0</v>
      </c>
      <c r="M128" s="99">
        <v>0</v>
      </c>
      <c r="N128" s="67">
        <f>INT((M128*Valores!$C$2*100)+0.5)/100</f>
        <v>0</v>
      </c>
      <c r="O128" s="67">
        <f t="shared" si="11"/>
        <v>0</v>
      </c>
      <c r="P128" s="67">
        <f t="shared" si="12"/>
        <v>7445.6759999999995</v>
      </c>
      <c r="Q128" s="68">
        <f>Valores!$C$21</f>
        <v>2324</v>
      </c>
      <c r="R128" s="68">
        <f>Valores!$D$9</f>
        <v>2018.53</v>
      </c>
      <c r="S128" s="69">
        <f>Valores!$C$26</f>
        <v>2048</v>
      </c>
      <c r="T128" s="69">
        <f>Valores!$C$35</f>
        <v>437.5</v>
      </c>
      <c r="U128" s="53">
        <f>Valores!$C$23</f>
        <v>2079</v>
      </c>
      <c r="V128" s="67">
        <f t="shared" si="17"/>
        <v>4573.8</v>
      </c>
      <c r="W128" s="67">
        <v>0</v>
      </c>
      <c r="X128" s="67">
        <v>0</v>
      </c>
      <c r="Y128" s="95">
        <v>0</v>
      </c>
      <c r="Z128" s="67">
        <f>Y128*Valores!$C$2</f>
        <v>0</v>
      </c>
      <c r="AA128" s="67">
        <v>0</v>
      </c>
      <c r="AB128" s="79">
        <v>129.04</v>
      </c>
      <c r="AC128" s="67">
        <f t="shared" si="13"/>
        <v>0</v>
      </c>
      <c r="AD128" s="67">
        <v>129.04</v>
      </c>
      <c r="AE128" s="95">
        <v>0</v>
      </c>
      <c r="AF128" s="67">
        <f>INT(((AE128*Valores!$C$2)*100)+0.5)/100</f>
        <v>0</v>
      </c>
      <c r="AG128" s="67">
        <f>Valores!$C$49</f>
        <v>262.5</v>
      </c>
      <c r="AH128" s="67">
        <f>Valores!$C$50</f>
        <v>75</v>
      </c>
      <c r="AI128" s="15">
        <f t="shared" si="16"/>
        <v>25210.315999999999</v>
      </c>
      <c r="AJ128" s="69">
        <f>Valores!$C$5</f>
        <v>350</v>
      </c>
      <c r="AK128" s="12">
        <f t="shared" si="14"/>
        <v>350</v>
      </c>
      <c r="AL128" s="68">
        <f t="shared" si="15"/>
        <v>6148.3726799999995</v>
      </c>
      <c r="AM128" s="79">
        <v>110</v>
      </c>
      <c r="AN128" s="20"/>
      <c r="AO128" s="20">
        <v>25</v>
      </c>
      <c r="AP128" s="9" t="s">
        <v>465</v>
      </c>
    </row>
    <row r="129" spans="1:42" s="9" customFormat="1" ht="11.25" customHeight="1" x14ac:dyDescent="0.15">
      <c r="A129" s="9">
        <v>128</v>
      </c>
      <c r="D129" s="9" t="s">
        <v>235</v>
      </c>
      <c r="F129" s="10" t="s">
        <v>236</v>
      </c>
      <c r="G129" s="102">
        <v>72</v>
      </c>
      <c r="H129" s="7">
        <f>INT((G129*Valores!$C$2*100)+0.5)/100</f>
        <v>324.91000000000003</v>
      </c>
      <c r="I129" s="115">
        <v>1206</v>
      </c>
      <c r="J129" s="67">
        <f>INT((I129*Valores!$C$2*100)+0.5)/100</f>
        <v>5442.32</v>
      </c>
      <c r="K129" s="131">
        <v>0</v>
      </c>
      <c r="L129" s="67">
        <f>INT((K129*Valores!$C$2*100)+0.5)/100</f>
        <v>0</v>
      </c>
      <c r="M129" s="99">
        <v>0</v>
      </c>
      <c r="N129" s="67">
        <f>INT((M129*Valores!$C$2*100)+0.5)/100</f>
        <v>0</v>
      </c>
      <c r="O129" s="67">
        <f t="shared" si="11"/>
        <v>0</v>
      </c>
      <c r="P129" s="67">
        <f t="shared" si="12"/>
        <v>7445.6759999999995</v>
      </c>
      <c r="Q129" s="68">
        <f>Valores!$C$21</f>
        <v>2324</v>
      </c>
      <c r="R129" s="68">
        <f>Valores!$D$9</f>
        <v>2018.53</v>
      </c>
      <c r="S129" s="77">
        <f>Valores!$C$26</f>
        <v>2048</v>
      </c>
      <c r="T129" s="77">
        <f>Valores!$C$35</f>
        <v>437.5</v>
      </c>
      <c r="U129" s="67">
        <f>Valores!$C$23</f>
        <v>2079</v>
      </c>
      <c r="V129" s="67">
        <f t="shared" si="17"/>
        <v>4573.8</v>
      </c>
      <c r="W129" s="67">
        <v>0</v>
      </c>
      <c r="X129" s="67">
        <v>0</v>
      </c>
      <c r="Y129" s="95">
        <v>0</v>
      </c>
      <c r="Z129" s="67">
        <f>Y129*Valores!$C$2</f>
        <v>0</v>
      </c>
      <c r="AA129" s="67">
        <v>0</v>
      </c>
      <c r="AB129" s="79">
        <v>129.04</v>
      </c>
      <c r="AC129" s="67">
        <f t="shared" si="13"/>
        <v>0</v>
      </c>
      <c r="AD129" s="67">
        <v>129.04</v>
      </c>
      <c r="AE129" s="95">
        <v>94</v>
      </c>
      <c r="AF129" s="67">
        <f>INT(((AE129*Valores!$C$2)*100)+0.5)/100</f>
        <v>424.19</v>
      </c>
      <c r="AG129" s="67">
        <f>Valores!$C$49</f>
        <v>262.5</v>
      </c>
      <c r="AH129" s="67">
        <f>Valores!$C$50</f>
        <v>75</v>
      </c>
      <c r="AI129" s="15">
        <f t="shared" si="16"/>
        <v>25634.505999999998</v>
      </c>
      <c r="AJ129" s="69">
        <f>Valores!$C$5</f>
        <v>350</v>
      </c>
      <c r="AK129" s="12">
        <f t="shared" si="14"/>
        <v>350</v>
      </c>
      <c r="AL129" s="68">
        <f t="shared" si="15"/>
        <v>6245.9363799999992</v>
      </c>
      <c r="AM129" s="79">
        <v>110</v>
      </c>
      <c r="AN129" s="20"/>
      <c r="AO129" s="47">
        <v>20</v>
      </c>
      <c r="AP129" s="9" t="s">
        <v>465</v>
      </c>
    </row>
    <row r="130" spans="1:42" s="9" customFormat="1" ht="11.25" customHeight="1" x14ac:dyDescent="0.15">
      <c r="A130" s="9">
        <v>129</v>
      </c>
      <c r="D130" s="9" t="s">
        <v>237</v>
      </c>
      <c r="F130" s="10" t="s">
        <v>238</v>
      </c>
      <c r="G130" s="102">
        <v>61</v>
      </c>
      <c r="H130" s="7">
        <f>INT((G130*Valores!$C$2*100)+0.5)/100</f>
        <v>275.27</v>
      </c>
      <c r="I130" s="115">
        <v>1217</v>
      </c>
      <c r="J130" s="67">
        <f>INT((I130*Valores!$C$2*100)+0.5)/100</f>
        <v>5491.96</v>
      </c>
      <c r="K130" s="131">
        <v>0</v>
      </c>
      <c r="L130" s="67">
        <f>INT((K130*Valores!$C$2*100)+0.5)/100</f>
        <v>0</v>
      </c>
      <c r="M130" s="99">
        <v>0</v>
      </c>
      <c r="N130" s="67">
        <f>INT((M130*Valores!$C$2*100)+0.5)/100</f>
        <v>0</v>
      </c>
      <c r="O130" s="67">
        <f t="shared" si="11"/>
        <v>0</v>
      </c>
      <c r="P130" s="67">
        <f t="shared" si="12"/>
        <v>7445.6759999999995</v>
      </c>
      <c r="Q130" s="68">
        <f>Valores!$C$21</f>
        <v>2324</v>
      </c>
      <c r="R130" s="68">
        <f>Valores!$D$9</f>
        <v>2018.53</v>
      </c>
      <c r="S130" s="67">
        <v>0</v>
      </c>
      <c r="T130" s="69">
        <f>Valores!$C$35</f>
        <v>437.5</v>
      </c>
      <c r="U130" s="53">
        <f>Valores!$C$24</f>
        <v>2049</v>
      </c>
      <c r="V130" s="67">
        <f t="shared" si="17"/>
        <v>4507.8</v>
      </c>
      <c r="W130" s="67">
        <v>0</v>
      </c>
      <c r="X130" s="67">
        <v>0</v>
      </c>
      <c r="Y130" s="95">
        <v>0</v>
      </c>
      <c r="Z130" s="67">
        <f>Y130*Valores!$C$2</f>
        <v>0</v>
      </c>
      <c r="AA130" s="67">
        <v>0</v>
      </c>
      <c r="AB130" s="79">
        <v>129.04</v>
      </c>
      <c r="AC130" s="67">
        <f t="shared" si="13"/>
        <v>0</v>
      </c>
      <c r="AD130" s="67">
        <v>129.04</v>
      </c>
      <c r="AE130" s="95">
        <v>0</v>
      </c>
      <c r="AF130" s="67">
        <f>INT(((AE130*Valores!$C$2)*100)+0.5)/100</f>
        <v>0</v>
      </c>
      <c r="AG130" s="67">
        <f>Valores!$C$49</f>
        <v>262.5</v>
      </c>
      <c r="AH130" s="67">
        <f>Valores!$C$50</f>
        <v>75</v>
      </c>
      <c r="AI130" s="15">
        <f t="shared" si="16"/>
        <v>23096.315999999999</v>
      </c>
      <c r="AJ130" s="69">
        <f>Valores!$C$5</f>
        <v>350</v>
      </c>
      <c r="AK130" s="12">
        <f t="shared" si="14"/>
        <v>350</v>
      </c>
      <c r="AL130" s="68">
        <f t="shared" si="15"/>
        <v>5662.1526799999992</v>
      </c>
      <c r="AM130" s="79">
        <v>0</v>
      </c>
      <c r="AN130" s="20"/>
      <c r="AO130" s="20"/>
      <c r="AP130" s="9" t="s">
        <v>464</v>
      </c>
    </row>
    <row r="131" spans="1:42" s="9" customFormat="1" ht="11.25" customHeight="1" x14ac:dyDescent="0.15">
      <c r="A131" s="43">
        <v>130</v>
      </c>
      <c r="B131" s="43" t="s">
        <v>460</v>
      </c>
      <c r="C131" s="43"/>
      <c r="D131" s="43" t="s">
        <v>239</v>
      </c>
      <c r="E131" s="43"/>
      <c r="F131" s="44" t="s">
        <v>240</v>
      </c>
      <c r="G131" s="103">
        <v>1278</v>
      </c>
      <c r="H131" s="110">
        <f>INT((G131*Valores!$C$2*100)+0.5)/100</f>
        <v>5767.23</v>
      </c>
      <c r="I131" s="114">
        <v>0</v>
      </c>
      <c r="J131" s="70">
        <f>INT((I131*Valores!$C$2*100)+0.5)/100</f>
        <v>0</v>
      </c>
      <c r="K131" s="132">
        <v>0</v>
      </c>
      <c r="L131" s="70">
        <f>INT((K131*Valores!$C$2*100)+0.5)/100</f>
        <v>0</v>
      </c>
      <c r="M131" s="100">
        <v>0</v>
      </c>
      <c r="N131" s="70">
        <f>INT((M131*Valores!$C$2*100)+0.5)/100</f>
        <v>0</v>
      </c>
      <c r="O131" s="70">
        <f t="shared" si="11"/>
        <v>0</v>
      </c>
      <c r="P131" s="70">
        <f t="shared" si="12"/>
        <v>7520.6759999999995</v>
      </c>
      <c r="Q131" s="71">
        <f>Valores!$C$21</f>
        <v>2324</v>
      </c>
      <c r="R131" s="71">
        <f>Valores!$D$9</f>
        <v>2018.53</v>
      </c>
      <c r="S131" s="75">
        <f>Valores!$C$26</f>
        <v>2048</v>
      </c>
      <c r="T131" s="78">
        <f>Valores!$C$36</f>
        <v>500</v>
      </c>
      <c r="U131" s="75">
        <f>Valores!$C$24</f>
        <v>2049</v>
      </c>
      <c r="V131" s="70">
        <f t="shared" si="17"/>
        <v>4507.8</v>
      </c>
      <c r="W131" s="70">
        <v>0</v>
      </c>
      <c r="X131" s="70">
        <v>0</v>
      </c>
      <c r="Y131" s="94">
        <v>0</v>
      </c>
      <c r="Z131" s="70">
        <f>Y131*Valores!$C$2</f>
        <v>0</v>
      </c>
      <c r="AA131" s="70">
        <v>0</v>
      </c>
      <c r="AB131" s="80">
        <v>129.04</v>
      </c>
      <c r="AC131" s="70">
        <f t="shared" si="13"/>
        <v>0</v>
      </c>
      <c r="AD131" s="70">
        <v>129.04</v>
      </c>
      <c r="AE131" s="94">
        <v>0</v>
      </c>
      <c r="AF131" s="70">
        <f>INT(((AE131*Valores!$C$2)*100)+0.5)/100</f>
        <v>0</v>
      </c>
      <c r="AG131" s="70">
        <f>Valores!$C$49</f>
        <v>262.5</v>
      </c>
      <c r="AH131" s="70">
        <f>Valores!$C$50</f>
        <v>75</v>
      </c>
      <c r="AI131" s="45">
        <f t="shared" si="16"/>
        <v>25281.815999999999</v>
      </c>
      <c r="AJ131" s="72">
        <f>Valores!$C$6</f>
        <v>400</v>
      </c>
      <c r="AK131" s="46">
        <f t="shared" si="14"/>
        <v>400</v>
      </c>
      <c r="AL131" s="71">
        <f t="shared" si="15"/>
        <v>6214.8176799999992</v>
      </c>
      <c r="AM131" s="80">
        <v>110</v>
      </c>
      <c r="AN131" s="47"/>
      <c r="AO131" s="20">
        <v>22</v>
      </c>
      <c r="AP131" s="43" t="s">
        <v>465</v>
      </c>
    </row>
    <row r="132" spans="1:42" s="9" customFormat="1" ht="11.25" customHeight="1" x14ac:dyDescent="0.15">
      <c r="A132" s="9">
        <v>131</v>
      </c>
      <c r="D132" s="9" t="s">
        <v>241</v>
      </c>
      <c r="F132" s="10" t="s">
        <v>242</v>
      </c>
      <c r="G132" s="102">
        <v>1278</v>
      </c>
      <c r="H132" s="7">
        <f>INT((G132*Valores!$C$2*100)+0.5)/100</f>
        <v>5767.23</v>
      </c>
      <c r="I132" s="115">
        <v>0</v>
      </c>
      <c r="J132" s="67">
        <f>INT((I132*Valores!$C$2*100)+0.5)/100</f>
        <v>0</v>
      </c>
      <c r="K132" s="131">
        <v>0</v>
      </c>
      <c r="L132" s="67">
        <f>INT((K132*Valores!$C$2*100)+0.5)/100</f>
        <v>0</v>
      </c>
      <c r="M132" s="99">
        <v>0</v>
      </c>
      <c r="N132" s="67">
        <f>INT((M132*Valores!$C$2*100)+0.5)/100</f>
        <v>0</v>
      </c>
      <c r="O132" s="67">
        <f t="shared" si="11"/>
        <v>0</v>
      </c>
      <c r="P132" s="67">
        <f t="shared" si="12"/>
        <v>7520.6759999999995</v>
      </c>
      <c r="Q132" s="68">
        <f>Valores!$C$21</f>
        <v>2324</v>
      </c>
      <c r="R132" s="68">
        <f>Valores!$D$9</f>
        <v>2018.53</v>
      </c>
      <c r="S132" s="67">
        <f>Valores!$C$26</f>
        <v>2048</v>
      </c>
      <c r="T132" s="69">
        <f>Valores!$C$36</f>
        <v>500</v>
      </c>
      <c r="U132" s="67">
        <f>Valores!$C$23</f>
        <v>2079</v>
      </c>
      <c r="V132" s="67">
        <f t="shared" si="17"/>
        <v>4573.8</v>
      </c>
      <c r="W132" s="67">
        <v>0</v>
      </c>
      <c r="X132" s="67">
        <v>0</v>
      </c>
      <c r="Y132" s="95">
        <v>0</v>
      </c>
      <c r="Z132" s="67">
        <f>Y132*Valores!$C$2</f>
        <v>0</v>
      </c>
      <c r="AA132" s="67">
        <v>0</v>
      </c>
      <c r="AB132" s="79">
        <v>129.04</v>
      </c>
      <c r="AC132" s="67">
        <f t="shared" si="13"/>
        <v>0</v>
      </c>
      <c r="AD132" s="67">
        <v>129.04</v>
      </c>
      <c r="AE132" s="95">
        <v>94</v>
      </c>
      <c r="AF132" s="67">
        <f>INT(((AE132*Valores!$C$2)*100)+0.5)/100</f>
        <v>424.19</v>
      </c>
      <c r="AG132" s="67">
        <f>Valores!$C$49</f>
        <v>262.5</v>
      </c>
      <c r="AH132" s="67">
        <f>Valores!$C$50</f>
        <v>75</v>
      </c>
      <c r="AI132" s="15">
        <f t="shared" si="16"/>
        <v>25772.005999999998</v>
      </c>
      <c r="AJ132" s="69">
        <f>Valores!$C$6</f>
        <v>400</v>
      </c>
      <c r="AK132" s="12">
        <f t="shared" si="14"/>
        <v>400</v>
      </c>
      <c r="AL132" s="68">
        <f t="shared" si="15"/>
        <v>6327.5613799999992</v>
      </c>
      <c r="AM132" s="79">
        <v>110</v>
      </c>
      <c r="AN132" s="20"/>
      <c r="AO132" s="20">
        <v>20</v>
      </c>
      <c r="AP132" s="9" t="s">
        <v>465</v>
      </c>
    </row>
    <row r="133" spans="1:42" s="9" customFormat="1" ht="11.25" customHeight="1" x14ac:dyDescent="0.15">
      <c r="A133" s="9">
        <v>132</v>
      </c>
      <c r="D133" s="9" t="s">
        <v>243</v>
      </c>
      <c r="F133" s="10" t="s">
        <v>244</v>
      </c>
      <c r="G133" s="102">
        <v>936</v>
      </c>
      <c r="H133" s="7">
        <f>INT((G133*Valores!$C$2*100)+0.5)/100</f>
        <v>4223.8900000000003</v>
      </c>
      <c r="I133" s="115">
        <v>0</v>
      </c>
      <c r="J133" s="67">
        <f>INT((I133*Valores!$C$2*100)+0.5)/100</f>
        <v>0</v>
      </c>
      <c r="K133" s="131">
        <v>0</v>
      </c>
      <c r="L133" s="67">
        <f>INT((K133*Valores!$C$2*100)+0.5)/100</f>
        <v>0</v>
      </c>
      <c r="M133" s="99">
        <v>0</v>
      </c>
      <c r="N133" s="67">
        <f>INT((M133*Valores!$C$2*100)+0.5)/100</f>
        <v>0</v>
      </c>
      <c r="O133" s="67">
        <f t="shared" si="11"/>
        <v>0</v>
      </c>
      <c r="P133" s="67">
        <f t="shared" si="12"/>
        <v>5593.6680000000006</v>
      </c>
      <c r="Q133" s="53">
        <f>Valores!$C$21</f>
        <v>2324</v>
      </c>
      <c r="R133" s="53">
        <f>Valores!$D$9</f>
        <v>2018.53</v>
      </c>
      <c r="S133" s="53">
        <f>Valores!$C$27</f>
        <v>1853</v>
      </c>
      <c r="T133" s="77">
        <f>Valores!$C$35</f>
        <v>437.5</v>
      </c>
      <c r="U133" s="53">
        <f>Valores!$C$24</f>
        <v>2049</v>
      </c>
      <c r="V133" s="67">
        <f t="shared" si="17"/>
        <v>4507.8</v>
      </c>
      <c r="W133" s="67">
        <v>0</v>
      </c>
      <c r="X133" s="67">
        <v>0</v>
      </c>
      <c r="Y133" s="95">
        <v>0</v>
      </c>
      <c r="Z133" s="67">
        <f>Y133*Valores!$C$2</f>
        <v>0</v>
      </c>
      <c r="AA133" s="67">
        <v>0</v>
      </c>
      <c r="AB133" s="79">
        <v>129.04</v>
      </c>
      <c r="AC133" s="67">
        <f t="shared" si="13"/>
        <v>0</v>
      </c>
      <c r="AD133" s="67">
        <v>129.04</v>
      </c>
      <c r="AE133" s="105">
        <v>94</v>
      </c>
      <c r="AF133" s="69">
        <f>INT(((AE133*Valores!$C$2)*100)+0.5)/100</f>
        <v>424.19</v>
      </c>
      <c r="AG133" s="69">
        <f>Valores!$C$49</f>
        <v>262.5</v>
      </c>
      <c r="AH133" s="69">
        <f>Valores!$C$50</f>
        <v>75</v>
      </c>
      <c r="AI133" s="123">
        <f t="shared" si="16"/>
        <v>21978.158000000003</v>
      </c>
      <c r="AJ133" s="69">
        <f>Valores!$C$5</f>
        <v>350</v>
      </c>
      <c r="AK133" s="124">
        <f t="shared" si="14"/>
        <v>350</v>
      </c>
      <c r="AL133" s="68">
        <f t="shared" si="15"/>
        <v>5404.9763400000002</v>
      </c>
      <c r="AM133" s="79">
        <v>110</v>
      </c>
      <c r="AN133" s="20">
        <v>8</v>
      </c>
      <c r="AO133" s="20"/>
      <c r="AP133" s="9" t="s">
        <v>465</v>
      </c>
    </row>
    <row r="134" spans="1:42" s="9" customFormat="1" ht="11.25" customHeight="1" x14ac:dyDescent="0.15">
      <c r="A134" s="9">
        <v>133</v>
      </c>
      <c r="D134" s="9" t="s">
        <v>245</v>
      </c>
      <c r="F134" s="10" t="s">
        <v>246</v>
      </c>
      <c r="G134" s="102">
        <v>1278</v>
      </c>
      <c r="H134" s="7">
        <f>INT((G134*Valores!$C$2*100)+0.5)/100</f>
        <v>5767.23</v>
      </c>
      <c r="I134" s="115">
        <v>0</v>
      </c>
      <c r="J134" s="67">
        <f>INT((I134*Valores!$C$2*100)+0.5)/100</f>
        <v>0</v>
      </c>
      <c r="K134" s="131">
        <v>0</v>
      </c>
      <c r="L134" s="67">
        <f>INT((K134*Valores!$C$2*100)+0.5)/100</f>
        <v>0</v>
      </c>
      <c r="M134" s="99">
        <v>0</v>
      </c>
      <c r="N134" s="67">
        <f>INT((M134*Valores!$C$2*100)+0.5)/100</f>
        <v>0</v>
      </c>
      <c r="O134" s="67">
        <f t="shared" si="11"/>
        <v>0</v>
      </c>
      <c r="P134" s="67">
        <f t="shared" si="12"/>
        <v>7445.6759999999995</v>
      </c>
      <c r="Q134" s="53">
        <f>Valores!$C$15</f>
        <v>2474</v>
      </c>
      <c r="R134" s="53">
        <f>Valores!$D$9</f>
        <v>2018.53</v>
      </c>
      <c r="S134" s="69">
        <v>0</v>
      </c>
      <c r="T134" s="69">
        <f>Valores!$C$35</f>
        <v>437.5</v>
      </c>
      <c r="U134" s="53">
        <f>Valores!$C$24</f>
        <v>2049</v>
      </c>
      <c r="V134" s="67">
        <f t="shared" si="17"/>
        <v>4507.8</v>
      </c>
      <c r="W134" s="67">
        <v>0</v>
      </c>
      <c r="X134" s="67">
        <v>0</v>
      </c>
      <c r="Y134" s="95">
        <v>0</v>
      </c>
      <c r="Z134" s="67">
        <f>Y134*Valores!$C$2</f>
        <v>0</v>
      </c>
      <c r="AA134" s="67">
        <v>0</v>
      </c>
      <c r="AB134" s="79">
        <v>129.04</v>
      </c>
      <c r="AC134" s="67">
        <f t="shared" si="13"/>
        <v>0</v>
      </c>
      <c r="AD134" s="67">
        <v>129.04</v>
      </c>
      <c r="AE134" s="105">
        <v>94</v>
      </c>
      <c r="AF134" s="69">
        <f>INT(((AE134*Valores!$C$2)*100)+0.5)/100</f>
        <v>424.19</v>
      </c>
      <c r="AG134" s="69">
        <f>Valores!$C$49</f>
        <v>262.5</v>
      </c>
      <c r="AH134" s="69">
        <f>Valores!$C$50</f>
        <v>75</v>
      </c>
      <c r="AI134" s="123">
        <f t="shared" si="16"/>
        <v>23670.505999999998</v>
      </c>
      <c r="AJ134" s="69">
        <f>Valores!$C$5</f>
        <v>350</v>
      </c>
      <c r="AK134" s="124">
        <f t="shared" si="14"/>
        <v>350</v>
      </c>
      <c r="AL134" s="68">
        <f t="shared" si="15"/>
        <v>5794.2163799999989</v>
      </c>
      <c r="AM134" s="79">
        <v>110</v>
      </c>
      <c r="AN134" s="20"/>
      <c r="AO134" s="47">
        <v>22</v>
      </c>
      <c r="AP134" s="9" t="s">
        <v>465</v>
      </c>
    </row>
    <row r="135" spans="1:42" s="9" customFormat="1" ht="11.25" customHeight="1" x14ac:dyDescent="0.15">
      <c r="A135" s="9">
        <v>134</v>
      </c>
      <c r="D135" s="9" t="s">
        <v>247</v>
      </c>
      <c r="F135" s="10" t="s">
        <v>248</v>
      </c>
      <c r="G135" s="102">
        <v>1278</v>
      </c>
      <c r="H135" s="7">
        <f>INT((G135*Valores!$C$2*100)+0.5)/100</f>
        <v>5767.23</v>
      </c>
      <c r="I135" s="115">
        <v>0</v>
      </c>
      <c r="J135" s="67">
        <f>INT((I135*Valores!$C$2*100)+0.5)/100</f>
        <v>0</v>
      </c>
      <c r="K135" s="131">
        <v>0</v>
      </c>
      <c r="L135" s="67">
        <f>INT((K135*Valores!$C$2*100)+0.5)/100</f>
        <v>0</v>
      </c>
      <c r="M135" s="99">
        <v>0</v>
      </c>
      <c r="N135" s="67">
        <f>INT((M135*Valores!$C$2*100)+0.5)/100</f>
        <v>0</v>
      </c>
      <c r="O135" s="67">
        <f t="shared" si="11"/>
        <v>0</v>
      </c>
      <c r="P135" s="67">
        <f t="shared" si="12"/>
        <v>7520.6759999999995</v>
      </c>
      <c r="Q135" s="53">
        <f>Valores!$C$15</f>
        <v>2474</v>
      </c>
      <c r="R135" s="53">
        <f>Valores!$D$9</f>
        <v>2018.53</v>
      </c>
      <c r="S135" s="53">
        <f>Valores!$C$26</f>
        <v>2048</v>
      </c>
      <c r="T135" s="77">
        <f>Valores!$C$36</f>
        <v>500</v>
      </c>
      <c r="U135" s="67">
        <f>Valores!$C$23</f>
        <v>2079</v>
      </c>
      <c r="V135" s="67">
        <f t="shared" si="17"/>
        <v>4573.8</v>
      </c>
      <c r="W135" s="67">
        <v>0</v>
      </c>
      <c r="X135" s="67">
        <v>0</v>
      </c>
      <c r="Y135" s="95">
        <v>0</v>
      </c>
      <c r="Z135" s="67">
        <f>Y135*Valores!$C$2</f>
        <v>0</v>
      </c>
      <c r="AA135" s="67">
        <v>0</v>
      </c>
      <c r="AB135" s="79">
        <v>129.04</v>
      </c>
      <c r="AC135" s="67">
        <f t="shared" ref="AC135:AC198" si="18">SUM(H135,J135,L135,Z135,T135,N135)*$H$3/100</f>
        <v>0</v>
      </c>
      <c r="AD135" s="67">
        <v>129.04</v>
      </c>
      <c r="AE135" s="95">
        <v>0</v>
      </c>
      <c r="AF135" s="67">
        <f>INT(((AE135*Valores!$C$2)*100)+0.5)/100</f>
        <v>0</v>
      </c>
      <c r="AG135" s="67">
        <f>Valores!$C$49</f>
        <v>262.5</v>
      </c>
      <c r="AH135" s="67">
        <f>Valores!$C$50</f>
        <v>75</v>
      </c>
      <c r="AI135" s="123">
        <f t="shared" si="16"/>
        <v>25497.815999999999</v>
      </c>
      <c r="AJ135" s="69">
        <f>Valores!$C$6</f>
        <v>400</v>
      </c>
      <c r="AK135" s="124">
        <f t="shared" ref="AK135:AK198" si="19">SUM(AJ135:AJ135)</f>
        <v>400</v>
      </c>
      <c r="AL135" s="68">
        <f t="shared" ref="AL135:AL198" si="20">(AI135*(0.16+0.025+0.045)+AK135)</f>
        <v>6264.4976799999995</v>
      </c>
      <c r="AM135" s="79">
        <v>110</v>
      </c>
      <c r="AN135" s="20"/>
      <c r="AO135" s="20"/>
      <c r="AP135" s="9" t="s">
        <v>465</v>
      </c>
    </row>
    <row r="136" spans="1:42" s="9" customFormat="1" ht="11.25" customHeight="1" x14ac:dyDescent="0.15">
      <c r="A136" s="43">
        <v>135</v>
      </c>
      <c r="B136" s="43" t="s">
        <v>460</v>
      </c>
      <c r="C136" s="43"/>
      <c r="D136" s="43" t="s">
        <v>249</v>
      </c>
      <c r="E136" s="43"/>
      <c r="F136" s="44" t="s">
        <v>250</v>
      </c>
      <c r="G136" s="103">
        <v>1278</v>
      </c>
      <c r="H136" s="110">
        <f>INT((G136*Valores!$C$2*100)+0.5)/100</f>
        <v>5767.23</v>
      </c>
      <c r="I136" s="114">
        <v>0</v>
      </c>
      <c r="J136" s="70">
        <f>INT((I136*Valores!$C$2*100)+0.5)/100</f>
        <v>0</v>
      </c>
      <c r="K136" s="132">
        <v>0</v>
      </c>
      <c r="L136" s="70">
        <f>INT((K136*Valores!$C$2*100)+0.5)/100</f>
        <v>0</v>
      </c>
      <c r="M136" s="100">
        <v>0</v>
      </c>
      <c r="N136" s="70">
        <f>INT((M136*Valores!$C$2*100)+0.5)/100</f>
        <v>0</v>
      </c>
      <c r="O136" s="70">
        <f t="shared" si="11"/>
        <v>0</v>
      </c>
      <c r="P136" s="70">
        <f t="shared" si="12"/>
        <v>7520.6759999999995</v>
      </c>
      <c r="Q136" s="75">
        <f>Valores!$C$15</f>
        <v>2474</v>
      </c>
      <c r="R136" s="75">
        <f>Valores!$D$9</f>
        <v>2018.53</v>
      </c>
      <c r="S136" s="75">
        <f>Valores!$C$26</f>
        <v>2048</v>
      </c>
      <c r="T136" s="78">
        <f>Valores!$C$36</f>
        <v>500</v>
      </c>
      <c r="U136" s="70">
        <f>Valores!$C$23</f>
        <v>2079</v>
      </c>
      <c r="V136" s="70">
        <f t="shared" si="17"/>
        <v>4573.8</v>
      </c>
      <c r="W136" s="70">
        <v>0</v>
      </c>
      <c r="X136" s="70">
        <v>0</v>
      </c>
      <c r="Y136" s="94">
        <v>0</v>
      </c>
      <c r="Z136" s="70">
        <f>Y136*Valores!$C$2</f>
        <v>0</v>
      </c>
      <c r="AA136" s="70">
        <v>0</v>
      </c>
      <c r="AB136" s="80">
        <v>129.04</v>
      </c>
      <c r="AC136" s="70">
        <f t="shared" si="18"/>
        <v>0</v>
      </c>
      <c r="AD136" s="70">
        <v>129.04</v>
      </c>
      <c r="AE136" s="94">
        <v>0</v>
      </c>
      <c r="AF136" s="70">
        <f>INT(((AE136*Valores!$C$2)*100)+0.5)/100</f>
        <v>0</v>
      </c>
      <c r="AG136" s="70">
        <f>Valores!$C$49</f>
        <v>262.5</v>
      </c>
      <c r="AH136" s="70">
        <f>Valores!$C$50</f>
        <v>75</v>
      </c>
      <c r="AI136" s="125">
        <f t="shared" ref="AI136:AI199" si="21">SUM(H136,J136,L136,N136,O136,P136,Q136,R136,S136,V136,W136,X136,Z136,AA136,AB136,AC136,AD136,AF136,T136,AG136,AH136)</f>
        <v>25497.815999999999</v>
      </c>
      <c r="AJ136" s="72">
        <f>Valores!$C$6</f>
        <v>400</v>
      </c>
      <c r="AK136" s="126">
        <f t="shared" si="19"/>
        <v>400</v>
      </c>
      <c r="AL136" s="71">
        <f t="shared" si="20"/>
        <v>6264.4976799999995</v>
      </c>
      <c r="AM136" s="80">
        <v>110</v>
      </c>
      <c r="AN136" s="47"/>
      <c r="AO136" s="20"/>
      <c r="AP136" s="43" t="s">
        <v>465</v>
      </c>
    </row>
    <row r="137" spans="1:42" s="9" customFormat="1" ht="11.25" customHeight="1" x14ac:dyDescent="0.15">
      <c r="A137" s="9">
        <v>136</v>
      </c>
      <c r="D137" s="9" t="s">
        <v>251</v>
      </c>
      <c r="F137" s="10" t="s">
        <v>252</v>
      </c>
      <c r="G137" s="102">
        <v>1278</v>
      </c>
      <c r="H137" s="7">
        <f>INT((G137*Valores!$C$2*100)+0.5)/100</f>
        <v>5767.23</v>
      </c>
      <c r="I137" s="115">
        <v>0</v>
      </c>
      <c r="J137" s="67">
        <f>INT((I137*Valores!$C$2*100)+0.5)/100</f>
        <v>0</v>
      </c>
      <c r="K137" s="131">
        <v>0</v>
      </c>
      <c r="L137" s="67">
        <f>INT((K137*Valores!$C$2*100)+0.5)/100</f>
        <v>0</v>
      </c>
      <c r="M137" s="99">
        <v>0</v>
      </c>
      <c r="N137" s="67">
        <f>INT((M137*Valores!$C$2*100)+0.5)/100</f>
        <v>0</v>
      </c>
      <c r="O137" s="67">
        <f t="shared" si="11"/>
        <v>0</v>
      </c>
      <c r="P137" s="67">
        <f t="shared" si="12"/>
        <v>7520.6759999999995</v>
      </c>
      <c r="Q137" s="53">
        <f>Valores!$C$21</f>
        <v>2324</v>
      </c>
      <c r="R137" s="53">
        <f>Valores!$D$9</f>
        <v>2018.53</v>
      </c>
      <c r="S137" s="67">
        <v>0</v>
      </c>
      <c r="T137" s="69">
        <f>Valores!$C$36</f>
        <v>500</v>
      </c>
      <c r="U137" s="67">
        <f>Valores!$C$23</f>
        <v>2079</v>
      </c>
      <c r="V137" s="67">
        <f t="shared" si="17"/>
        <v>4573.8</v>
      </c>
      <c r="W137" s="67">
        <v>0</v>
      </c>
      <c r="X137" s="67">
        <v>0</v>
      </c>
      <c r="Y137" s="95">
        <v>0</v>
      </c>
      <c r="Z137" s="67">
        <f>Y137*Valores!$C$2</f>
        <v>0</v>
      </c>
      <c r="AA137" s="67">
        <v>0</v>
      </c>
      <c r="AB137" s="79">
        <v>129.04</v>
      </c>
      <c r="AC137" s="67">
        <f t="shared" si="18"/>
        <v>0</v>
      </c>
      <c r="AD137" s="67">
        <v>129.04</v>
      </c>
      <c r="AE137" s="95">
        <v>0</v>
      </c>
      <c r="AF137" s="67">
        <f>INT(((AE137*Valores!$C$2)*100)+0.5)/100</f>
        <v>0</v>
      </c>
      <c r="AG137" s="67">
        <f>Valores!$C$49</f>
        <v>262.5</v>
      </c>
      <c r="AH137" s="67">
        <f>Valores!$C$50</f>
        <v>75</v>
      </c>
      <c r="AI137" s="123">
        <f t="shared" si="21"/>
        <v>23299.815999999999</v>
      </c>
      <c r="AJ137" s="69">
        <f>Valores!$C$6</f>
        <v>400</v>
      </c>
      <c r="AK137" s="124">
        <f t="shared" si="19"/>
        <v>400</v>
      </c>
      <c r="AL137" s="68">
        <f t="shared" si="20"/>
        <v>5758.9576799999995</v>
      </c>
      <c r="AM137" s="79">
        <v>0</v>
      </c>
      <c r="AN137" s="20">
        <v>12</v>
      </c>
      <c r="AO137" s="20">
        <v>15</v>
      </c>
      <c r="AP137" s="9" t="s">
        <v>464</v>
      </c>
    </row>
    <row r="138" spans="1:42" s="9" customFormat="1" ht="11.25" customHeight="1" x14ac:dyDescent="0.15">
      <c r="A138" s="9">
        <v>137</v>
      </c>
      <c r="D138" s="9" t="s">
        <v>253</v>
      </c>
      <c r="F138" s="10" t="s">
        <v>254</v>
      </c>
      <c r="G138" s="102">
        <v>616</v>
      </c>
      <c r="H138" s="7">
        <f>INT((G138*Valores!$C$2*100)+0.5)/100</f>
        <v>2779.82</v>
      </c>
      <c r="I138" s="115">
        <v>0</v>
      </c>
      <c r="J138" s="67">
        <f>INT((I138*Valores!$C$2*100)+0.5)/100</f>
        <v>0</v>
      </c>
      <c r="K138" s="131">
        <v>0</v>
      </c>
      <c r="L138" s="67">
        <f>INT((K138*Valores!$C$2*100)+0.5)/100</f>
        <v>0</v>
      </c>
      <c r="M138" s="99">
        <v>0</v>
      </c>
      <c r="N138" s="67">
        <f>INT((M138*Valores!$C$2*100)+0.5)/100</f>
        <v>0</v>
      </c>
      <c r="O138" s="67">
        <f t="shared" ref="O138:O201" si="22">IF($J$2=0,IF(D138&lt;&gt;"13-930",(SUM(H138,J138,L138,N138,Z138,U138,T138)*$O$2),0),0)</f>
        <v>0</v>
      </c>
      <c r="P138" s="67">
        <f t="shared" ref="P138:P201" si="23">SUM(H138,J138,L138,N138,Z138,T138)*$J$2</f>
        <v>3935.7840000000001</v>
      </c>
      <c r="Q138" s="53">
        <f>Valores!$C$15</f>
        <v>2474</v>
      </c>
      <c r="R138" s="53">
        <f>Valores!$D$9</f>
        <v>2018.53</v>
      </c>
      <c r="S138" s="53">
        <f>Valores!$C$26</f>
        <v>2048</v>
      </c>
      <c r="T138" s="77">
        <f>Valores!$C$36</f>
        <v>500</v>
      </c>
      <c r="U138" s="67">
        <f>Valores!$C$23</f>
        <v>2079</v>
      </c>
      <c r="V138" s="67">
        <f t="shared" si="17"/>
        <v>4573.8</v>
      </c>
      <c r="W138" s="67">
        <v>0</v>
      </c>
      <c r="X138" s="67">
        <v>0</v>
      </c>
      <c r="Y138" s="95">
        <v>0</v>
      </c>
      <c r="Z138" s="67">
        <f>Y138*Valores!$C$2</f>
        <v>0</v>
      </c>
      <c r="AA138" s="67">
        <v>0</v>
      </c>
      <c r="AB138" s="79">
        <v>129.04</v>
      </c>
      <c r="AC138" s="67">
        <f t="shared" si="18"/>
        <v>0</v>
      </c>
      <c r="AD138" s="67">
        <v>129.04</v>
      </c>
      <c r="AE138" s="95">
        <v>0</v>
      </c>
      <c r="AF138" s="67">
        <f>INT(((AE138*Valores!$C$2)*100)+0.5)/100</f>
        <v>0</v>
      </c>
      <c r="AG138" s="67">
        <f>Valores!$C$49</f>
        <v>262.5</v>
      </c>
      <c r="AH138" s="67">
        <f>Valores!$C$50</f>
        <v>75</v>
      </c>
      <c r="AI138" s="123">
        <f t="shared" si="21"/>
        <v>18925.514000000003</v>
      </c>
      <c r="AJ138" s="69">
        <f>Valores!$C$6</f>
        <v>400</v>
      </c>
      <c r="AK138" s="124">
        <f t="shared" si="19"/>
        <v>400</v>
      </c>
      <c r="AL138" s="68">
        <f t="shared" si="20"/>
        <v>4752.8682200000003</v>
      </c>
      <c r="AM138" s="79">
        <v>0</v>
      </c>
      <c r="AN138" s="20">
        <v>6</v>
      </c>
      <c r="AO138" s="20"/>
      <c r="AP138" s="9" t="s">
        <v>465</v>
      </c>
    </row>
    <row r="139" spans="1:42" s="9" customFormat="1" ht="11.25" customHeight="1" x14ac:dyDescent="0.15">
      <c r="A139" s="9">
        <v>138</v>
      </c>
      <c r="D139" s="9" t="s">
        <v>255</v>
      </c>
      <c r="F139" s="10" t="s">
        <v>256</v>
      </c>
      <c r="G139" s="102">
        <v>1278</v>
      </c>
      <c r="H139" s="7">
        <f>INT((G139*Valores!$C$2*100)+0.5)/100</f>
        <v>5767.23</v>
      </c>
      <c r="I139" s="115">
        <v>0</v>
      </c>
      <c r="J139" s="67">
        <f>INT((I139*Valores!$C$2*100)+0.5)/100</f>
        <v>0</v>
      </c>
      <c r="K139" s="131">
        <v>0</v>
      </c>
      <c r="L139" s="67">
        <f>INT((K139*Valores!$C$2*100)+0.5)/100</f>
        <v>0</v>
      </c>
      <c r="M139" s="99">
        <v>0</v>
      </c>
      <c r="N139" s="67">
        <f>INT((M139*Valores!$C$2*100)+0.5)/100</f>
        <v>0</v>
      </c>
      <c r="O139" s="67">
        <f t="shared" si="22"/>
        <v>0</v>
      </c>
      <c r="P139" s="67">
        <f t="shared" si="23"/>
        <v>7520.6759999999995</v>
      </c>
      <c r="Q139" s="53">
        <f>Valores!$C$21</f>
        <v>2324</v>
      </c>
      <c r="R139" s="53">
        <f>Valores!$D$9</f>
        <v>2018.53</v>
      </c>
      <c r="S139" s="67">
        <v>0</v>
      </c>
      <c r="T139" s="69">
        <f>Valores!$C$36</f>
        <v>500</v>
      </c>
      <c r="U139" s="53">
        <f>Valores!$C$24</f>
        <v>2049</v>
      </c>
      <c r="V139" s="67">
        <f t="shared" si="17"/>
        <v>4507.8</v>
      </c>
      <c r="W139" s="67">
        <v>0</v>
      </c>
      <c r="X139" s="67">
        <v>0</v>
      </c>
      <c r="Y139" s="95">
        <v>0</v>
      </c>
      <c r="Z139" s="67">
        <f>Y139*Valores!$C$2</f>
        <v>0</v>
      </c>
      <c r="AA139" s="67">
        <v>0</v>
      </c>
      <c r="AB139" s="79">
        <v>129.04</v>
      </c>
      <c r="AC139" s="67">
        <f t="shared" si="18"/>
        <v>0</v>
      </c>
      <c r="AD139" s="67">
        <v>129.04</v>
      </c>
      <c r="AE139" s="95">
        <v>0</v>
      </c>
      <c r="AF139" s="67">
        <f>INT(((AE139*Valores!$C$2)*100)+0.5)/100</f>
        <v>0</v>
      </c>
      <c r="AG139" s="67">
        <f>Valores!$C$49</f>
        <v>262.5</v>
      </c>
      <c r="AH139" s="67">
        <f>Valores!$C$50</f>
        <v>75</v>
      </c>
      <c r="AI139" s="123">
        <f t="shared" si="21"/>
        <v>23233.815999999999</v>
      </c>
      <c r="AJ139" s="69">
        <f>Valores!$C$6</f>
        <v>400</v>
      </c>
      <c r="AK139" s="124">
        <f t="shared" si="19"/>
        <v>400</v>
      </c>
      <c r="AL139" s="68">
        <f t="shared" si="20"/>
        <v>5743.7776799999992</v>
      </c>
      <c r="AM139" s="79">
        <v>100.44</v>
      </c>
      <c r="AN139" s="20">
        <v>12</v>
      </c>
      <c r="AO139" s="47">
        <v>15</v>
      </c>
      <c r="AP139" s="9" t="s">
        <v>465</v>
      </c>
    </row>
    <row r="140" spans="1:42" s="9" customFormat="1" ht="11.25" customHeight="1" x14ac:dyDescent="0.15">
      <c r="A140" s="9">
        <v>139</v>
      </c>
      <c r="D140" s="9" t="s">
        <v>257</v>
      </c>
      <c r="F140" s="10" t="s">
        <v>258</v>
      </c>
      <c r="G140" s="102">
        <v>1983</v>
      </c>
      <c r="H140" s="7">
        <f>INT((G140*Valores!$C$2*100)+0.5)/100</f>
        <v>8948.68</v>
      </c>
      <c r="I140" s="115">
        <v>0</v>
      </c>
      <c r="J140" s="67">
        <f>INT((I140*Valores!$C$2*100)+0.5)/100</f>
        <v>0</v>
      </c>
      <c r="K140" s="131">
        <v>0</v>
      </c>
      <c r="L140" s="67">
        <f>INT((K140*Valores!$C$2*100)+0.5)/100</f>
        <v>0</v>
      </c>
      <c r="M140" s="99">
        <v>0</v>
      </c>
      <c r="N140" s="67">
        <f>INT((M140*Valores!$C$2*100)+0.5)/100</f>
        <v>0</v>
      </c>
      <c r="O140" s="67">
        <f t="shared" si="22"/>
        <v>0</v>
      </c>
      <c r="P140" s="67">
        <f t="shared" si="23"/>
        <v>11338.415999999999</v>
      </c>
      <c r="Q140" s="53">
        <f>Valores!$C$15</f>
        <v>2474</v>
      </c>
      <c r="R140" s="53">
        <f>Valores!$D$9</f>
        <v>2018.53</v>
      </c>
      <c r="S140" s="53">
        <f>Valores!$C$26</f>
        <v>2048</v>
      </c>
      <c r="T140" s="77">
        <f>Valores!$C$36</f>
        <v>500</v>
      </c>
      <c r="U140" s="67">
        <f>Valores!$C$23</f>
        <v>2079</v>
      </c>
      <c r="V140" s="67">
        <f t="shared" si="17"/>
        <v>4573.8</v>
      </c>
      <c r="W140" s="67">
        <v>0</v>
      </c>
      <c r="X140" s="67">
        <v>0</v>
      </c>
      <c r="Y140" s="95">
        <v>0</v>
      </c>
      <c r="Z140" s="67">
        <f>Y140*Valores!$C$2</f>
        <v>0</v>
      </c>
      <c r="AA140" s="67">
        <v>0</v>
      </c>
      <c r="AB140" s="79">
        <v>129.04</v>
      </c>
      <c r="AC140" s="67">
        <f t="shared" si="18"/>
        <v>0</v>
      </c>
      <c r="AD140" s="67">
        <v>129.04</v>
      </c>
      <c r="AE140" s="95">
        <v>94</v>
      </c>
      <c r="AF140" s="67">
        <f>INT(((AE140*Valores!$C$2)*100)+0.5)/100</f>
        <v>424.19</v>
      </c>
      <c r="AG140" s="67">
        <f>Valores!$C$49</f>
        <v>262.5</v>
      </c>
      <c r="AH140" s="67">
        <f>Valores!$C$50</f>
        <v>75</v>
      </c>
      <c r="AI140" s="123">
        <f t="shared" si="21"/>
        <v>32921.195999999996</v>
      </c>
      <c r="AJ140" s="69">
        <f>Valores!$C$6</f>
        <v>400</v>
      </c>
      <c r="AK140" s="124">
        <f t="shared" si="19"/>
        <v>400</v>
      </c>
      <c r="AL140" s="68">
        <f t="shared" si="20"/>
        <v>7971.8750799999989</v>
      </c>
      <c r="AM140" s="79">
        <v>0</v>
      </c>
      <c r="AN140" s="20"/>
      <c r="AO140" s="20"/>
      <c r="AP140" s="9" t="s">
        <v>464</v>
      </c>
    </row>
    <row r="141" spans="1:42" s="9" customFormat="1" ht="11.25" customHeight="1" x14ac:dyDescent="0.15">
      <c r="A141" s="43">
        <v>140</v>
      </c>
      <c r="B141" s="43" t="s">
        <v>460</v>
      </c>
      <c r="C141" s="43"/>
      <c r="D141" s="43" t="s">
        <v>259</v>
      </c>
      <c r="E141" s="43"/>
      <c r="F141" s="44" t="s">
        <v>260</v>
      </c>
      <c r="G141" s="103">
        <v>1378</v>
      </c>
      <c r="H141" s="110">
        <f>INT((G141*Valores!$C$2*100)+0.5)/100</f>
        <v>6218.5</v>
      </c>
      <c r="I141" s="114">
        <v>0</v>
      </c>
      <c r="J141" s="70">
        <f>INT((I141*Valores!$C$2*100)+0.5)/100</f>
        <v>0</v>
      </c>
      <c r="K141" s="132">
        <v>0</v>
      </c>
      <c r="L141" s="70">
        <f>INT((K141*Valores!$C$2*100)+0.5)/100</f>
        <v>0</v>
      </c>
      <c r="M141" s="100">
        <v>0</v>
      </c>
      <c r="N141" s="70">
        <f>INT((M141*Valores!$C$2*100)+0.5)/100</f>
        <v>0</v>
      </c>
      <c r="O141" s="70">
        <f t="shared" si="22"/>
        <v>0</v>
      </c>
      <c r="P141" s="70">
        <f t="shared" si="23"/>
        <v>8062.2</v>
      </c>
      <c r="Q141" s="75">
        <f>Valores!$C$21</f>
        <v>2324</v>
      </c>
      <c r="R141" s="75">
        <f>Valores!$D$9</f>
        <v>2018.53</v>
      </c>
      <c r="S141" s="75">
        <f>Valores!$C$26</f>
        <v>2048</v>
      </c>
      <c r="T141" s="78">
        <f>Valores!$C$36</f>
        <v>500</v>
      </c>
      <c r="U141" s="75">
        <f>Valores!$C$24</f>
        <v>2049</v>
      </c>
      <c r="V141" s="70">
        <f t="shared" si="17"/>
        <v>4507.8</v>
      </c>
      <c r="W141" s="70">
        <v>0</v>
      </c>
      <c r="X141" s="70">
        <v>0</v>
      </c>
      <c r="Y141" s="94">
        <v>0</v>
      </c>
      <c r="Z141" s="70">
        <f>Y141*Valores!$C$2</f>
        <v>0</v>
      </c>
      <c r="AA141" s="70">
        <v>0</v>
      </c>
      <c r="AB141" s="80">
        <v>129.04</v>
      </c>
      <c r="AC141" s="70">
        <f t="shared" si="18"/>
        <v>0</v>
      </c>
      <c r="AD141" s="70">
        <v>129.04</v>
      </c>
      <c r="AE141" s="94">
        <v>0</v>
      </c>
      <c r="AF141" s="70">
        <f>INT(((AE141*Valores!$C$2)*100)+0.5)/100</f>
        <v>0</v>
      </c>
      <c r="AG141" s="70">
        <f>Valores!$C$49</f>
        <v>262.5</v>
      </c>
      <c r="AH141" s="70">
        <f>Valores!$C$50</f>
        <v>75</v>
      </c>
      <c r="AI141" s="125">
        <f t="shared" si="21"/>
        <v>26274.61</v>
      </c>
      <c r="AJ141" s="72">
        <f>Valores!$C$6</f>
        <v>400</v>
      </c>
      <c r="AK141" s="126">
        <f t="shared" si="19"/>
        <v>400</v>
      </c>
      <c r="AL141" s="71">
        <f t="shared" si="20"/>
        <v>6443.1602999999996</v>
      </c>
      <c r="AM141" s="80">
        <v>110</v>
      </c>
      <c r="AN141" s="47"/>
      <c r="AO141" s="20">
        <v>22</v>
      </c>
      <c r="AP141" s="43" t="s">
        <v>465</v>
      </c>
    </row>
    <row r="142" spans="1:42" s="9" customFormat="1" ht="11.25" customHeight="1" x14ac:dyDescent="0.15">
      <c r="A142" s="9">
        <v>141</v>
      </c>
      <c r="D142" s="9" t="s">
        <v>261</v>
      </c>
      <c r="F142" s="10" t="s">
        <v>262</v>
      </c>
      <c r="G142" s="102">
        <v>1278</v>
      </c>
      <c r="H142" s="7">
        <f>INT((G142*Valores!$C$2*100)+0.5)/100</f>
        <v>5767.23</v>
      </c>
      <c r="I142" s="115">
        <v>0</v>
      </c>
      <c r="J142" s="67">
        <f>INT((I142*Valores!$C$2*100)+0.5)/100</f>
        <v>0</v>
      </c>
      <c r="K142" s="131">
        <v>0</v>
      </c>
      <c r="L142" s="67">
        <f>INT((K142*Valores!$C$2*100)+0.5)/100</f>
        <v>0</v>
      </c>
      <c r="M142" s="99">
        <v>0</v>
      </c>
      <c r="N142" s="67">
        <f>INT((M142*Valores!$C$2*100)+0.5)/100</f>
        <v>0</v>
      </c>
      <c r="O142" s="67">
        <f t="shared" si="22"/>
        <v>0</v>
      </c>
      <c r="P142" s="67">
        <f t="shared" si="23"/>
        <v>7520.6759999999995</v>
      </c>
      <c r="Q142" s="53">
        <f>Valores!$C$21</f>
        <v>2324</v>
      </c>
      <c r="R142" s="53">
        <f>Valores!$D$9</f>
        <v>2018.53</v>
      </c>
      <c r="S142" s="67">
        <f>Valores!$C$26</f>
        <v>2048</v>
      </c>
      <c r="T142" s="69">
        <f>Valores!$C$36</f>
        <v>500</v>
      </c>
      <c r="U142" s="67">
        <f>Valores!$C$23</f>
        <v>2079</v>
      </c>
      <c r="V142" s="67">
        <f t="shared" si="17"/>
        <v>4573.8</v>
      </c>
      <c r="W142" s="67">
        <v>0</v>
      </c>
      <c r="X142" s="67">
        <v>0</v>
      </c>
      <c r="Y142" s="95">
        <v>0</v>
      </c>
      <c r="Z142" s="67">
        <f>Y142*Valores!$C$2</f>
        <v>0</v>
      </c>
      <c r="AA142" s="67">
        <v>0</v>
      </c>
      <c r="AB142" s="79">
        <v>129.04</v>
      </c>
      <c r="AC142" s="67">
        <f t="shared" si="18"/>
        <v>0</v>
      </c>
      <c r="AD142" s="67">
        <v>129.04</v>
      </c>
      <c r="AE142" s="95">
        <v>0</v>
      </c>
      <c r="AF142" s="67">
        <f>INT(((AE142*Valores!$C$2)*100)+0.5)/100</f>
        <v>0</v>
      </c>
      <c r="AG142" s="67">
        <f>Valores!$C$49</f>
        <v>262.5</v>
      </c>
      <c r="AH142" s="67">
        <f>Valores!$C$50</f>
        <v>75</v>
      </c>
      <c r="AI142" s="123">
        <f t="shared" si="21"/>
        <v>25347.815999999999</v>
      </c>
      <c r="AJ142" s="69">
        <f>Valores!$C$6</f>
        <v>400</v>
      </c>
      <c r="AK142" s="124">
        <f t="shared" si="19"/>
        <v>400</v>
      </c>
      <c r="AL142" s="68">
        <f t="shared" si="20"/>
        <v>6229.9976799999995</v>
      </c>
      <c r="AM142" s="79">
        <v>110</v>
      </c>
      <c r="AN142" s="20"/>
      <c r="AO142" s="20">
        <v>22</v>
      </c>
      <c r="AP142" s="9" t="s">
        <v>465</v>
      </c>
    </row>
    <row r="143" spans="1:42" s="9" customFormat="1" ht="11.25" customHeight="1" x14ac:dyDescent="0.15">
      <c r="A143" s="9">
        <v>142</v>
      </c>
      <c r="D143" s="9" t="s">
        <v>263</v>
      </c>
      <c r="F143" s="10" t="s">
        <v>264</v>
      </c>
      <c r="G143" s="102">
        <v>1278</v>
      </c>
      <c r="H143" s="7">
        <f>INT((G143*Valores!$C$2*100)+0.5)/100</f>
        <v>5767.23</v>
      </c>
      <c r="I143" s="115">
        <v>0</v>
      </c>
      <c r="J143" s="67">
        <f>INT((I143*Valores!$C$2*100)+0.5)/100</f>
        <v>0</v>
      </c>
      <c r="K143" s="131">
        <v>0</v>
      </c>
      <c r="L143" s="67">
        <f>INT((K143*Valores!$C$2*100)+0.5)/100</f>
        <v>0</v>
      </c>
      <c r="M143" s="99">
        <v>0</v>
      </c>
      <c r="N143" s="67">
        <f>INT((M143*Valores!$C$2*100)+0.5)/100</f>
        <v>0</v>
      </c>
      <c r="O143" s="67">
        <f t="shared" si="22"/>
        <v>0</v>
      </c>
      <c r="P143" s="67">
        <f t="shared" si="23"/>
        <v>7220.6759999999995</v>
      </c>
      <c r="Q143" s="53">
        <f>Valores!$C$21</f>
        <v>2324</v>
      </c>
      <c r="R143" s="53">
        <f>Valores!$D$9</f>
        <v>2018.53</v>
      </c>
      <c r="S143" s="53">
        <f>Valores!$C$26</f>
        <v>2048</v>
      </c>
      <c r="T143" s="69">
        <f>Valores!$C$36/2</f>
        <v>250</v>
      </c>
      <c r="U143" s="53">
        <f>Valores!$C$24</f>
        <v>2049</v>
      </c>
      <c r="V143" s="67">
        <f t="shared" si="17"/>
        <v>4507.8</v>
      </c>
      <c r="W143" s="67">
        <v>0</v>
      </c>
      <c r="X143" s="67">
        <v>0</v>
      </c>
      <c r="Y143" s="95">
        <v>0</v>
      </c>
      <c r="Z143" s="67">
        <f>Y143*Valores!$C$2</f>
        <v>0</v>
      </c>
      <c r="AA143" s="67">
        <v>0</v>
      </c>
      <c r="AB143" s="79">
        <v>129.04</v>
      </c>
      <c r="AC143" s="67">
        <f t="shared" si="18"/>
        <v>0</v>
      </c>
      <c r="AD143" s="67">
        <v>129.04</v>
      </c>
      <c r="AE143" s="95">
        <v>0</v>
      </c>
      <c r="AF143" s="67">
        <f>INT(((AE143*Valores!$C$2)*100)+0.5)/100</f>
        <v>0</v>
      </c>
      <c r="AG143" s="67">
        <f>Valores!$C$49/2</f>
        <v>131.25</v>
      </c>
      <c r="AH143" s="67">
        <f>Valores!$C$50/2</f>
        <v>37.5</v>
      </c>
      <c r="AI143" s="123">
        <f t="shared" si="21"/>
        <v>24563.065999999999</v>
      </c>
      <c r="AJ143" s="69">
        <f>Valores!$C$6/2</f>
        <v>200</v>
      </c>
      <c r="AK143" s="124">
        <f t="shared" si="19"/>
        <v>200</v>
      </c>
      <c r="AL143" s="68">
        <f t="shared" si="20"/>
        <v>5849.5051799999992</v>
      </c>
      <c r="AM143" s="79">
        <v>0</v>
      </c>
      <c r="AN143" s="20"/>
      <c r="AO143" s="20"/>
      <c r="AP143" s="9" t="s">
        <v>464</v>
      </c>
    </row>
    <row r="144" spans="1:42" s="9" customFormat="1" ht="11.25" customHeight="1" x14ac:dyDescent="0.15">
      <c r="A144" s="9">
        <v>143</v>
      </c>
      <c r="D144" s="9" t="s">
        <v>265</v>
      </c>
      <c r="F144" s="10" t="s">
        <v>266</v>
      </c>
      <c r="G144" s="102">
        <v>1278</v>
      </c>
      <c r="H144" s="7">
        <f>INT((G144*Valores!$C$2*100)+0.5)/100</f>
        <v>5767.23</v>
      </c>
      <c r="I144" s="115">
        <v>0</v>
      </c>
      <c r="J144" s="67">
        <f>INT((I144*Valores!$C$2*100)+0.5)/100</f>
        <v>0</v>
      </c>
      <c r="K144" s="131">
        <v>0</v>
      </c>
      <c r="L144" s="67">
        <f>INT((K144*Valores!$C$2*100)+0.5)/100</f>
        <v>0</v>
      </c>
      <c r="M144" s="99">
        <v>0</v>
      </c>
      <c r="N144" s="67">
        <f>INT((M144*Valores!$C$2*100)+0.5)/100</f>
        <v>0</v>
      </c>
      <c r="O144" s="67">
        <f t="shared" si="22"/>
        <v>0</v>
      </c>
      <c r="P144" s="67">
        <f t="shared" si="23"/>
        <v>7520.6759999999995</v>
      </c>
      <c r="Q144" s="53">
        <f>Valores!$C$21</f>
        <v>2324</v>
      </c>
      <c r="R144" s="53">
        <f>Valores!$D$9</f>
        <v>2018.53</v>
      </c>
      <c r="S144" s="53">
        <f>Valores!$C$26</f>
        <v>2048</v>
      </c>
      <c r="T144" s="77">
        <f>Valores!$C$36</f>
        <v>500</v>
      </c>
      <c r="U144" s="67">
        <f>Valores!$C$23</f>
        <v>2079</v>
      </c>
      <c r="V144" s="67">
        <f t="shared" si="17"/>
        <v>4573.8</v>
      </c>
      <c r="W144" s="67">
        <v>0</v>
      </c>
      <c r="X144" s="67">
        <v>0</v>
      </c>
      <c r="Y144" s="95">
        <v>0</v>
      </c>
      <c r="Z144" s="67">
        <f>Y144*Valores!$C$2</f>
        <v>0</v>
      </c>
      <c r="AA144" s="67">
        <v>0</v>
      </c>
      <c r="AB144" s="79">
        <v>129.04</v>
      </c>
      <c r="AC144" s="67">
        <f t="shared" si="18"/>
        <v>0</v>
      </c>
      <c r="AD144" s="67">
        <v>129.04</v>
      </c>
      <c r="AE144" s="95">
        <v>0</v>
      </c>
      <c r="AF144" s="67">
        <f>INT(((AE144*Valores!$C$2)*100)+0.5)/100</f>
        <v>0</v>
      </c>
      <c r="AG144" s="67">
        <f>Valores!$C$49</f>
        <v>262.5</v>
      </c>
      <c r="AH144" s="67">
        <f>Valores!$C$50</f>
        <v>75</v>
      </c>
      <c r="AI144" s="123">
        <f t="shared" si="21"/>
        <v>25347.815999999999</v>
      </c>
      <c r="AJ144" s="69">
        <f>Valores!$C$6</f>
        <v>400</v>
      </c>
      <c r="AK144" s="124">
        <f t="shared" si="19"/>
        <v>400</v>
      </c>
      <c r="AL144" s="68">
        <f t="shared" si="20"/>
        <v>6229.9976799999995</v>
      </c>
      <c r="AM144" s="79">
        <v>0</v>
      </c>
      <c r="AN144" s="20"/>
      <c r="AO144" s="47"/>
      <c r="AP144" s="9" t="s">
        <v>465</v>
      </c>
    </row>
    <row r="145" spans="1:42" s="9" customFormat="1" ht="11.25" customHeight="1" x14ac:dyDescent="0.15">
      <c r="A145" s="9">
        <v>144</v>
      </c>
      <c r="D145" s="9" t="s">
        <v>267</v>
      </c>
      <c r="F145" s="10" t="s">
        <v>268</v>
      </c>
      <c r="G145" s="102">
        <v>1278</v>
      </c>
      <c r="H145" s="7">
        <f>INT((G145*Valores!$C$2*100)+0.5)/100</f>
        <v>5767.23</v>
      </c>
      <c r="I145" s="115">
        <v>0</v>
      </c>
      <c r="J145" s="67">
        <f>INT((I145*Valores!$C$2*100)+0.5)/100</f>
        <v>0</v>
      </c>
      <c r="K145" s="131">
        <v>0</v>
      </c>
      <c r="L145" s="67">
        <f>INT((K145*Valores!$C$2*100)+0.5)/100</f>
        <v>0</v>
      </c>
      <c r="M145" s="99">
        <v>0</v>
      </c>
      <c r="N145" s="67">
        <f>INT((M145*Valores!$C$2*100)+0.5)/100</f>
        <v>0</v>
      </c>
      <c r="O145" s="67">
        <f t="shared" si="22"/>
        <v>0</v>
      </c>
      <c r="P145" s="67">
        <f t="shared" si="23"/>
        <v>7520.6759999999995</v>
      </c>
      <c r="Q145" s="53">
        <f>Valores!$C$21</f>
        <v>2324</v>
      </c>
      <c r="R145" s="53">
        <f>Valores!$D$9</f>
        <v>2018.53</v>
      </c>
      <c r="S145" s="53">
        <f>Valores!$C$26</f>
        <v>2048</v>
      </c>
      <c r="T145" s="77">
        <f>Valores!$C$36</f>
        <v>500</v>
      </c>
      <c r="U145" s="67">
        <f>Valores!$C$23</f>
        <v>2079</v>
      </c>
      <c r="V145" s="67">
        <f t="shared" si="17"/>
        <v>4573.8</v>
      </c>
      <c r="W145" s="67">
        <v>0</v>
      </c>
      <c r="X145" s="67">
        <v>0</v>
      </c>
      <c r="Y145" s="95">
        <v>0</v>
      </c>
      <c r="Z145" s="67">
        <f>Y145*Valores!$C$2</f>
        <v>0</v>
      </c>
      <c r="AA145" s="67">
        <v>0</v>
      </c>
      <c r="AB145" s="79">
        <v>129.04</v>
      </c>
      <c r="AC145" s="67">
        <f t="shared" si="18"/>
        <v>0</v>
      </c>
      <c r="AD145" s="67">
        <v>129.04</v>
      </c>
      <c r="AE145" s="95">
        <v>0</v>
      </c>
      <c r="AF145" s="67">
        <f>INT(((AE145*Valores!$C$2)*100)+0.5)/100</f>
        <v>0</v>
      </c>
      <c r="AG145" s="67">
        <f>Valores!$C$49</f>
        <v>262.5</v>
      </c>
      <c r="AH145" s="67">
        <f>Valores!$C$50</f>
        <v>75</v>
      </c>
      <c r="AI145" s="123">
        <f t="shared" si="21"/>
        <v>25347.815999999999</v>
      </c>
      <c r="AJ145" s="69">
        <f>Valores!$C$6</f>
        <v>400</v>
      </c>
      <c r="AK145" s="124">
        <f t="shared" si="19"/>
        <v>400</v>
      </c>
      <c r="AL145" s="68">
        <f t="shared" si="20"/>
        <v>6229.9976799999995</v>
      </c>
      <c r="AM145" s="79">
        <v>110</v>
      </c>
      <c r="AN145" s="20"/>
      <c r="AO145" s="20">
        <v>20</v>
      </c>
      <c r="AP145" s="9" t="s">
        <v>465</v>
      </c>
    </row>
    <row r="146" spans="1:42" s="9" customFormat="1" ht="11.25" customHeight="1" x14ac:dyDescent="0.15">
      <c r="A146" s="43">
        <v>145</v>
      </c>
      <c r="B146" s="43" t="s">
        <v>460</v>
      </c>
      <c r="C146" s="43"/>
      <c r="D146" s="43" t="s">
        <v>269</v>
      </c>
      <c r="E146" s="43"/>
      <c r="F146" s="44" t="s">
        <v>270</v>
      </c>
      <c r="G146" s="103">
        <v>1278</v>
      </c>
      <c r="H146" s="110">
        <f>INT((G146*Valores!$C$2*100)+0.5)/100</f>
        <v>5767.23</v>
      </c>
      <c r="I146" s="114">
        <v>0</v>
      </c>
      <c r="J146" s="70">
        <f>INT((I146*Valores!$C$2*100)+0.5)/100</f>
        <v>0</v>
      </c>
      <c r="K146" s="132">
        <v>0</v>
      </c>
      <c r="L146" s="70">
        <f>INT((K146*Valores!$C$2*100)+0.5)/100</f>
        <v>0</v>
      </c>
      <c r="M146" s="100">
        <v>0</v>
      </c>
      <c r="N146" s="70">
        <f>INT((M146*Valores!$C$2*100)+0.5)/100</f>
        <v>0</v>
      </c>
      <c r="O146" s="70">
        <f t="shared" si="22"/>
        <v>0</v>
      </c>
      <c r="P146" s="70">
        <f t="shared" si="23"/>
        <v>7520.6759999999995</v>
      </c>
      <c r="Q146" s="75">
        <f>Valores!$C$21</f>
        <v>2324</v>
      </c>
      <c r="R146" s="75">
        <f>Valores!$D$9</f>
        <v>2018.53</v>
      </c>
      <c r="S146" s="75">
        <f>Valores!$C$26</f>
        <v>2048</v>
      </c>
      <c r="T146" s="78">
        <f>Valores!$C$36</f>
        <v>500</v>
      </c>
      <c r="U146" s="70">
        <f>Valores!$C$23</f>
        <v>2079</v>
      </c>
      <c r="V146" s="70">
        <f t="shared" si="17"/>
        <v>4573.8</v>
      </c>
      <c r="W146" s="70">
        <v>0</v>
      </c>
      <c r="X146" s="70">
        <v>0</v>
      </c>
      <c r="Y146" s="94">
        <v>0</v>
      </c>
      <c r="Z146" s="70">
        <f>Y146*Valores!$C$2</f>
        <v>0</v>
      </c>
      <c r="AA146" s="70">
        <v>0</v>
      </c>
      <c r="AB146" s="80">
        <v>129.04</v>
      </c>
      <c r="AC146" s="70">
        <f t="shared" si="18"/>
        <v>0</v>
      </c>
      <c r="AD146" s="70">
        <v>129.04</v>
      </c>
      <c r="AE146" s="94">
        <v>94</v>
      </c>
      <c r="AF146" s="70">
        <f>INT(((AE146*Valores!$C$2)*100)+0.5)/100</f>
        <v>424.19</v>
      </c>
      <c r="AG146" s="70">
        <f>Valores!$C$49</f>
        <v>262.5</v>
      </c>
      <c r="AH146" s="70">
        <f>Valores!$C$50</f>
        <v>75</v>
      </c>
      <c r="AI146" s="125">
        <f t="shared" si="21"/>
        <v>25772.005999999998</v>
      </c>
      <c r="AJ146" s="72">
        <f>Valores!$C$6</f>
        <v>400</v>
      </c>
      <c r="AK146" s="126">
        <f t="shared" si="19"/>
        <v>400</v>
      </c>
      <c r="AL146" s="71">
        <f t="shared" si="20"/>
        <v>6327.5613799999992</v>
      </c>
      <c r="AM146" s="80">
        <v>110</v>
      </c>
      <c r="AN146" s="47"/>
      <c r="AO146" s="20">
        <v>20</v>
      </c>
      <c r="AP146" s="43" t="s">
        <v>465</v>
      </c>
    </row>
    <row r="147" spans="1:42" s="9" customFormat="1" ht="11.25" customHeight="1" x14ac:dyDescent="0.15">
      <c r="A147" s="9">
        <v>146</v>
      </c>
      <c r="D147" s="9" t="s">
        <v>271</v>
      </c>
      <c r="F147" s="10" t="s">
        <v>272</v>
      </c>
      <c r="G147" s="102">
        <v>1278</v>
      </c>
      <c r="H147" s="7">
        <f>INT((G147*Valores!$C$2*100)+0.5)/100</f>
        <v>5767.23</v>
      </c>
      <c r="I147" s="115">
        <v>0</v>
      </c>
      <c r="J147" s="67">
        <f>INT((I147*Valores!$C$2*100)+0.5)/100</f>
        <v>0</v>
      </c>
      <c r="K147" s="131">
        <v>0</v>
      </c>
      <c r="L147" s="67">
        <f>INT((K147*Valores!$C$2*100)+0.5)/100</f>
        <v>0</v>
      </c>
      <c r="M147" s="99">
        <v>0</v>
      </c>
      <c r="N147" s="67">
        <f>INT((M147*Valores!$C$2*100)+0.5)/100</f>
        <v>0</v>
      </c>
      <c r="O147" s="67">
        <f t="shared" si="22"/>
        <v>0</v>
      </c>
      <c r="P147" s="67">
        <f t="shared" si="23"/>
        <v>7520.6759999999995</v>
      </c>
      <c r="Q147" s="53">
        <f>Valores!$C$21</f>
        <v>2324</v>
      </c>
      <c r="R147" s="53">
        <f>Valores!$D$9</f>
        <v>2018.53</v>
      </c>
      <c r="S147" s="69">
        <f>Valores!$C$26</f>
        <v>2048</v>
      </c>
      <c r="T147" s="69">
        <f>Valores!$C$36</f>
        <v>500</v>
      </c>
      <c r="U147" s="53">
        <f>Valores!$C$23</f>
        <v>2079</v>
      </c>
      <c r="V147" s="67">
        <f t="shared" si="17"/>
        <v>4573.8</v>
      </c>
      <c r="W147" s="67">
        <v>0</v>
      </c>
      <c r="X147" s="67">
        <v>0</v>
      </c>
      <c r="Y147" s="95">
        <v>0</v>
      </c>
      <c r="Z147" s="67">
        <f>Y147*Valores!$C$2</f>
        <v>0</v>
      </c>
      <c r="AA147" s="67">
        <v>0</v>
      </c>
      <c r="AB147" s="79">
        <v>129.04</v>
      </c>
      <c r="AC147" s="67">
        <f t="shared" si="18"/>
        <v>0</v>
      </c>
      <c r="AD147" s="67">
        <v>129.04</v>
      </c>
      <c r="AE147" s="95">
        <v>0</v>
      </c>
      <c r="AF147" s="67">
        <f>INT(((AE147*Valores!$C$2)*100)+0.5)/100</f>
        <v>0</v>
      </c>
      <c r="AG147" s="67">
        <f>Valores!$C$49</f>
        <v>262.5</v>
      </c>
      <c r="AH147" s="67">
        <f>Valores!$C$50</f>
        <v>75</v>
      </c>
      <c r="AI147" s="123">
        <f t="shared" si="21"/>
        <v>25347.815999999999</v>
      </c>
      <c r="AJ147" s="69">
        <f>Valores!$C$6</f>
        <v>400</v>
      </c>
      <c r="AK147" s="124">
        <f t="shared" si="19"/>
        <v>400</v>
      </c>
      <c r="AL147" s="68">
        <f t="shared" si="20"/>
        <v>6229.9976799999995</v>
      </c>
      <c r="AM147" s="79">
        <v>110</v>
      </c>
      <c r="AN147" s="20"/>
      <c r="AO147" s="20">
        <v>22</v>
      </c>
      <c r="AP147" s="9" t="s">
        <v>465</v>
      </c>
    </row>
    <row r="148" spans="1:42" s="9" customFormat="1" ht="11.25" customHeight="1" x14ac:dyDescent="0.15">
      <c r="A148" s="9">
        <v>147</v>
      </c>
      <c r="D148" s="9" t="s">
        <v>273</v>
      </c>
      <c r="F148" s="10" t="s">
        <v>274</v>
      </c>
      <c r="G148" s="102">
        <v>1278</v>
      </c>
      <c r="H148" s="7">
        <f>INT((G148*Valores!$C$2*100)+0.5)/100</f>
        <v>5767.23</v>
      </c>
      <c r="I148" s="115">
        <v>0</v>
      </c>
      <c r="J148" s="67">
        <f>INT((I148*Valores!$C$2*100)+0.5)/100</f>
        <v>0</v>
      </c>
      <c r="K148" s="131">
        <v>0</v>
      </c>
      <c r="L148" s="67">
        <f>INT((K148*Valores!$C$2*100)+0.5)/100</f>
        <v>0</v>
      </c>
      <c r="M148" s="99">
        <v>0</v>
      </c>
      <c r="N148" s="67">
        <f>INT((M148*Valores!$C$2*100)+0.5)/100</f>
        <v>0</v>
      </c>
      <c r="O148" s="67">
        <f t="shared" si="22"/>
        <v>0</v>
      </c>
      <c r="P148" s="67">
        <f t="shared" si="23"/>
        <v>7520.6759999999995</v>
      </c>
      <c r="Q148" s="53">
        <f>Valores!$C$21</f>
        <v>2324</v>
      </c>
      <c r="R148" s="53">
        <f>Valores!$D$9</f>
        <v>2018.53</v>
      </c>
      <c r="S148" s="69">
        <v>0</v>
      </c>
      <c r="T148" s="69">
        <f>Valores!$C$36</f>
        <v>500</v>
      </c>
      <c r="U148" s="53">
        <f>Valores!$C$24</f>
        <v>2049</v>
      </c>
      <c r="V148" s="67">
        <f t="shared" si="17"/>
        <v>4507.8</v>
      </c>
      <c r="W148" s="67">
        <v>0</v>
      </c>
      <c r="X148" s="67">
        <v>0</v>
      </c>
      <c r="Y148" s="95">
        <v>0</v>
      </c>
      <c r="Z148" s="67">
        <f>Y148*Valores!$C$2</f>
        <v>0</v>
      </c>
      <c r="AA148" s="67">
        <v>0</v>
      </c>
      <c r="AB148" s="79">
        <v>129.04</v>
      </c>
      <c r="AC148" s="67">
        <f t="shared" si="18"/>
        <v>0</v>
      </c>
      <c r="AD148" s="67">
        <v>129.04</v>
      </c>
      <c r="AE148" s="95">
        <v>0</v>
      </c>
      <c r="AF148" s="67">
        <f>INT(((AE148*Valores!$C$2)*100)+0.5)/100</f>
        <v>0</v>
      </c>
      <c r="AG148" s="67">
        <f>Valores!$C$49</f>
        <v>262.5</v>
      </c>
      <c r="AH148" s="67">
        <f>Valores!$C$50</f>
        <v>75</v>
      </c>
      <c r="AI148" s="123">
        <f t="shared" si="21"/>
        <v>23233.815999999999</v>
      </c>
      <c r="AJ148" s="69">
        <f>Valores!$C$6</f>
        <v>400</v>
      </c>
      <c r="AK148" s="124">
        <f t="shared" si="19"/>
        <v>400</v>
      </c>
      <c r="AL148" s="68">
        <f t="shared" si="20"/>
        <v>5743.7776799999992</v>
      </c>
      <c r="AM148" s="79">
        <v>0</v>
      </c>
      <c r="AN148" s="20"/>
      <c r="AO148" s="20"/>
      <c r="AP148" s="9" t="s">
        <v>464</v>
      </c>
    </row>
    <row r="149" spans="1:42" s="9" customFormat="1" ht="11.25" customHeight="1" x14ac:dyDescent="0.15">
      <c r="A149" s="9">
        <v>148</v>
      </c>
      <c r="D149" s="9" t="s">
        <v>275</v>
      </c>
      <c r="F149" s="10" t="s">
        <v>276</v>
      </c>
      <c r="G149" s="102">
        <v>1278</v>
      </c>
      <c r="H149" s="7">
        <f>INT((G149*Valores!$C$2*100)+0.5)/100</f>
        <v>5767.23</v>
      </c>
      <c r="I149" s="115">
        <v>0</v>
      </c>
      <c r="J149" s="67">
        <f>INT((I149*Valores!$C$2*100)+0.5)/100</f>
        <v>0</v>
      </c>
      <c r="K149" s="131">
        <v>0</v>
      </c>
      <c r="L149" s="67">
        <f>INT((K149*Valores!$C$2*100)+0.5)/100</f>
        <v>0</v>
      </c>
      <c r="M149" s="99">
        <v>0</v>
      </c>
      <c r="N149" s="67">
        <f>INT((M149*Valores!$C$2*100)+0.5)/100</f>
        <v>0</v>
      </c>
      <c r="O149" s="67">
        <f t="shared" si="22"/>
        <v>0</v>
      </c>
      <c r="P149" s="67">
        <f t="shared" si="23"/>
        <v>7520.6759999999995</v>
      </c>
      <c r="Q149" s="53">
        <f>Valores!$C$21</f>
        <v>2324</v>
      </c>
      <c r="R149" s="53">
        <f>Valores!$D$9</f>
        <v>2018.53</v>
      </c>
      <c r="S149" s="69">
        <v>0</v>
      </c>
      <c r="T149" s="69">
        <f>Valores!$C$36</f>
        <v>500</v>
      </c>
      <c r="U149" s="53">
        <f>Valores!$C$24</f>
        <v>2049</v>
      </c>
      <c r="V149" s="67">
        <f t="shared" si="17"/>
        <v>4507.8</v>
      </c>
      <c r="W149" s="67">
        <v>0</v>
      </c>
      <c r="X149" s="67">
        <v>0</v>
      </c>
      <c r="Y149" s="95">
        <v>0</v>
      </c>
      <c r="Z149" s="67">
        <f>Y149*Valores!$C$2</f>
        <v>0</v>
      </c>
      <c r="AA149" s="67">
        <v>0</v>
      </c>
      <c r="AB149" s="79">
        <v>129.04</v>
      </c>
      <c r="AC149" s="67">
        <f t="shared" si="18"/>
        <v>0</v>
      </c>
      <c r="AD149" s="67">
        <v>129.04</v>
      </c>
      <c r="AE149" s="95">
        <v>0</v>
      </c>
      <c r="AF149" s="67">
        <f>INT(((AE149*Valores!$C$2)*100)+0.5)/100</f>
        <v>0</v>
      </c>
      <c r="AG149" s="67">
        <f>Valores!$C$49</f>
        <v>262.5</v>
      </c>
      <c r="AH149" s="67">
        <f>Valores!$C$50</f>
        <v>75</v>
      </c>
      <c r="AI149" s="123">
        <f t="shared" si="21"/>
        <v>23233.815999999999</v>
      </c>
      <c r="AJ149" s="69">
        <f>Valores!$C$6</f>
        <v>400</v>
      </c>
      <c r="AK149" s="124">
        <f t="shared" si="19"/>
        <v>400</v>
      </c>
      <c r="AL149" s="68">
        <f t="shared" si="20"/>
        <v>5743.7776799999992</v>
      </c>
      <c r="AM149" s="79">
        <v>0</v>
      </c>
      <c r="AN149" s="20"/>
      <c r="AO149" s="47"/>
      <c r="AP149" s="9" t="s">
        <v>464</v>
      </c>
    </row>
    <row r="150" spans="1:42" s="9" customFormat="1" ht="11.25" customHeight="1" x14ac:dyDescent="0.15">
      <c r="A150" s="9">
        <v>149</v>
      </c>
      <c r="D150" s="9" t="s">
        <v>277</v>
      </c>
      <c r="F150" s="10" t="s">
        <v>278</v>
      </c>
      <c r="G150" s="102">
        <v>1060</v>
      </c>
      <c r="H150" s="7">
        <f>INT((G150*Valores!$C$2*100)+0.5)/100</f>
        <v>4783.46</v>
      </c>
      <c r="I150" s="115">
        <v>0</v>
      </c>
      <c r="J150" s="67">
        <f>INT((I150*Valores!$C$2*100)+0.5)/100</f>
        <v>0</v>
      </c>
      <c r="K150" s="131">
        <v>0</v>
      </c>
      <c r="L150" s="67">
        <f>INT((K150*Valores!$C$2*100)+0.5)/100</f>
        <v>0</v>
      </c>
      <c r="M150" s="99">
        <v>0</v>
      </c>
      <c r="N150" s="67">
        <f>INT((M150*Valores!$C$2*100)+0.5)/100</f>
        <v>0</v>
      </c>
      <c r="O150" s="67">
        <f t="shared" si="22"/>
        <v>0</v>
      </c>
      <c r="P150" s="67">
        <f t="shared" si="23"/>
        <v>6340.152</v>
      </c>
      <c r="Q150" s="53">
        <f>Valores!$C$21</f>
        <v>2324</v>
      </c>
      <c r="R150" s="53">
        <f>Valores!$D$9</f>
        <v>2018.53</v>
      </c>
      <c r="S150" s="77">
        <f>Valores!$C$26</f>
        <v>2048</v>
      </c>
      <c r="T150" s="77">
        <f>Valores!$C$36</f>
        <v>500</v>
      </c>
      <c r="U150" s="67">
        <f>Valores!$C$23</f>
        <v>2079</v>
      </c>
      <c r="V150" s="67">
        <f t="shared" si="17"/>
        <v>4573.8</v>
      </c>
      <c r="W150" s="67">
        <v>0</v>
      </c>
      <c r="X150" s="67">
        <v>0</v>
      </c>
      <c r="Y150" s="95">
        <v>0</v>
      </c>
      <c r="Z150" s="67">
        <f>Y150*Valores!$C$2</f>
        <v>0</v>
      </c>
      <c r="AA150" s="67">
        <v>0</v>
      </c>
      <c r="AB150" s="79">
        <v>129.04</v>
      </c>
      <c r="AC150" s="67">
        <f t="shared" si="18"/>
        <v>0</v>
      </c>
      <c r="AD150" s="67">
        <v>129.04</v>
      </c>
      <c r="AE150" s="95">
        <v>0</v>
      </c>
      <c r="AF150" s="67">
        <f>INT(((AE150*Valores!$C$2)*100)+0.5)/100</f>
        <v>0</v>
      </c>
      <c r="AG150" s="67">
        <f>Valores!$C$49</f>
        <v>262.5</v>
      </c>
      <c r="AH150" s="67">
        <f>Valores!$C$50</f>
        <v>75</v>
      </c>
      <c r="AI150" s="123">
        <f t="shared" si="21"/>
        <v>23183.522000000001</v>
      </c>
      <c r="AJ150" s="69">
        <f>Valores!$C$6</f>
        <v>400</v>
      </c>
      <c r="AK150" s="124">
        <f t="shared" si="19"/>
        <v>400</v>
      </c>
      <c r="AL150" s="68">
        <f t="shared" si="20"/>
        <v>5732.2100599999994</v>
      </c>
      <c r="AM150" s="79">
        <v>110</v>
      </c>
      <c r="AN150" s="20"/>
      <c r="AO150" s="20"/>
      <c r="AP150" s="9" t="s">
        <v>465</v>
      </c>
    </row>
    <row r="151" spans="1:42" s="9" customFormat="1" ht="11.25" customHeight="1" x14ac:dyDescent="0.15">
      <c r="A151" s="43">
        <v>150</v>
      </c>
      <c r="B151" s="43" t="s">
        <v>460</v>
      </c>
      <c r="C151" s="43"/>
      <c r="D151" s="43" t="s">
        <v>279</v>
      </c>
      <c r="E151" s="43"/>
      <c r="F151" s="44" t="s">
        <v>280</v>
      </c>
      <c r="G151" s="103">
        <v>1278</v>
      </c>
      <c r="H151" s="110">
        <f>INT((G151*Valores!$C$2*100)+0.5)/100</f>
        <v>5767.23</v>
      </c>
      <c r="I151" s="114">
        <v>0</v>
      </c>
      <c r="J151" s="70">
        <f>INT((I151*Valores!$C$2*100)+0.5)/100</f>
        <v>0</v>
      </c>
      <c r="K151" s="132">
        <v>0</v>
      </c>
      <c r="L151" s="70">
        <f>INT((K151*Valores!$C$2*100)+0.5)/100</f>
        <v>0</v>
      </c>
      <c r="M151" s="100">
        <v>0</v>
      </c>
      <c r="N151" s="70">
        <f>INT((M151*Valores!$C$2*100)+0.5)/100</f>
        <v>0</v>
      </c>
      <c r="O151" s="70">
        <f t="shared" si="22"/>
        <v>0</v>
      </c>
      <c r="P151" s="70">
        <f t="shared" si="23"/>
        <v>7520.6759999999995</v>
      </c>
      <c r="Q151" s="75">
        <f>Valores!$C$21</f>
        <v>2324</v>
      </c>
      <c r="R151" s="75">
        <f>Valores!$D$9</f>
        <v>2018.53</v>
      </c>
      <c r="S151" s="78">
        <f>Valores!$C$26</f>
        <v>2048</v>
      </c>
      <c r="T151" s="78">
        <f>Valores!$C$36</f>
        <v>500</v>
      </c>
      <c r="U151" s="75">
        <f>Valores!$C$24</f>
        <v>2049</v>
      </c>
      <c r="V151" s="70">
        <f t="shared" si="17"/>
        <v>4507.8</v>
      </c>
      <c r="W151" s="70">
        <v>0</v>
      </c>
      <c r="X151" s="70">
        <v>0</v>
      </c>
      <c r="Y151" s="94">
        <v>0</v>
      </c>
      <c r="Z151" s="70">
        <f>Y151*Valores!$C$2</f>
        <v>0</v>
      </c>
      <c r="AA151" s="70">
        <v>0</v>
      </c>
      <c r="AB151" s="80">
        <v>129.04</v>
      </c>
      <c r="AC151" s="70">
        <f t="shared" si="18"/>
        <v>0</v>
      </c>
      <c r="AD151" s="70">
        <v>129.04</v>
      </c>
      <c r="AE151" s="94">
        <v>0</v>
      </c>
      <c r="AF151" s="70">
        <f>INT(((AE151*Valores!$C$2)*100)+0.5)/100</f>
        <v>0</v>
      </c>
      <c r="AG151" s="70">
        <f>Valores!$C$49</f>
        <v>262.5</v>
      </c>
      <c r="AH151" s="70">
        <f>Valores!$C$50</f>
        <v>75</v>
      </c>
      <c r="AI151" s="125">
        <f t="shared" si="21"/>
        <v>25281.815999999999</v>
      </c>
      <c r="AJ151" s="72">
        <f>Valores!$C$6</f>
        <v>400</v>
      </c>
      <c r="AK151" s="126">
        <f t="shared" si="19"/>
        <v>400</v>
      </c>
      <c r="AL151" s="71">
        <f t="shared" si="20"/>
        <v>6214.8176799999992</v>
      </c>
      <c r="AM151" s="80">
        <v>0</v>
      </c>
      <c r="AN151" s="47"/>
      <c r="AO151" s="20">
        <v>22</v>
      </c>
      <c r="AP151" s="43" t="s">
        <v>465</v>
      </c>
    </row>
    <row r="152" spans="1:42" s="9" customFormat="1" ht="11.25" customHeight="1" x14ac:dyDescent="0.15">
      <c r="A152" s="9">
        <v>151</v>
      </c>
      <c r="D152" s="9" t="s">
        <v>281</v>
      </c>
      <c r="F152" s="10" t="s">
        <v>282</v>
      </c>
      <c r="G152" s="102">
        <v>1278</v>
      </c>
      <c r="H152" s="7">
        <f>INT((G152*Valores!$C$2*100)+0.5)/100</f>
        <v>5767.23</v>
      </c>
      <c r="I152" s="115">
        <v>0</v>
      </c>
      <c r="J152" s="67">
        <f>INT((I152*Valores!$C$2*100)+0.5)/100</f>
        <v>0</v>
      </c>
      <c r="K152" s="131">
        <v>0</v>
      </c>
      <c r="L152" s="67">
        <f>INT((K152*Valores!$C$2*100)+0.5)/100</f>
        <v>0</v>
      </c>
      <c r="M152" s="99">
        <v>0</v>
      </c>
      <c r="N152" s="67">
        <f>INT((M152*Valores!$C$2*100)+0.5)/100</f>
        <v>0</v>
      </c>
      <c r="O152" s="67">
        <f t="shared" si="22"/>
        <v>0</v>
      </c>
      <c r="P152" s="67">
        <f t="shared" si="23"/>
        <v>7520.6759999999995</v>
      </c>
      <c r="Q152" s="53">
        <f>Valores!$C$21</f>
        <v>2324</v>
      </c>
      <c r="R152" s="53">
        <f>Valores!$D$9</f>
        <v>2018.53</v>
      </c>
      <c r="S152" s="69">
        <f>Valores!$C$26</f>
        <v>2048</v>
      </c>
      <c r="T152" s="69">
        <f>Valores!$C$36</f>
        <v>500</v>
      </c>
      <c r="U152" s="67">
        <f>Valores!$C$23</f>
        <v>2079</v>
      </c>
      <c r="V152" s="67">
        <f t="shared" si="17"/>
        <v>4573.8</v>
      </c>
      <c r="W152" s="67">
        <v>0</v>
      </c>
      <c r="X152" s="67">
        <v>0</v>
      </c>
      <c r="Y152" s="95">
        <v>0</v>
      </c>
      <c r="Z152" s="67">
        <f>Y152*Valores!$C$2</f>
        <v>0</v>
      </c>
      <c r="AA152" s="67">
        <v>0</v>
      </c>
      <c r="AB152" s="79">
        <v>129.04</v>
      </c>
      <c r="AC152" s="67">
        <f t="shared" si="18"/>
        <v>0</v>
      </c>
      <c r="AD152" s="67">
        <v>129.04</v>
      </c>
      <c r="AE152" s="95">
        <v>0</v>
      </c>
      <c r="AF152" s="67">
        <f>INT(((AE152*Valores!$C$2)*100)+0.5)/100</f>
        <v>0</v>
      </c>
      <c r="AG152" s="67">
        <f>Valores!$C$49</f>
        <v>262.5</v>
      </c>
      <c r="AH152" s="67">
        <f>Valores!$C$50</f>
        <v>75</v>
      </c>
      <c r="AI152" s="123">
        <f t="shared" si="21"/>
        <v>25347.815999999999</v>
      </c>
      <c r="AJ152" s="69">
        <f>Valores!$C$6</f>
        <v>400</v>
      </c>
      <c r="AK152" s="124">
        <f t="shared" si="19"/>
        <v>400</v>
      </c>
      <c r="AL152" s="68">
        <f t="shared" si="20"/>
        <v>6229.9976799999995</v>
      </c>
      <c r="AM152" s="79">
        <v>0</v>
      </c>
      <c r="AN152" s="20"/>
      <c r="AO152" s="20">
        <v>25</v>
      </c>
      <c r="AP152" s="9" t="s">
        <v>465</v>
      </c>
    </row>
    <row r="153" spans="1:42" s="9" customFormat="1" ht="11.25" customHeight="1" x14ac:dyDescent="0.15">
      <c r="A153" s="9">
        <v>152</v>
      </c>
      <c r="D153" s="9" t="s">
        <v>283</v>
      </c>
      <c r="F153" s="10" t="s">
        <v>284</v>
      </c>
      <c r="G153" s="102">
        <v>1065</v>
      </c>
      <c r="H153" s="7">
        <f>INT((G153*Valores!$C$2*100)+0.5)/100</f>
        <v>4806.03</v>
      </c>
      <c r="I153" s="115">
        <v>0</v>
      </c>
      <c r="J153" s="67">
        <f>INT((I153*Valores!$C$2*100)+0.5)/100</f>
        <v>0</v>
      </c>
      <c r="K153" s="131">
        <v>0</v>
      </c>
      <c r="L153" s="67">
        <f>INT((K153*Valores!$C$2*100)+0.5)/100</f>
        <v>0</v>
      </c>
      <c r="M153" s="99">
        <v>0</v>
      </c>
      <c r="N153" s="67">
        <f>INT((M153*Valores!$C$2*100)+0.5)/100</f>
        <v>0</v>
      </c>
      <c r="O153" s="67">
        <f t="shared" si="22"/>
        <v>0</v>
      </c>
      <c r="P153" s="67">
        <f t="shared" si="23"/>
        <v>6292.2359999999999</v>
      </c>
      <c r="Q153" s="53">
        <f>Valores!$C$21</f>
        <v>2324</v>
      </c>
      <c r="R153" s="53">
        <f>Valores!$D$9</f>
        <v>2018.53</v>
      </c>
      <c r="S153" s="69">
        <f>Valores!$C$27</f>
        <v>1853</v>
      </c>
      <c r="T153" s="69">
        <f>Valores!$C$35</f>
        <v>437.5</v>
      </c>
      <c r="U153" s="53">
        <f>Valores!$C$23</f>
        <v>2079</v>
      </c>
      <c r="V153" s="67">
        <f t="shared" si="17"/>
        <v>4573.8</v>
      </c>
      <c r="W153" s="67">
        <v>0</v>
      </c>
      <c r="X153" s="67">
        <v>0</v>
      </c>
      <c r="Y153" s="95">
        <v>0</v>
      </c>
      <c r="Z153" s="67">
        <f>Y153*Valores!$C$2</f>
        <v>0</v>
      </c>
      <c r="AA153" s="67">
        <v>0</v>
      </c>
      <c r="AB153" s="79">
        <v>129.04</v>
      </c>
      <c r="AC153" s="67">
        <f t="shared" si="18"/>
        <v>0</v>
      </c>
      <c r="AD153" s="67">
        <v>129.04</v>
      </c>
      <c r="AE153" s="95">
        <v>0</v>
      </c>
      <c r="AF153" s="67">
        <f>INT(((AE153*Valores!$C$2)*100)+0.5)/100</f>
        <v>0</v>
      </c>
      <c r="AG153" s="67">
        <f>Valores!$C$49</f>
        <v>262.5</v>
      </c>
      <c r="AH153" s="67">
        <f>Valores!$C$50</f>
        <v>75</v>
      </c>
      <c r="AI153" s="123">
        <f t="shared" si="21"/>
        <v>22900.676000000003</v>
      </c>
      <c r="AJ153" s="69">
        <f>Valores!$C$5</f>
        <v>350</v>
      </c>
      <c r="AK153" s="124">
        <f t="shared" si="19"/>
        <v>350</v>
      </c>
      <c r="AL153" s="68">
        <f t="shared" si="20"/>
        <v>5617.1554800000004</v>
      </c>
      <c r="AM153" s="79">
        <v>110</v>
      </c>
      <c r="AN153" s="20"/>
      <c r="AO153" s="20">
        <v>25</v>
      </c>
      <c r="AP153" s="9" t="s">
        <v>465</v>
      </c>
    </row>
    <row r="154" spans="1:42" s="9" customFormat="1" ht="11.25" customHeight="1" x14ac:dyDescent="0.15">
      <c r="A154" s="9">
        <v>153</v>
      </c>
      <c r="D154" s="9" t="s">
        <v>285</v>
      </c>
      <c r="F154" s="10" t="s">
        <v>286</v>
      </c>
      <c r="G154" s="102">
        <v>947</v>
      </c>
      <c r="H154" s="7">
        <f>INT((G154*Valores!$C$2*100)+0.5)/100</f>
        <v>4273.53</v>
      </c>
      <c r="I154" s="115">
        <v>0</v>
      </c>
      <c r="J154" s="67">
        <f>INT((I154*Valores!$C$2*100)+0.5)/100</f>
        <v>0</v>
      </c>
      <c r="K154" s="131">
        <v>0</v>
      </c>
      <c r="L154" s="67">
        <f>INT((K154*Valores!$C$2*100)+0.5)/100</f>
        <v>0</v>
      </c>
      <c r="M154" s="99">
        <v>0</v>
      </c>
      <c r="N154" s="67">
        <f>INT((M154*Valores!$C$2*100)+0.5)/100</f>
        <v>0</v>
      </c>
      <c r="O154" s="67">
        <f t="shared" si="22"/>
        <v>0</v>
      </c>
      <c r="P154" s="67">
        <f t="shared" si="23"/>
        <v>5653.2359999999999</v>
      </c>
      <c r="Q154" s="53">
        <f>Valores!$C$21</f>
        <v>2324</v>
      </c>
      <c r="R154" s="53">
        <f>Valores!$D$9</f>
        <v>2018.53</v>
      </c>
      <c r="S154" s="69">
        <f>Valores!$C$27</f>
        <v>1853</v>
      </c>
      <c r="T154" s="69">
        <f>Valores!$C$35</f>
        <v>437.5</v>
      </c>
      <c r="U154" s="53">
        <f>Valores!$C$23</f>
        <v>2079</v>
      </c>
      <c r="V154" s="67">
        <f t="shared" si="17"/>
        <v>4573.8</v>
      </c>
      <c r="W154" s="67">
        <v>0</v>
      </c>
      <c r="X154" s="67">
        <v>0</v>
      </c>
      <c r="Y154" s="95">
        <v>0</v>
      </c>
      <c r="Z154" s="67">
        <f>Y154*Valores!$C$2</f>
        <v>0</v>
      </c>
      <c r="AA154" s="67">
        <v>0</v>
      </c>
      <c r="AB154" s="79">
        <v>129.04</v>
      </c>
      <c r="AC154" s="67">
        <f t="shared" si="18"/>
        <v>0</v>
      </c>
      <c r="AD154" s="67">
        <v>129.04</v>
      </c>
      <c r="AE154" s="95">
        <v>0</v>
      </c>
      <c r="AF154" s="67">
        <f>INT(((AE154*Valores!$C$2)*100)+0.5)/100</f>
        <v>0</v>
      </c>
      <c r="AG154" s="67">
        <f>Valores!$C$49</f>
        <v>262.5</v>
      </c>
      <c r="AH154" s="67">
        <f>Valores!$C$50</f>
        <v>75</v>
      </c>
      <c r="AI154" s="123">
        <f t="shared" si="21"/>
        <v>21729.176000000003</v>
      </c>
      <c r="AJ154" s="69">
        <f>Valores!$C$5</f>
        <v>350</v>
      </c>
      <c r="AK154" s="124">
        <f t="shared" si="19"/>
        <v>350</v>
      </c>
      <c r="AL154" s="68">
        <f t="shared" si="20"/>
        <v>5347.7104800000006</v>
      </c>
      <c r="AM154" s="79">
        <v>110</v>
      </c>
      <c r="AN154" s="20"/>
      <c r="AO154" s="47">
        <v>22</v>
      </c>
      <c r="AP154" s="9" t="s">
        <v>465</v>
      </c>
    </row>
    <row r="155" spans="1:42" s="9" customFormat="1" ht="11.25" customHeight="1" x14ac:dyDescent="0.15">
      <c r="A155" s="9">
        <v>154</v>
      </c>
      <c r="D155" s="9" t="s">
        <v>287</v>
      </c>
      <c r="F155" s="10" t="s">
        <v>288</v>
      </c>
      <c r="G155" s="102">
        <v>1800</v>
      </c>
      <c r="H155" s="7">
        <f>INT((G155*Valores!$C$2*100)+0.5)/100</f>
        <v>8122.86</v>
      </c>
      <c r="I155" s="115">
        <v>0</v>
      </c>
      <c r="J155" s="67">
        <f>INT((I155*Valores!$C$2*100)+0.5)/100</f>
        <v>0</v>
      </c>
      <c r="K155" s="131">
        <v>0</v>
      </c>
      <c r="L155" s="67">
        <f>INT((K155*Valores!$C$2*100)+0.5)/100</f>
        <v>0</v>
      </c>
      <c r="M155" s="99">
        <v>0</v>
      </c>
      <c r="N155" s="67">
        <f>INT((M155*Valores!$C$2*100)+0.5)/100</f>
        <v>0</v>
      </c>
      <c r="O155" s="67">
        <f t="shared" si="22"/>
        <v>0</v>
      </c>
      <c r="P155" s="67">
        <f t="shared" si="23"/>
        <v>10647.432000000001</v>
      </c>
      <c r="Q155" s="53">
        <f>Valores!$C$15</f>
        <v>2474</v>
      </c>
      <c r="R155" s="53">
        <f>Valores!$D$9</f>
        <v>2018.53</v>
      </c>
      <c r="S155" s="53">
        <f>Valores!$C$26</f>
        <v>2048</v>
      </c>
      <c r="T155" s="77">
        <f>Valores!$C$37</f>
        <v>750</v>
      </c>
      <c r="U155" s="67">
        <f>Valores!$C$23</f>
        <v>2079</v>
      </c>
      <c r="V155" s="67">
        <f t="shared" si="17"/>
        <v>4573.8</v>
      </c>
      <c r="W155" s="67">
        <v>0</v>
      </c>
      <c r="X155" s="67">
        <v>0</v>
      </c>
      <c r="Y155" s="95">
        <v>0</v>
      </c>
      <c r="Z155" s="67">
        <f>Y155*Valores!$C$2</f>
        <v>0</v>
      </c>
      <c r="AA155" s="67">
        <v>0</v>
      </c>
      <c r="AB155" s="79">
        <v>129.04</v>
      </c>
      <c r="AC155" s="67">
        <f t="shared" si="18"/>
        <v>0</v>
      </c>
      <c r="AD155" s="67">
        <v>129.04</v>
      </c>
      <c r="AE155" s="95">
        <v>0</v>
      </c>
      <c r="AF155" s="67">
        <f>INT(((AE155*Valores!$C$2)*100)+0.5)/100</f>
        <v>0</v>
      </c>
      <c r="AG155" s="67">
        <f>Valores!$C$49</f>
        <v>262.5</v>
      </c>
      <c r="AH155" s="67">
        <f>Valores!$C$50</f>
        <v>75</v>
      </c>
      <c r="AI155" s="123">
        <f t="shared" si="21"/>
        <v>31230.202000000001</v>
      </c>
      <c r="AJ155" s="69">
        <f>Valores!$C$7</f>
        <v>600</v>
      </c>
      <c r="AK155" s="124">
        <f t="shared" si="19"/>
        <v>600</v>
      </c>
      <c r="AL155" s="68">
        <f t="shared" si="20"/>
        <v>7782.9464600000001</v>
      </c>
      <c r="AM155" s="79">
        <v>0</v>
      </c>
      <c r="AN155" s="20"/>
      <c r="AO155" s="20"/>
      <c r="AP155" s="9" t="s">
        <v>465</v>
      </c>
    </row>
    <row r="156" spans="1:42" s="9" customFormat="1" ht="11.25" customHeight="1" x14ac:dyDescent="0.15">
      <c r="A156" s="43">
        <v>155</v>
      </c>
      <c r="B156" s="43" t="s">
        <v>460</v>
      </c>
      <c r="C156" s="43"/>
      <c r="D156" s="43" t="s">
        <v>289</v>
      </c>
      <c r="E156" s="43"/>
      <c r="F156" s="44" t="s">
        <v>290</v>
      </c>
      <c r="G156" s="103">
        <v>1278</v>
      </c>
      <c r="H156" s="110">
        <f>INT((G156*Valores!$C$2*100)+0.5)/100</f>
        <v>5767.23</v>
      </c>
      <c r="I156" s="114">
        <v>0</v>
      </c>
      <c r="J156" s="70">
        <f>INT((I156*Valores!$C$2*100)+0.5)/100</f>
        <v>0</v>
      </c>
      <c r="K156" s="132">
        <v>0</v>
      </c>
      <c r="L156" s="70">
        <f>INT((K156*Valores!$C$2*100)+0.5)/100</f>
        <v>0</v>
      </c>
      <c r="M156" s="100">
        <v>0</v>
      </c>
      <c r="N156" s="70">
        <f>INT((M156*Valores!$C$2*100)+0.5)/100</f>
        <v>0</v>
      </c>
      <c r="O156" s="70">
        <f t="shared" si="22"/>
        <v>0</v>
      </c>
      <c r="P156" s="70">
        <f t="shared" si="23"/>
        <v>7520.6759999999995</v>
      </c>
      <c r="Q156" s="75">
        <f>Valores!$C$15</f>
        <v>2474</v>
      </c>
      <c r="R156" s="75">
        <f>Valores!$D$9</f>
        <v>2018.53</v>
      </c>
      <c r="S156" s="75">
        <f>Valores!$C$26</f>
        <v>2048</v>
      </c>
      <c r="T156" s="78">
        <f>Valores!$C$36</f>
        <v>500</v>
      </c>
      <c r="U156" s="70">
        <f>Valores!$C$23</f>
        <v>2079</v>
      </c>
      <c r="V156" s="70">
        <f t="shared" si="17"/>
        <v>4573.8</v>
      </c>
      <c r="W156" s="70">
        <v>0</v>
      </c>
      <c r="X156" s="70">
        <v>0</v>
      </c>
      <c r="Y156" s="94">
        <v>0</v>
      </c>
      <c r="Z156" s="70">
        <f>Y156*Valores!$C$2</f>
        <v>0</v>
      </c>
      <c r="AA156" s="70">
        <v>0</v>
      </c>
      <c r="AB156" s="80">
        <v>129.04</v>
      </c>
      <c r="AC156" s="70">
        <f t="shared" si="18"/>
        <v>0</v>
      </c>
      <c r="AD156" s="70">
        <v>129.04</v>
      </c>
      <c r="AE156" s="94">
        <v>0</v>
      </c>
      <c r="AF156" s="70">
        <f>INT(((AE156*Valores!$C$2)*100)+0.5)/100</f>
        <v>0</v>
      </c>
      <c r="AG156" s="70">
        <f>Valores!$C$49</f>
        <v>262.5</v>
      </c>
      <c r="AH156" s="70">
        <f>Valores!$C$50</f>
        <v>75</v>
      </c>
      <c r="AI156" s="125">
        <f t="shared" si="21"/>
        <v>25497.815999999999</v>
      </c>
      <c r="AJ156" s="72">
        <f>Valores!$C$6</f>
        <v>400</v>
      </c>
      <c r="AK156" s="126">
        <f t="shared" si="19"/>
        <v>400</v>
      </c>
      <c r="AL156" s="71">
        <f t="shared" si="20"/>
        <v>6264.4976799999995</v>
      </c>
      <c r="AM156" s="80">
        <v>110</v>
      </c>
      <c r="AN156" s="47"/>
      <c r="AO156" s="20">
        <v>27</v>
      </c>
      <c r="AP156" s="43" t="s">
        <v>465</v>
      </c>
    </row>
    <row r="157" spans="1:42" s="9" customFormat="1" ht="11.25" customHeight="1" x14ac:dyDescent="0.15">
      <c r="A157" s="9">
        <v>156</v>
      </c>
      <c r="D157" s="9" t="s">
        <v>291</v>
      </c>
      <c r="F157" s="10" t="s">
        <v>292</v>
      </c>
      <c r="G157" s="102">
        <v>1214</v>
      </c>
      <c r="H157" s="7">
        <f>INT((G157*Valores!$C$2*100)+0.5)/100</f>
        <v>5478.42</v>
      </c>
      <c r="I157" s="115">
        <v>0</v>
      </c>
      <c r="J157" s="67">
        <f>INT((I157*Valores!$C$2*100)+0.5)/100</f>
        <v>0</v>
      </c>
      <c r="K157" s="131">
        <v>0</v>
      </c>
      <c r="L157" s="67">
        <f>INT((K157*Valores!$C$2*100)+0.5)/100</f>
        <v>0</v>
      </c>
      <c r="M157" s="99">
        <v>0</v>
      </c>
      <c r="N157" s="67">
        <f>INT((M157*Valores!$C$2*100)+0.5)/100</f>
        <v>0</v>
      </c>
      <c r="O157" s="67">
        <f t="shared" si="22"/>
        <v>0</v>
      </c>
      <c r="P157" s="67">
        <f t="shared" si="23"/>
        <v>7174.1040000000003</v>
      </c>
      <c r="Q157" s="53">
        <f>Valores!$C$21</f>
        <v>2324</v>
      </c>
      <c r="R157" s="53">
        <f>Valores!$D$9</f>
        <v>2018.53</v>
      </c>
      <c r="S157" s="67">
        <f>Valores!$C$26</f>
        <v>2048</v>
      </c>
      <c r="T157" s="69">
        <f>Valores!$C$36</f>
        <v>500</v>
      </c>
      <c r="U157" s="67">
        <f>Valores!$C$23</f>
        <v>2079</v>
      </c>
      <c r="V157" s="67">
        <f t="shared" si="17"/>
        <v>4573.8</v>
      </c>
      <c r="W157" s="67">
        <v>0</v>
      </c>
      <c r="X157" s="67">
        <v>0</v>
      </c>
      <c r="Y157" s="95">
        <v>0</v>
      </c>
      <c r="Z157" s="67">
        <f>Y157*Valores!$C$2</f>
        <v>0</v>
      </c>
      <c r="AA157" s="67">
        <v>0</v>
      </c>
      <c r="AB157" s="79">
        <v>129.04</v>
      </c>
      <c r="AC157" s="67">
        <f t="shared" si="18"/>
        <v>0</v>
      </c>
      <c r="AD157" s="67">
        <v>129.04</v>
      </c>
      <c r="AE157" s="95">
        <v>0</v>
      </c>
      <c r="AF157" s="67">
        <f>INT(((AE157*Valores!$C$2)*100)+0.5)/100</f>
        <v>0</v>
      </c>
      <c r="AG157" s="67">
        <f>Valores!$C$49</f>
        <v>262.5</v>
      </c>
      <c r="AH157" s="67">
        <f>Valores!$C$50</f>
        <v>75</v>
      </c>
      <c r="AI157" s="123">
        <f t="shared" si="21"/>
        <v>24712.434000000001</v>
      </c>
      <c r="AJ157" s="69">
        <f>Valores!$C$6</f>
        <v>400</v>
      </c>
      <c r="AK157" s="124">
        <f t="shared" si="19"/>
        <v>400</v>
      </c>
      <c r="AL157" s="68">
        <f t="shared" si="20"/>
        <v>6083.8598199999997</v>
      </c>
      <c r="AM157" s="79">
        <v>0</v>
      </c>
      <c r="AN157" s="20"/>
      <c r="AO157" s="20"/>
      <c r="AP157" s="9" t="s">
        <v>465</v>
      </c>
    </row>
    <row r="158" spans="1:42" s="9" customFormat="1" ht="11.25" customHeight="1" x14ac:dyDescent="0.15">
      <c r="A158" s="9">
        <v>157</v>
      </c>
      <c r="D158" s="9" t="s">
        <v>293</v>
      </c>
      <c r="F158" s="10" t="s">
        <v>294</v>
      </c>
      <c r="G158" s="102">
        <f>1106+78</f>
        <v>1184</v>
      </c>
      <c r="H158" s="7">
        <f>INT((G158*Valores!$C$2*100)+0.5)/100</f>
        <v>5343.04</v>
      </c>
      <c r="I158" s="115">
        <v>0</v>
      </c>
      <c r="J158" s="67">
        <f>INT((I158*Valores!$C$2*100)+0.5)/100</f>
        <v>0</v>
      </c>
      <c r="K158" s="131">
        <v>0</v>
      </c>
      <c r="L158" s="67">
        <f>INT((K158*Valores!$C$2*100)+0.5)/100</f>
        <v>0</v>
      </c>
      <c r="M158" s="99">
        <v>0</v>
      </c>
      <c r="N158" s="67">
        <f>INT((M158*Valores!$C$2*100)+0.5)/100</f>
        <v>0</v>
      </c>
      <c r="O158" s="67">
        <f t="shared" si="22"/>
        <v>0</v>
      </c>
      <c r="P158" s="67">
        <f t="shared" si="23"/>
        <v>7011.6480000000001</v>
      </c>
      <c r="Q158" s="53">
        <f>Valores!$C$21</f>
        <v>2324</v>
      </c>
      <c r="R158" s="53">
        <f>Valores!$D$9</f>
        <v>2018.53</v>
      </c>
      <c r="S158" s="67">
        <v>0</v>
      </c>
      <c r="T158" s="69">
        <f>Valores!$C$36</f>
        <v>500</v>
      </c>
      <c r="U158" s="53">
        <f>Valores!$C$24</f>
        <v>2049</v>
      </c>
      <c r="V158" s="67">
        <f t="shared" si="17"/>
        <v>4507.8</v>
      </c>
      <c r="W158" s="67">
        <v>0</v>
      </c>
      <c r="X158" s="67">
        <v>0</v>
      </c>
      <c r="Y158" s="95">
        <v>0</v>
      </c>
      <c r="Z158" s="67">
        <f>Y158*Valores!$C$2</f>
        <v>0</v>
      </c>
      <c r="AA158" s="67">
        <v>0</v>
      </c>
      <c r="AB158" s="79">
        <v>129.04</v>
      </c>
      <c r="AC158" s="67">
        <f t="shared" si="18"/>
        <v>0</v>
      </c>
      <c r="AD158" s="67">
        <v>129.04</v>
      </c>
      <c r="AE158" s="95">
        <v>0</v>
      </c>
      <c r="AF158" s="67">
        <f>INT(((AE158*Valores!$C$2)*100)+0.5)/100</f>
        <v>0</v>
      </c>
      <c r="AG158" s="67">
        <f>Valores!$C$49</f>
        <v>262.5</v>
      </c>
      <c r="AH158" s="67">
        <f>Valores!$C$50</f>
        <v>75</v>
      </c>
      <c r="AI158" s="123">
        <f t="shared" si="21"/>
        <v>22300.598000000002</v>
      </c>
      <c r="AJ158" s="69">
        <f>Valores!$C$6</f>
        <v>400</v>
      </c>
      <c r="AK158" s="124">
        <f t="shared" si="19"/>
        <v>400</v>
      </c>
      <c r="AL158" s="68">
        <f t="shared" si="20"/>
        <v>5529.1375399999997</v>
      </c>
      <c r="AM158" s="79">
        <v>0</v>
      </c>
      <c r="AN158" s="20"/>
      <c r="AO158" s="20"/>
      <c r="AP158" s="9" t="s">
        <v>464</v>
      </c>
    </row>
    <row r="159" spans="1:42" s="9" customFormat="1" ht="11.25" customHeight="1" x14ac:dyDescent="0.15">
      <c r="A159" s="9">
        <v>158</v>
      </c>
      <c r="D159" s="9" t="s">
        <v>295</v>
      </c>
      <c r="F159" s="10" t="s">
        <v>296</v>
      </c>
      <c r="G159" s="102">
        <v>971</v>
      </c>
      <c r="H159" s="7">
        <f>INT((G159*Valores!$C$2*100)+0.5)/100</f>
        <v>4381.83</v>
      </c>
      <c r="I159" s="115">
        <v>0</v>
      </c>
      <c r="J159" s="67">
        <f>INT((I159*Valores!$C$2*100)+0.5)/100</f>
        <v>0</v>
      </c>
      <c r="K159" s="131">
        <v>0</v>
      </c>
      <c r="L159" s="67">
        <f>INT((K159*Valores!$C$2*100)+0.5)/100</f>
        <v>0</v>
      </c>
      <c r="M159" s="99">
        <v>0</v>
      </c>
      <c r="N159" s="67">
        <f>INT((M159*Valores!$C$2*100)+0.5)/100</f>
        <v>0</v>
      </c>
      <c r="O159" s="67">
        <f t="shared" si="22"/>
        <v>0</v>
      </c>
      <c r="P159" s="67">
        <f t="shared" si="23"/>
        <v>5783.1959999999999</v>
      </c>
      <c r="Q159" s="53">
        <f>Valores!$C$21</f>
        <v>2324</v>
      </c>
      <c r="R159" s="53">
        <f>Valores!$D$9</f>
        <v>2018.53</v>
      </c>
      <c r="S159" s="53">
        <f>Valores!$C$27</f>
        <v>1853</v>
      </c>
      <c r="T159" s="77">
        <f>Valores!$C$35</f>
        <v>437.5</v>
      </c>
      <c r="U159" s="67">
        <f>Valores!$C$23</f>
        <v>2079</v>
      </c>
      <c r="V159" s="67">
        <f t="shared" si="17"/>
        <v>4573.8</v>
      </c>
      <c r="W159" s="67">
        <v>0</v>
      </c>
      <c r="X159" s="67">
        <v>0</v>
      </c>
      <c r="Y159" s="95">
        <v>0</v>
      </c>
      <c r="Z159" s="67">
        <f>Y159*Valores!$C$2</f>
        <v>0</v>
      </c>
      <c r="AA159" s="67">
        <v>0</v>
      </c>
      <c r="AB159" s="79">
        <v>129.04</v>
      </c>
      <c r="AC159" s="67">
        <f t="shared" si="18"/>
        <v>0</v>
      </c>
      <c r="AD159" s="67">
        <v>129.04</v>
      </c>
      <c r="AE159" s="95">
        <v>0</v>
      </c>
      <c r="AF159" s="67">
        <f>INT(((AE159*Valores!$C$2)*100)+0.5)/100</f>
        <v>0</v>
      </c>
      <c r="AG159" s="67">
        <f>Valores!$C$49</f>
        <v>262.5</v>
      </c>
      <c r="AH159" s="67">
        <f>Valores!$C$50</f>
        <v>75</v>
      </c>
      <c r="AI159" s="123">
        <f t="shared" si="21"/>
        <v>21967.436000000002</v>
      </c>
      <c r="AJ159" s="69">
        <f>Valores!$C$5</f>
        <v>350</v>
      </c>
      <c r="AK159" s="124">
        <f t="shared" si="19"/>
        <v>350</v>
      </c>
      <c r="AL159" s="68">
        <f t="shared" si="20"/>
        <v>5402.5102799999995</v>
      </c>
      <c r="AM159" s="79">
        <v>100.21</v>
      </c>
      <c r="AN159" s="20">
        <v>12</v>
      </c>
      <c r="AO159" s="47">
        <v>12</v>
      </c>
      <c r="AP159" s="9" t="s">
        <v>465</v>
      </c>
    </row>
    <row r="160" spans="1:42" s="9" customFormat="1" ht="11.25" customHeight="1" x14ac:dyDescent="0.15">
      <c r="A160" s="9">
        <v>159</v>
      </c>
      <c r="D160" s="9" t="s">
        <v>295</v>
      </c>
      <c r="F160" s="10" t="s">
        <v>383</v>
      </c>
      <c r="G160" s="102">
        <v>971</v>
      </c>
      <c r="H160" s="7">
        <f>INT((G160*Valores!$C$2*100)+0.5)/100</f>
        <v>4381.83</v>
      </c>
      <c r="I160" s="115">
        <v>0</v>
      </c>
      <c r="J160" s="67">
        <f>INT((I160*Valores!$C$2*100)+0.5)/100</f>
        <v>0</v>
      </c>
      <c r="K160" s="131">
        <v>0</v>
      </c>
      <c r="L160" s="67">
        <f>INT((K160*Valores!$C$2*100)+0.5)/100</f>
        <v>0</v>
      </c>
      <c r="M160" s="99">
        <v>0</v>
      </c>
      <c r="N160" s="67">
        <f>INT((M160*Valores!$C$2*100)+0.5)/100</f>
        <v>0</v>
      </c>
      <c r="O160" s="67">
        <f t="shared" si="22"/>
        <v>0</v>
      </c>
      <c r="P160" s="67">
        <f t="shared" si="23"/>
        <v>8324.2919999999995</v>
      </c>
      <c r="Q160" s="53">
        <f>Valores!$C$21</f>
        <v>2324</v>
      </c>
      <c r="R160" s="53">
        <f>Valores!$D$9</f>
        <v>2018.53</v>
      </c>
      <c r="S160" s="53">
        <f>Valores!$C$27</f>
        <v>1853</v>
      </c>
      <c r="T160" s="77">
        <f>Valores!$C$37</f>
        <v>750</v>
      </c>
      <c r="U160" s="67">
        <f>Valores!$C$23</f>
        <v>2079</v>
      </c>
      <c r="V160" s="67">
        <f t="shared" si="17"/>
        <v>4573.8</v>
      </c>
      <c r="W160" s="67">
        <v>0</v>
      </c>
      <c r="X160" s="67">
        <v>0</v>
      </c>
      <c r="Y160" s="92">
        <v>400</v>
      </c>
      <c r="Z160" s="67">
        <f>Y160*Valores!$C$2</f>
        <v>1805.08</v>
      </c>
      <c r="AA160" s="53">
        <f>SUM(L160,J160,H160,T160)*Valores!$C$3</f>
        <v>769.77449999999999</v>
      </c>
      <c r="AB160" s="79">
        <v>129.04</v>
      </c>
      <c r="AC160" s="67">
        <f t="shared" si="18"/>
        <v>0</v>
      </c>
      <c r="AD160" s="67">
        <v>129.04</v>
      </c>
      <c r="AE160" s="95">
        <v>94</v>
      </c>
      <c r="AF160" s="67">
        <f>INT(((AE160*Valores!$C$2)*100)+0.5)/100</f>
        <v>424.19</v>
      </c>
      <c r="AG160" s="67">
        <f>Valores!$C$49</f>
        <v>262.5</v>
      </c>
      <c r="AH160" s="67">
        <f>Valores!$C$50</f>
        <v>75</v>
      </c>
      <c r="AI160" s="123">
        <f t="shared" si="21"/>
        <v>27820.076499999999</v>
      </c>
      <c r="AJ160" s="69">
        <f>Valores!$C$7</f>
        <v>600</v>
      </c>
      <c r="AK160" s="124">
        <f t="shared" si="19"/>
        <v>600</v>
      </c>
      <c r="AL160" s="68">
        <f t="shared" si="20"/>
        <v>6998.6175949999997</v>
      </c>
      <c r="AM160" s="79">
        <v>100.21</v>
      </c>
      <c r="AN160" s="20">
        <v>12</v>
      </c>
      <c r="AO160" s="20">
        <v>18</v>
      </c>
      <c r="AP160" s="9" t="s">
        <v>465</v>
      </c>
    </row>
    <row r="161" spans="1:42" s="9" customFormat="1" ht="11.25" customHeight="1" x14ac:dyDescent="0.15">
      <c r="A161" s="43">
        <v>160</v>
      </c>
      <c r="B161" s="43" t="s">
        <v>460</v>
      </c>
      <c r="C161" s="43"/>
      <c r="D161" s="43" t="s">
        <v>295</v>
      </c>
      <c r="E161" s="43"/>
      <c r="F161" s="44" t="s">
        <v>461</v>
      </c>
      <c r="G161" s="103">
        <v>971</v>
      </c>
      <c r="H161" s="110">
        <f>INT((G161*Valores!$C$2*100)+0.5)/100</f>
        <v>4381.83</v>
      </c>
      <c r="I161" s="114">
        <v>0</v>
      </c>
      <c r="J161" s="70">
        <f>INT((I161*Valores!$C$2*100)+0.5)/100</f>
        <v>0</v>
      </c>
      <c r="K161" s="132">
        <v>0</v>
      </c>
      <c r="L161" s="70">
        <f>INT((K161*Valores!$C$2*100)+0.5)/100</f>
        <v>0</v>
      </c>
      <c r="M161" s="100">
        <v>0</v>
      </c>
      <c r="N161" s="70">
        <f>INT((M161*Valores!$C$2*100)+0.5)/100</f>
        <v>0</v>
      </c>
      <c r="O161" s="70">
        <f t="shared" si="22"/>
        <v>0</v>
      </c>
      <c r="P161" s="70">
        <f t="shared" si="23"/>
        <v>7689.8487599999999</v>
      </c>
      <c r="Q161" s="75">
        <f>Valores!$C$21</f>
        <v>2324</v>
      </c>
      <c r="R161" s="75">
        <f>Valores!$D$9</f>
        <v>2018.53</v>
      </c>
      <c r="S161" s="75">
        <f>Valores!$C$27</f>
        <v>1853</v>
      </c>
      <c r="T161" s="78">
        <v>225.81</v>
      </c>
      <c r="U161" s="70">
        <f>Valores!$C$23</f>
        <v>2079</v>
      </c>
      <c r="V161" s="70">
        <f t="shared" si="17"/>
        <v>4573.8</v>
      </c>
      <c r="W161" s="70">
        <v>0</v>
      </c>
      <c r="X161" s="70">
        <v>0</v>
      </c>
      <c r="Y161" s="93">
        <v>399</v>
      </c>
      <c r="Z161" s="70">
        <f>Y161*Valores!$C$2</f>
        <v>1800.5672999999999</v>
      </c>
      <c r="AA161" s="75">
        <f>SUM(L161,J161,H161,T161)*Valores!$C$3</f>
        <v>691.14600000000007</v>
      </c>
      <c r="AB161" s="80">
        <v>129.04</v>
      </c>
      <c r="AC161" s="70">
        <f t="shared" si="18"/>
        <v>0</v>
      </c>
      <c r="AD161" s="70">
        <v>129.04</v>
      </c>
      <c r="AE161" s="94">
        <v>94</v>
      </c>
      <c r="AF161" s="70">
        <f>INT(((AE161*Valores!$C$2)*100)+0.5)/100</f>
        <v>424.19</v>
      </c>
      <c r="AG161" s="70">
        <f>Valores!$C$49</f>
        <v>262.5</v>
      </c>
      <c r="AH161" s="70">
        <f>Valores!$C$50</f>
        <v>75</v>
      </c>
      <c r="AI161" s="125">
        <f t="shared" si="21"/>
        <v>26578.302059999998</v>
      </c>
      <c r="AJ161" s="72">
        <v>0</v>
      </c>
      <c r="AK161" s="126">
        <f t="shared" si="19"/>
        <v>0</v>
      </c>
      <c r="AL161" s="71">
        <f t="shared" si="20"/>
        <v>6113.0094737999989</v>
      </c>
      <c r="AM161" s="80">
        <v>100.21</v>
      </c>
      <c r="AN161" s="47">
        <v>12</v>
      </c>
      <c r="AO161" s="20">
        <v>18</v>
      </c>
      <c r="AP161" s="43" t="s">
        <v>464</v>
      </c>
    </row>
    <row r="162" spans="1:42" s="9" customFormat="1" ht="11.25" customHeight="1" x14ac:dyDescent="0.15">
      <c r="A162" s="9">
        <v>161</v>
      </c>
      <c r="D162" s="9" t="s">
        <v>297</v>
      </c>
      <c r="F162" s="10" t="s">
        <v>298</v>
      </c>
      <c r="G162" s="102">
        <v>810</v>
      </c>
      <c r="H162" s="7">
        <f>INT((G162*Valores!$C$2*100)+0.5)/100</f>
        <v>3655.29</v>
      </c>
      <c r="I162" s="115">
        <v>0</v>
      </c>
      <c r="J162" s="67">
        <f>INT((I162*Valores!$C$2*100)+0.5)/100</f>
        <v>0</v>
      </c>
      <c r="K162" s="131">
        <v>0</v>
      </c>
      <c r="L162" s="67">
        <f>INT((K162*Valores!$C$2*100)+0.5)/100</f>
        <v>0</v>
      </c>
      <c r="M162" s="99">
        <v>0</v>
      </c>
      <c r="N162" s="67">
        <f>INT((M162*Valores!$C$2*100)+0.5)/100</f>
        <v>0</v>
      </c>
      <c r="O162" s="67">
        <f t="shared" si="22"/>
        <v>0</v>
      </c>
      <c r="P162" s="67">
        <f t="shared" si="23"/>
        <v>4911.348</v>
      </c>
      <c r="Q162" s="53">
        <f>Valores!$C$21</f>
        <v>2324</v>
      </c>
      <c r="R162" s="53">
        <f>Valores!$D$9</f>
        <v>2018.53</v>
      </c>
      <c r="S162" s="53">
        <f>Valores!$C$27</f>
        <v>1853</v>
      </c>
      <c r="T162" s="77">
        <f>Valores!$C$35</f>
        <v>437.5</v>
      </c>
      <c r="U162" s="53">
        <f>Valores!$C$24</f>
        <v>2049</v>
      </c>
      <c r="V162" s="67">
        <f t="shared" si="17"/>
        <v>4507.8</v>
      </c>
      <c r="W162" s="67">
        <v>0</v>
      </c>
      <c r="X162" s="67">
        <v>0</v>
      </c>
      <c r="Y162" s="95">
        <v>0</v>
      </c>
      <c r="Z162" s="67">
        <f>Y162*Valores!$C$2</f>
        <v>0</v>
      </c>
      <c r="AA162" s="67">
        <v>0</v>
      </c>
      <c r="AB162" s="79">
        <v>129.04</v>
      </c>
      <c r="AC162" s="67">
        <f t="shared" si="18"/>
        <v>0</v>
      </c>
      <c r="AD162" s="67">
        <v>129.04</v>
      </c>
      <c r="AE162" s="95">
        <v>0</v>
      </c>
      <c r="AF162" s="67">
        <f>INT(((AE162*Valores!$C$2)*100)+0.5)/100</f>
        <v>0</v>
      </c>
      <c r="AG162" s="67">
        <f>Valores!$C$49</f>
        <v>262.5</v>
      </c>
      <c r="AH162" s="67">
        <f>Valores!$C$50</f>
        <v>75</v>
      </c>
      <c r="AI162" s="123">
        <f t="shared" si="21"/>
        <v>20303.048000000003</v>
      </c>
      <c r="AJ162" s="69">
        <f>Valores!$C$5</f>
        <v>350</v>
      </c>
      <c r="AK162" s="124">
        <f t="shared" si="19"/>
        <v>350</v>
      </c>
      <c r="AL162" s="68">
        <f t="shared" si="20"/>
        <v>5019.7010399999999</v>
      </c>
      <c r="AM162" s="79">
        <v>88</v>
      </c>
      <c r="AN162" s="20"/>
      <c r="AO162" s="20"/>
      <c r="AP162" s="9" t="s">
        <v>465</v>
      </c>
    </row>
    <row r="163" spans="1:42" s="9" customFormat="1" ht="11.25" customHeight="1" x14ac:dyDescent="0.15">
      <c r="A163" s="9">
        <v>162</v>
      </c>
      <c r="D163" s="9" t="s">
        <v>299</v>
      </c>
      <c r="F163" s="10" t="s">
        <v>300</v>
      </c>
      <c r="G163" s="102">
        <v>1065</v>
      </c>
      <c r="H163" s="7">
        <f>INT((G163*Valores!$C$2*100)+0.5)/100</f>
        <v>4806.03</v>
      </c>
      <c r="I163" s="115">
        <v>0</v>
      </c>
      <c r="J163" s="67">
        <f>INT((I163*Valores!$C$2*100)+0.5)/100</f>
        <v>0</v>
      </c>
      <c r="K163" s="131">
        <v>0</v>
      </c>
      <c r="L163" s="67">
        <f>INT((K163*Valores!$C$2*100)+0.5)/100</f>
        <v>0</v>
      </c>
      <c r="M163" s="99">
        <v>0</v>
      </c>
      <c r="N163" s="67">
        <f>INT((M163*Valores!$C$2*100)+0.5)/100</f>
        <v>0</v>
      </c>
      <c r="O163" s="67">
        <f t="shared" si="22"/>
        <v>0</v>
      </c>
      <c r="P163" s="67">
        <f t="shared" si="23"/>
        <v>6292.2359999999999</v>
      </c>
      <c r="Q163" s="53">
        <f>Valores!$C$21</f>
        <v>2324</v>
      </c>
      <c r="R163" s="53">
        <f>Valores!$D$9</f>
        <v>2018.53</v>
      </c>
      <c r="S163" s="69">
        <f>Valores!$C$27</f>
        <v>1853</v>
      </c>
      <c r="T163" s="69">
        <f>Valores!$C$35</f>
        <v>437.5</v>
      </c>
      <c r="U163" s="53">
        <f>Valores!$C$23</f>
        <v>2079</v>
      </c>
      <c r="V163" s="67">
        <f t="shared" si="17"/>
        <v>4573.8</v>
      </c>
      <c r="W163" s="67">
        <v>0</v>
      </c>
      <c r="X163" s="67">
        <v>0</v>
      </c>
      <c r="Y163" s="95">
        <v>0</v>
      </c>
      <c r="Z163" s="67">
        <f>Y163*Valores!$C$2</f>
        <v>0</v>
      </c>
      <c r="AA163" s="67">
        <v>0</v>
      </c>
      <c r="AB163" s="79">
        <v>129.04</v>
      </c>
      <c r="AC163" s="67">
        <f t="shared" si="18"/>
        <v>0</v>
      </c>
      <c r="AD163" s="67">
        <v>129.04</v>
      </c>
      <c r="AE163" s="95">
        <v>0</v>
      </c>
      <c r="AF163" s="67">
        <f>INT(((AE163*Valores!$C$2)*100)+0.5)/100</f>
        <v>0</v>
      </c>
      <c r="AG163" s="67">
        <f>Valores!$C$49</f>
        <v>262.5</v>
      </c>
      <c r="AH163" s="67">
        <f>Valores!$C$50</f>
        <v>75</v>
      </c>
      <c r="AI163" s="123">
        <f t="shared" si="21"/>
        <v>22900.676000000003</v>
      </c>
      <c r="AJ163" s="69">
        <f>Valores!$C$5</f>
        <v>350</v>
      </c>
      <c r="AK163" s="124">
        <f t="shared" si="19"/>
        <v>350</v>
      </c>
      <c r="AL163" s="68">
        <f t="shared" si="20"/>
        <v>5617.1554800000004</v>
      </c>
      <c r="AM163" s="79">
        <v>110</v>
      </c>
      <c r="AN163" s="20"/>
      <c r="AO163" s="20">
        <v>27</v>
      </c>
      <c r="AP163" s="9" t="s">
        <v>465</v>
      </c>
    </row>
    <row r="164" spans="1:42" s="9" customFormat="1" ht="11.25" customHeight="1" x14ac:dyDescent="0.15">
      <c r="A164" s="9">
        <v>163</v>
      </c>
      <c r="D164" s="9" t="s">
        <v>299</v>
      </c>
      <c r="F164" s="10" t="s">
        <v>437</v>
      </c>
      <c r="G164" s="102">
        <v>1065</v>
      </c>
      <c r="H164" s="7">
        <f>INT((G164*Valores!$C$2*100)+0.5)/100</f>
        <v>4806.03</v>
      </c>
      <c r="I164" s="115">
        <v>0</v>
      </c>
      <c r="J164" s="67">
        <f>INT((I164*Valores!$C$2*100)+0.5)/100</f>
        <v>0</v>
      </c>
      <c r="K164" s="131">
        <v>0</v>
      </c>
      <c r="L164" s="67">
        <f>INT((K164*Valores!$C$2*100)+0.5)/100</f>
        <v>0</v>
      </c>
      <c r="M164" s="99">
        <v>0</v>
      </c>
      <c r="N164" s="67">
        <f>INT((M164*Valores!$C$2*100)+0.5)/100</f>
        <v>0</v>
      </c>
      <c r="O164" s="67">
        <f t="shared" si="22"/>
        <v>0</v>
      </c>
      <c r="P164" s="67">
        <f t="shared" si="23"/>
        <v>6292.2359999999999</v>
      </c>
      <c r="Q164" s="53">
        <f>Valores!$C$21</f>
        <v>2324</v>
      </c>
      <c r="R164" s="53">
        <f>Valores!$D$9</f>
        <v>2018.53</v>
      </c>
      <c r="S164" s="69">
        <f>Valores!$C$27</f>
        <v>1853</v>
      </c>
      <c r="T164" s="122">
        <f>Valores!$C$35</f>
        <v>437.5</v>
      </c>
      <c r="U164" s="67">
        <f>Valores!$C$23</f>
        <v>2079</v>
      </c>
      <c r="V164" s="67">
        <f t="shared" si="17"/>
        <v>4573.8</v>
      </c>
      <c r="W164" s="67">
        <v>0</v>
      </c>
      <c r="X164" s="67">
        <v>0</v>
      </c>
      <c r="Y164" s="95">
        <v>0</v>
      </c>
      <c r="Z164" s="67">
        <f>Y164*Valores!$C$2</f>
        <v>0</v>
      </c>
      <c r="AA164" s="67">
        <v>0</v>
      </c>
      <c r="AB164" s="79">
        <v>129.04</v>
      </c>
      <c r="AC164" s="67">
        <f t="shared" si="18"/>
        <v>0</v>
      </c>
      <c r="AD164" s="67">
        <v>129.04</v>
      </c>
      <c r="AE164" s="95">
        <v>94</v>
      </c>
      <c r="AF164" s="67">
        <f>INT(((AE164*Valores!$C$2)*100)+0.5)/100</f>
        <v>424.19</v>
      </c>
      <c r="AG164" s="67">
        <f>Valores!$C$49</f>
        <v>262.5</v>
      </c>
      <c r="AH164" s="67">
        <f>Valores!$C$50</f>
        <v>75</v>
      </c>
      <c r="AI164" s="123">
        <f t="shared" si="21"/>
        <v>23324.866000000002</v>
      </c>
      <c r="AJ164" s="69">
        <f>Valores!$C$5</f>
        <v>350</v>
      </c>
      <c r="AK164" s="124">
        <f t="shared" si="19"/>
        <v>350</v>
      </c>
      <c r="AL164" s="68">
        <f t="shared" si="20"/>
        <v>5714.7191800000001</v>
      </c>
      <c r="AM164" s="79">
        <v>110</v>
      </c>
      <c r="AN164" s="20"/>
      <c r="AO164" s="47">
        <v>27</v>
      </c>
      <c r="AP164" s="9" t="s">
        <v>465</v>
      </c>
    </row>
    <row r="165" spans="1:42" s="9" customFormat="1" ht="11.25" customHeight="1" x14ac:dyDescent="0.15">
      <c r="A165" s="9">
        <v>164</v>
      </c>
      <c r="D165" s="9" t="s">
        <v>301</v>
      </c>
      <c r="F165" s="10" t="s">
        <v>302</v>
      </c>
      <c r="G165" s="102">
        <v>98</v>
      </c>
      <c r="H165" s="7">
        <f>INT((G165*Valores!$C$2*100)+0.5)/100</f>
        <v>442.24</v>
      </c>
      <c r="I165" s="115">
        <v>2686</v>
      </c>
      <c r="J165" s="67">
        <f>INT((I165*Valores!$C$2*100)+0.5)/100</f>
        <v>12121.11</v>
      </c>
      <c r="K165" s="131">
        <v>0</v>
      </c>
      <c r="L165" s="67">
        <f>INT((K165*Valores!$C$2*100)+0.5)/100</f>
        <v>0</v>
      </c>
      <c r="M165" s="99">
        <v>0</v>
      </c>
      <c r="N165" s="67">
        <f>INT((M165*Valores!$C$2*100)+0.5)/100</f>
        <v>0</v>
      </c>
      <c r="O165" s="67">
        <f t="shared" si="22"/>
        <v>0</v>
      </c>
      <c r="P165" s="67">
        <f t="shared" si="23"/>
        <v>19766.687999999998</v>
      </c>
      <c r="Q165" s="77">
        <f>Valores!$C$15</f>
        <v>2474</v>
      </c>
      <c r="R165" s="53">
        <f>Valores!$D$9</f>
        <v>2018.53</v>
      </c>
      <c r="S165" s="53">
        <f>Valores!$C$26</f>
        <v>2048</v>
      </c>
      <c r="T165" s="77">
        <f>Valores!$C$37</f>
        <v>750</v>
      </c>
      <c r="U165" s="67">
        <f>Valores!$C$23</f>
        <v>2079</v>
      </c>
      <c r="V165" s="67">
        <f t="shared" si="17"/>
        <v>4573.8</v>
      </c>
      <c r="W165" s="67">
        <v>0</v>
      </c>
      <c r="X165" s="67">
        <v>0</v>
      </c>
      <c r="Y165" s="92">
        <v>700</v>
      </c>
      <c r="Z165" s="67">
        <f>Y165*Valores!$C$2</f>
        <v>3158.89</v>
      </c>
      <c r="AA165" s="53">
        <f>SUM(L165,J165,H165,T165)*Valores!$C$3</f>
        <v>1997.0025000000001</v>
      </c>
      <c r="AB165" s="79">
        <v>129.04</v>
      </c>
      <c r="AC165" s="67">
        <f t="shared" si="18"/>
        <v>0</v>
      </c>
      <c r="AD165" s="67">
        <v>129.04</v>
      </c>
      <c r="AE165" s="95">
        <v>94</v>
      </c>
      <c r="AF165" s="67">
        <f>INT(((AE165*Valores!$C$2)*100)+0.5)/100</f>
        <v>424.19</v>
      </c>
      <c r="AG165" s="67">
        <f>Valores!$C$49</f>
        <v>262.5</v>
      </c>
      <c r="AH165" s="67">
        <f>Valores!$C$50</f>
        <v>75</v>
      </c>
      <c r="AI165" s="123">
        <f t="shared" si="21"/>
        <v>50370.030500000008</v>
      </c>
      <c r="AJ165" s="69">
        <f>Valores!$C$7</f>
        <v>600</v>
      </c>
      <c r="AK165" s="124">
        <f t="shared" si="19"/>
        <v>600</v>
      </c>
      <c r="AL165" s="68">
        <f t="shared" si="20"/>
        <v>12185.107015000001</v>
      </c>
      <c r="AM165" s="79">
        <v>0</v>
      </c>
      <c r="AN165" s="20"/>
      <c r="AO165" s="20">
        <v>45</v>
      </c>
      <c r="AP165" s="9" t="s">
        <v>465</v>
      </c>
    </row>
    <row r="166" spans="1:42" s="9" customFormat="1" ht="11.25" customHeight="1" x14ac:dyDescent="0.15">
      <c r="A166" s="43">
        <v>165</v>
      </c>
      <c r="B166" s="43" t="s">
        <v>460</v>
      </c>
      <c r="C166" s="43"/>
      <c r="D166" s="43" t="s">
        <v>303</v>
      </c>
      <c r="E166" s="43"/>
      <c r="F166" s="44" t="s">
        <v>304</v>
      </c>
      <c r="G166" s="103">
        <v>93</v>
      </c>
      <c r="H166" s="110">
        <f>INT((G166*Valores!$C$2*100)+0.5)/100</f>
        <v>419.68</v>
      </c>
      <c r="I166" s="93">
        <v>2547</v>
      </c>
      <c r="J166" s="70">
        <f>INT((I166*Valores!$C$2*100)+0.5)/100</f>
        <v>11493.85</v>
      </c>
      <c r="K166" s="132">
        <v>0</v>
      </c>
      <c r="L166" s="70">
        <f>INT((K166*Valores!$C$2*100)+0.5)/100</f>
        <v>0</v>
      </c>
      <c r="M166" s="100">
        <v>0</v>
      </c>
      <c r="N166" s="70">
        <f>INT((M166*Valores!$C$2*100)+0.5)/100</f>
        <v>0</v>
      </c>
      <c r="O166" s="70">
        <f t="shared" si="22"/>
        <v>0</v>
      </c>
      <c r="P166" s="70">
        <f t="shared" si="23"/>
        <v>18986.903999999999</v>
      </c>
      <c r="Q166" s="78">
        <f>Valores!$C$21</f>
        <v>2324</v>
      </c>
      <c r="R166" s="75">
        <f>Valores!$D$9</f>
        <v>2018.53</v>
      </c>
      <c r="S166" s="75">
        <f>Valores!$C$26</f>
        <v>2048</v>
      </c>
      <c r="T166" s="78">
        <f>Valores!$C$37</f>
        <v>750</v>
      </c>
      <c r="U166" s="70">
        <f>Valores!$C$23</f>
        <v>2079</v>
      </c>
      <c r="V166" s="70">
        <f t="shared" si="17"/>
        <v>4573.8</v>
      </c>
      <c r="W166" s="70">
        <v>0</v>
      </c>
      <c r="X166" s="70">
        <v>0</v>
      </c>
      <c r="Y166" s="93">
        <v>700</v>
      </c>
      <c r="Z166" s="70">
        <f>Y166*Valores!$C$2</f>
        <v>3158.89</v>
      </c>
      <c r="AA166" s="75">
        <f>SUM(L166,J166,H166,T166)*Valores!$C$3</f>
        <v>1899.5295000000001</v>
      </c>
      <c r="AB166" s="80">
        <v>129.04</v>
      </c>
      <c r="AC166" s="70">
        <f t="shared" si="18"/>
        <v>0</v>
      </c>
      <c r="AD166" s="70">
        <v>129.04</v>
      </c>
      <c r="AE166" s="94">
        <v>94</v>
      </c>
      <c r="AF166" s="70">
        <f>INT(((AE166*Valores!$C$2)*100)+0.5)/100</f>
        <v>424.19</v>
      </c>
      <c r="AG166" s="70">
        <f>Valores!$C$49</f>
        <v>262.5</v>
      </c>
      <c r="AH166" s="70">
        <f>Valores!$C$50</f>
        <v>75</v>
      </c>
      <c r="AI166" s="125">
        <f t="shared" si="21"/>
        <v>48692.953500000003</v>
      </c>
      <c r="AJ166" s="72">
        <f>Valores!$C$7</f>
        <v>600</v>
      </c>
      <c r="AK166" s="126">
        <f t="shared" si="19"/>
        <v>600</v>
      </c>
      <c r="AL166" s="71">
        <f t="shared" si="20"/>
        <v>11799.379305</v>
      </c>
      <c r="AM166" s="80">
        <v>0</v>
      </c>
      <c r="AN166" s="47"/>
      <c r="AO166" s="20">
        <v>45</v>
      </c>
      <c r="AP166" s="43" t="s">
        <v>465</v>
      </c>
    </row>
    <row r="167" spans="1:42" s="9" customFormat="1" ht="11.25" customHeight="1" x14ac:dyDescent="0.15">
      <c r="A167" s="9">
        <v>166</v>
      </c>
      <c r="D167" s="9" t="s">
        <v>305</v>
      </c>
      <c r="F167" s="10" t="s">
        <v>306</v>
      </c>
      <c r="G167" s="102">
        <v>89</v>
      </c>
      <c r="H167" s="7">
        <f>INT((G167*Valores!$C$2*100)+0.5)/100</f>
        <v>401.63</v>
      </c>
      <c r="I167" s="115">
        <v>2251</v>
      </c>
      <c r="J167" s="67">
        <f>INT((I167*Valores!$C$2*100)+0.5)/100</f>
        <v>10158.09</v>
      </c>
      <c r="K167" s="131">
        <v>0</v>
      </c>
      <c r="L167" s="67">
        <f>INT((K167*Valores!$C$2*100)+0.5)/100</f>
        <v>0</v>
      </c>
      <c r="M167" s="99">
        <v>0</v>
      </c>
      <c r="N167" s="67">
        <f>INT((M167*Valores!$C$2*100)+0.5)/100</f>
        <v>0</v>
      </c>
      <c r="O167" s="67">
        <f t="shared" si="22"/>
        <v>0</v>
      </c>
      <c r="P167" s="67">
        <f t="shared" si="23"/>
        <v>17362.331999999999</v>
      </c>
      <c r="Q167" s="77">
        <f>Valores!$C$21</f>
        <v>2324</v>
      </c>
      <c r="R167" s="53">
        <f>Valores!$D$9</f>
        <v>2018.53</v>
      </c>
      <c r="S167" s="53">
        <f>Valores!$C$26</f>
        <v>2048</v>
      </c>
      <c r="T167" s="77">
        <f>Valores!$C$37</f>
        <v>750</v>
      </c>
      <c r="U167" s="67">
        <f>Valores!$C$23</f>
        <v>2079</v>
      </c>
      <c r="V167" s="67">
        <f t="shared" si="17"/>
        <v>4573.8</v>
      </c>
      <c r="W167" s="67">
        <v>0</v>
      </c>
      <c r="X167" s="67">
        <v>0</v>
      </c>
      <c r="Y167" s="92">
        <v>700</v>
      </c>
      <c r="Z167" s="67">
        <f>Y167*Valores!$C$2</f>
        <v>3158.89</v>
      </c>
      <c r="AA167" s="53">
        <f>SUM(L167,J167,H167,T167)*Valores!$C$3</f>
        <v>1696.4579999999999</v>
      </c>
      <c r="AB167" s="79">
        <v>129.04</v>
      </c>
      <c r="AC167" s="67">
        <f t="shared" si="18"/>
        <v>0</v>
      </c>
      <c r="AD167" s="67">
        <v>129.04</v>
      </c>
      <c r="AE167" s="95">
        <v>94</v>
      </c>
      <c r="AF167" s="67">
        <f>INT(((AE167*Valores!$C$2)*100)+0.5)/100</f>
        <v>424.19</v>
      </c>
      <c r="AG167" s="67">
        <f>Valores!$C$49</f>
        <v>262.5</v>
      </c>
      <c r="AH167" s="67">
        <f>Valores!$C$50</f>
        <v>75</v>
      </c>
      <c r="AI167" s="123">
        <f t="shared" si="21"/>
        <v>45511.5</v>
      </c>
      <c r="AJ167" s="69">
        <f>Valores!$C$7</f>
        <v>600</v>
      </c>
      <c r="AK167" s="124">
        <f t="shared" si="19"/>
        <v>600</v>
      </c>
      <c r="AL167" s="68">
        <f t="shared" si="20"/>
        <v>11067.644999999999</v>
      </c>
      <c r="AM167" s="79">
        <v>220</v>
      </c>
      <c r="AN167" s="20"/>
      <c r="AO167" s="20">
        <v>45</v>
      </c>
      <c r="AP167" s="9" t="s">
        <v>465</v>
      </c>
    </row>
    <row r="168" spans="1:42" s="9" customFormat="1" ht="11.25" customHeight="1" x14ac:dyDescent="0.15">
      <c r="A168" s="9">
        <v>167</v>
      </c>
      <c r="D168" s="9" t="s">
        <v>307</v>
      </c>
      <c r="F168" s="10" t="s">
        <v>308</v>
      </c>
      <c r="G168" s="102">
        <v>83</v>
      </c>
      <c r="H168" s="7">
        <f>INT((G168*Valores!$C$2*100)+0.5)/100</f>
        <v>374.55</v>
      </c>
      <c r="I168" s="115">
        <v>2352</v>
      </c>
      <c r="J168" s="67">
        <f>INT((I168*Valores!$C$2*100)+0.5)/100</f>
        <v>10613.87</v>
      </c>
      <c r="K168" s="131">
        <v>0</v>
      </c>
      <c r="L168" s="67">
        <f>INT((K168*Valores!$C$2*100)+0.5)/100</f>
        <v>0</v>
      </c>
      <c r="M168" s="99">
        <v>0</v>
      </c>
      <c r="N168" s="67">
        <f>INT((M168*Valores!$C$2*100)+0.5)/100</f>
        <v>0</v>
      </c>
      <c r="O168" s="67">
        <f t="shared" si="22"/>
        <v>0</v>
      </c>
      <c r="P168" s="67">
        <f t="shared" si="23"/>
        <v>17876.771999999997</v>
      </c>
      <c r="Q168" s="53">
        <f>Valores!$C$21</f>
        <v>2324</v>
      </c>
      <c r="R168" s="53">
        <f>Valores!$D$9</f>
        <v>2018.53</v>
      </c>
      <c r="S168" s="67">
        <v>0</v>
      </c>
      <c r="T168" s="69">
        <f>Valores!$C$37</f>
        <v>750</v>
      </c>
      <c r="U168" s="67">
        <f>Valores!$C$23</f>
        <v>2079</v>
      </c>
      <c r="V168" s="67">
        <f t="shared" si="17"/>
        <v>4573.8</v>
      </c>
      <c r="W168" s="67">
        <v>0</v>
      </c>
      <c r="X168" s="67">
        <v>0</v>
      </c>
      <c r="Y168" s="92">
        <v>700</v>
      </c>
      <c r="Z168" s="67">
        <f>Y168*Valores!$C$2</f>
        <v>3158.89</v>
      </c>
      <c r="AA168" s="53">
        <f>SUM(L168,J168,H168,T168)*Valores!$C$3</f>
        <v>1760.7629999999999</v>
      </c>
      <c r="AB168" s="79">
        <v>129.04</v>
      </c>
      <c r="AC168" s="67">
        <f t="shared" si="18"/>
        <v>0</v>
      </c>
      <c r="AD168" s="67">
        <v>129.04</v>
      </c>
      <c r="AE168" s="95">
        <v>94</v>
      </c>
      <c r="AF168" s="67">
        <f>INT(((AE168*Valores!$C$2)*100)+0.5)/100</f>
        <v>424.19</v>
      </c>
      <c r="AG168" s="67">
        <f>Valores!$C$49</f>
        <v>262.5</v>
      </c>
      <c r="AH168" s="67">
        <f>Valores!$C$50</f>
        <v>75</v>
      </c>
      <c r="AI168" s="123">
        <f t="shared" si="21"/>
        <v>44470.945</v>
      </c>
      <c r="AJ168" s="69">
        <f>Valores!$C$7</f>
        <v>600</v>
      </c>
      <c r="AK168" s="124">
        <f t="shared" si="19"/>
        <v>600</v>
      </c>
      <c r="AL168" s="68">
        <f t="shared" si="20"/>
        <v>10828.317349999999</v>
      </c>
      <c r="AM168" s="79">
        <v>0</v>
      </c>
      <c r="AN168" s="20"/>
      <c r="AO168" s="20">
        <v>45</v>
      </c>
      <c r="AP168" s="9" t="s">
        <v>464</v>
      </c>
    </row>
    <row r="169" spans="1:42" s="9" customFormat="1" ht="11.25" customHeight="1" x14ac:dyDescent="0.15">
      <c r="A169" s="9">
        <v>168</v>
      </c>
      <c r="D169" s="9" t="s">
        <v>309</v>
      </c>
      <c r="F169" s="10" t="s">
        <v>310</v>
      </c>
      <c r="G169" s="102">
        <v>83</v>
      </c>
      <c r="H169" s="7">
        <f>INT((G169*Valores!$C$2*100)+0.5)/100</f>
        <v>374.55</v>
      </c>
      <c r="I169" s="115">
        <v>2092</v>
      </c>
      <c r="J169" s="67">
        <f>INT((I169*Valores!$C$2*100)+0.5)/100</f>
        <v>9440.57</v>
      </c>
      <c r="K169" s="131">
        <v>0</v>
      </c>
      <c r="L169" s="67">
        <f>INT((K169*Valores!$C$2*100)+0.5)/100</f>
        <v>0</v>
      </c>
      <c r="M169" s="99">
        <v>0</v>
      </c>
      <c r="N169" s="67">
        <f>INT((M169*Valores!$C$2*100)+0.5)/100</f>
        <v>0</v>
      </c>
      <c r="O169" s="67">
        <f t="shared" si="22"/>
        <v>0</v>
      </c>
      <c r="P169" s="67">
        <f t="shared" si="23"/>
        <v>16468.811999999998</v>
      </c>
      <c r="Q169" s="53">
        <f>Valores!$C$21</f>
        <v>2324</v>
      </c>
      <c r="R169" s="53">
        <f>Valores!$D$9</f>
        <v>2018.53</v>
      </c>
      <c r="S169" s="67">
        <v>0</v>
      </c>
      <c r="T169" s="69">
        <f>Valores!$C$37</f>
        <v>750</v>
      </c>
      <c r="U169" s="67">
        <f>Valores!$C$23</f>
        <v>2079</v>
      </c>
      <c r="V169" s="67">
        <f t="shared" si="17"/>
        <v>4573.8</v>
      </c>
      <c r="W169" s="67">
        <v>0</v>
      </c>
      <c r="X169" s="67">
        <v>0</v>
      </c>
      <c r="Y169" s="92">
        <v>700</v>
      </c>
      <c r="Z169" s="67">
        <f>Y169*Valores!$C$2</f>
        <v>3158.89</v>
      </c>
      <c r="AA169" s="53">
        <f>SUM(L169,J169,H169,T169)*Valores!$C$3</f>
        <v>1584.7679999999998</v>
      </c>
      <c r="AB169" s="79">
        <v>129.04</v>
      </c>
      <c r="AC169" s="67">
        <f t="shared" si="18"/>
        <v>0</v>
      </c>
      <c r="AD169" s="67">
        <v>129.04</v>
      </c>
      <c r="AE169" s="95">
        <v>94</v>
      </c>
      <c r="AF169" s="67">
        <f>INT(((AE169*Valores!$C$2)*100)+0.5)/100</f>
        <v>424.19</v>
      </c>
      <c r="AG169" s="67">
        <f>Valores!$C$49</f>
        <v>262.5</v>
      </c>
      <c r="AH169" s="67">
        <f>Valores!$C$50</f>
        <v>75</v>
      </c>
      <c r="AI169" s="123">
        <f t="shared" si="21"/>
        <v>41713.689999999995</v>
      </c>
      <c r="AJ169" s="69">
        <f>Valores!$C$7</f>
        <v>600</v>
      </c>
      <c r="AK169" s="124">
        <f t="shared" si="19"/>
        <v>600</v>
      </c>
      <c r="AL169" s="68">
        <f t="shared" si="20"/>
        <v>10194.148699999998</v>
      </c>
      <c r="AM169" s="79">
        <v>0</v>
      </c>
      <c r="AN169" s="20"/>
      <c r="AO169" s="47">
        <v>45</v>
      </c>
      <c r="AP169" s="9" t="s">
        <v>464</v>
      </c>
    </row>
    <row r="170" spans="1:42" s="9" customFormat="1" ht="11.25" customHeight="1" x14ac:dyDescent="0.15">
      <c r="A170" s="9">
        <v>169</v>
      </c>
      <c r="D170" s="9" t="s">
        <v>311</v>
      </c>
      <c r="F170" s="10" t="s">
        <v>312</v>
      </c>
      <c r="G170" s="102">
        <v>82</v>
      </c>
      <c r="H170" s="7">
        <f>INT((G170*Valores!$C$2*100)+0.5)/100</f>
        <v>370.04</v>
      </c>
      <c r="I170" s="115">
        <v>1941</v>
      </c>
      <c r="J170" s="67">
        <f>INT((I170*Valores!$C$2*100)+0.5)/100</f>
        <v>8759.15</v>
      </c>
      <c r="K170" s="131">
        <v>0</v>
      </c>
      <c r="L170" s="67">
        <f>INT((K170*Valores!$C$2*100)+0.5)/100</f>
        <v>0</v>
      </c>
      <c r="M170" s="99">
        <v>0</v>
      </c>
      <c r="N170" s="67">
        <f>INT((M170*Valores!$C$2*100)+0.5)/100</f>
        <v>0</v>
      </c>
      <c r="O170" s="67">
        <f t="shared" si="22"/>
        <v>0</v>
      </c>
      <c r="P170" s="67">
        <f t="shared" si="23"/>
        <v>15645.696</v>
      </c>
      <c r="Q170" s="53">
        <f>Valores!$C$21</f>
        <v>2324</v>
      </c>
      <c r="R170" s="53">
        <f>Valores!$D$9</f>
        <v>2018.53</v>
      </c>
      <c r="S170" s="67">
        <v>0</v>
      </c>
      <c r="T170" s="69">
        <f>Valores!$C$37</f>
        <v>750</v>
      </c>
      <c r="U170" s="67">
        <f>Valores!$C$23</f>
        <v>2079</v>
      </c>
      <c r="V170" s="67">
        <f t="shared" si="17"/>
        <v>4573.8</v>
      </c>
      <c r="W170" s="67">
        <v>0</v>
      </c>
      <c r="X170" s="67">
        <v>0</v>
      </c>
      <c r="Y170" s="92">
        <v>700</v>
      </c>
      <c r="Z170" s="67">
        <f>Y170*Valores!$C$2</f>
        <v>3158.89</v>
      </c>
      <c r="AA170" s="53">
        <f>SUM(L170,J170,H170,T170)*Valores!$C$3</f>
        <v>1481.8785</v>
      </c>
      <c r="AB170" s="79">
        <v>129.04</v>
      </c>
      <c r="AC170" s="67">
        <f t="shared" si="18"/>
        <v>0</v>
      </c>
      <c r="AD170" s="67">
        <v>129.04</v>
      </c>
      <c r="AE170" s="95">
        <v>94</v>
      </c>
      <c r="AF170" s="67">
        <f>INT(((AE170*Valores!$C$2)*100)+0.5)/100</f>
        <v>424.19</v>
      </c>
      <c r="AG170" s="67">
        <f>Valores!$C$49</f>
        <v>262.5</v>
      </c>
      <c r="AH170" s="67">
        <f>Valores!$C$50</f>
        <v>75</v>
      </c>
      <c r="AI170" s="123">
        <f t="shared" si="21"/>
        <v>40101.754500000003</v>
      </c>
      <c r="AJ170" s="69">
        <f>Valores!$C$7</f>
        <v>600</v>
      </c>
      <c r="AK170" s="124">
        <f t="shared" si="19"/>
        <v>600</v>
      </c>
      <c r="AL170" s="68">
        <f t="shared" si="20"/>
        <v>9823.4035349999995</v>
      </c>
      <c r="AM170" s="79">
        <v>0</v>
      </c>
      <c r="AN170" s="20"/>
      <c r="AO170" s="20">
        <v>45</v>
      </c>
      <c r="AP170" s="9" t="s">
        <v>464</v>
      </c>
    </row>
    <row r="171" spans="1:42" s="9" customFormat="1" ht="11.25" customHeight="1" x14ac:dyDescent="0.15">
      <c r="A171" s="43">
        <v>170</v>
      </c>
      <c r="B171" s="43" t="s">
        <v>460</v>
      </c>
      <c r="C171" s="43"/>
      <c r="D171" s="43" t="s">
        <v>313</v>
      </c>
      <c r="E171" s="43"/>
      <c r="F171" s="44" t="s">
        <v>314</v>
      </c>
      <c r="G171" s="103">
        <v>79</v>
      </c>
      <c r="H171" s="110">
        <f>INT((G171*Valores!$C$2*100)+0.5)/100</f>
        <v>356.5</v>
      </c>
      <c r="I171" s="114">
        <v>2161</v>
      </c>
      <c r="J171" s="70">
        <f>INT((I171*Valores!$C$2*100)+0.5)/100</f>
        <v>9751.94</v>
      </c>
      <c r="K171" s="132">
        <v>0</v>
      </c>
      <c r="L171" s="70">
        <f>INT((K171*Valores!$C$2*100)+0.5)/100</f>
        <v>0</v>
      </c>
      <c r="M171" s="100">
        <v>0</v>
      </c>
      <c r="N171" s="70">
        <f>INT((M171*Valores!$C$2*100)+0.5)/100</f>
        <v>0</v>
      </c>
      <c r="O171" s="70">
        <f t="shared" si="22"/>
        <v>0</v>
      </c>
      <c r="P171" s="70">
        <f t="shared" si="23"/>
        <v>16820.795999999998</v>
      </c>
      <c r="Q171" s="75">
        <f>Valores!$C$21</f>
        <v>2324</v>
      </c>
      <c r="R171" s="75">
        <f>Valores!$D$9</f>
        <v>2018.53</v>
      </c>
      <c r="S171" s="70">
        <v>0</v>
      </c>
      <c r="T171" s="72">
        <f>Valores!$C$37</f>
        <v>750</v>
      </c>
      <c r="U171" s="70">
        <f>Valores!$C$23</f>
        <v>2079</v>
      </c>
      <c r="V171" s="70">
        <f t="shared" si="17"/>
        <v>4573.8</v>
      </c>
      <c r="W171" s="70">
        <v>0</v>
      </c>
      <c r="X171" s="70">
        <v>0</v>
      </c>
      <c r="Y171" s="93">
        <v>700</v>
      </c>
      <c r="Z171" s="70">
        <f>Y171*Valores!$C$2</f>
        <v>3158.89</v>
      </c>
      <c r="AA171" s="75">
        <f>SUM(L171,J171,H171,T171)*Valores!$C$3</f>
        <v>1628.7660000000001</v>
      </c>
      <c r="AB171" s="80">
        <v>129.04</v>
      </c>
      <c r="AC171" s="70">
        <f t="shared" si="18"/>
        <v>0</v>
      </c>
      <c r="AD171" s="70">
        <v>129.04</v>
      </c>
      <c r="AE171" s="94">
        <v>94</v>
      </c>
      <c r="AF171" s="70">
        <f>INT(((AE171*Valores!$C$2)*100)+0.5)/100</f>
        <v>424.19</v>
      </c>
      <c r="AG171" s="70">
        <f>Valores!$C$49</f>
        <v>262.5</v>
      </c>
      <c r="AH171" s="70">
        <f>Valores!$C$50</f>
        <v>75</v>
      </c>
      <c r="AI171" s="125">
        <f t="shared" si="21"/>
        <v>42402.992000000006</v>
      </c>
      <c r="AJ171" s="72">
        <f>Valores!$C$7</f>
        <v>600</v>
      </c>
      <c r="AK171" s="126">
        <f t="shared" si="19"/>
        <v>600</v>
      </c>
      <c r="AL171" s="71">
        <f t="shared" si="20"/>
        <v>10352.68816</v>
      </c>
      <c r="AM171" s="80">
        <v>0</v>
      </c>
      <c r="AN171" s="47"/>
      <c r="AO171" s="20">
        <v>45</v>
      </c>
      <c r="AP171" s="43" t="s">
        <v>464</v>
      </c>
    </row>
    <row r="172" spans="1:42" s="9" customFormat="1" ht="11.25" customHeight="1" x14ac:dyDescent="0.15">
      <c r="A172" s="9">
        <v>171</v>
      </c>
      <c r="D172" s="9" t="s">
        <v>315</v>
      </c>
      <c r="F172" s="10" t="s">
        <v>316</v>
      </c>
      <c r="G172" s="102">
        <v>98</v>
      </c>
      <c r="H172" s="7">
        <f>INT((G172*Valores!$C$2*100)+0.5)/100</f>
        <v>442.24</v>
      </c>
      <c r="I172" s="115">
        <v>2686</v>
      </c>
      <c r="J172" s="67">
        <f>INT((I172*Valores!$C$2*100)+0.5)/100</f>
        <v>12121.11</v>
      </c>
      <c r="K172" s="131">
        <v>0</v>
      </c>
      <c r="L172" s="67">
        <f>INT((K172*Valores!$C$2*100)+0.5)/100</f>
        <v>0</v>
      </c>
      <c r="M172" s="99">
        <v>0</v>
      </c>
      <c r="N172" s="67">
        <f>INT((M172*Valores!$C$2*100)+0.5)/100</f>
        <v>0</v>
      </c>
      <c r="O172" s="67">
        <f t="shared" si="22"/>
        <v>0</v>
      </c>
      <c r="P172" s="67">
        <f t="shared" si="23"/>
        <v>19766.687999999998</v>
      </c>
      <c r="Q172" s="67">
        <f>Valores!$C$21</f>
        <v>2324</v>
      </c>
      <c r="R172" s="53">
        <f>Valores!$D$9</f>
        <v>2018.53</v>
      </c>
      <c r="S172" s="67">
        <v>0</v>
      </c>
      <c r="T172" s="69">
        <f>Valores!$C$37</f>
        <v>750</v>
      </c>
      <c r="U172" s="67">
        <f>Valores!$C$23</f>
        <v>2079</v>
      </c>
      <c r="V172" s="67">
        <f t="shared" si="17"/>
        <v>4573.8</v>
      </c>
      <c r="W172" s="67">
        <v>0</v>
      </c>
      <c r="X172" s="67">
        <v>0</v>
      </c>
      <c r="Y172" s="92">
        <v>700</v>
      </c>
      <c r="Z172" s="67">
        <f>Y172*Valores!$C$2</f>
        <v>3158.89</v>
      </c>
      <c r="AA172" s="53">
        <f>SUM(L172,J172,H172,T172)*Valores!$C$3</f>
        <v>1997.0025000000001</v>
      </c>
      <c r="AB172" s="79">
        <v>129.04</v>
      </c>
      <c r="AC172" s="67">
        <f t="shared" si="18"/>
        <v>0</v>
      </c>
      <c r="AD172" s="67">
        <v>129.04</v>
      </c>
      <c r="AE172" s="95">
        <v>0</v>
      </c>
      <c r="AF172" s="67">
        <f>INT(((AE172*Valores!$C$2)*100)+0.5)/100</f>
        <v>0</v>
      </c>
      <c r="AG172" s="67">
        <f>Valores!$C$49</f>
        <v>262.5</v>
      </c>
      <c r="AH172" s="67">
        <f>Valores!$C$50</f>
        <v>75</v>
      </c>
      <c r="AI172" s="123">
        <f t="shared" si="21"/>
        <v>47747.840500000006</v>
      </c>
      <c r="AJ172" s="69">
        <f>Valores!$C$7</f>
        <v>600</v>
      </c>
      <c r="AK172" s="124">
        <f t="shared" si="19"/>
        <v>600</v>
      </c>
      <c r="AL172" s="68">
        <f t="shared" si="20"/>
        <v>11582.003315</v>
      </c>
      <c r="AM172" s="79">
        <v>0</v>
      </c>
      <c r="AN172" s="20"/>
      <c r="AO172" s="20"/>
      <c r="AP172" s="9" t="s">
        <v>464</v>
      </c>
    </row>
    <row r="173" spans="1:42" s="9" customFormat="1" ht="11.25" customHeight="1" x14ac:dyDescent="0.15">
      <c r="A173" s="9">
        <v>172</v>
      </c>
      <c r="D173" s="9" t="s">
        <v>317</v>
      </c>
      <c r="F173" s="10" t="s">
        <v>318</v>
      </c>
      <c r="G173" s="102">
        <v>93</v>
      </c>
      <c r="H173" s="7">
        <f>INT((G173*Valores!$C$2*100)+0.5)/100</f>
        <v>419.68</v>
      </c>
      <c r="I173" s="115">
        <v>2547</v>
      </c>
      <c r="J173" s="67">
        <f>INT((I173*Valores!$C$2*100)+0.5)/100</f>
        <v>11493.85</v>
      </c>
      <c r="K173" s="131">
        <v>0</v>
      </c>
      <c r="L173" s="67">
        <f>INT((K173*Valores!$C$2*100)+0.5)/100</f>
        <v>0</v>
      </c>
      <c r="M173" s="99">
        <v>0</v>
      </c>
      <c r="N173" s="67">
        <f>INT((M173*Valores!$C$2*100)+0.5)/100</f>
        <v>0</v>
      </c>
      <c r="O173" s="67">
        <f t="shared" si="22"/>
        <v>0</v>
      </c>
      <c r="P173" s="67">
        <f t="shared" si="23"/>
        <v>18986.903999999999</v>
      </c>
      <c r="Q173" s="77">
        <f>Valores!$C$21</f>
        <v>2324</v>
      </c>
      <c r="R173" s="53">
        <f>Valores!$D$9</f>
        <v>2018.53</v>
      </c>
      <c r="S173" s="67">
        <v>0</v>
      </c>
      <c r="T173" s="69">
        <f>Valores!$C$37</f>
        <v>750</v>
      </c>
      <c r="U173" s="67">
        <f>Valores!$C$23</f>
        <v>2079</v>
      </c>
      <c r="V173" s="67">
        <f t="shared" si="17"/>
        <v>4573.8</v>
      </c>
      <c r="W173" s="67">
        <v>0</v>
      </c>
      <c r="X173" s="67">
        <v>0</v>
      </c>
      <c r="Y173" s="92">
        <v>700</v>
      </c>
      <c r="Z173" s="67">
        <f>Y173*Valores!$C$2</f>
        <v>3158.89</v>
      </c>
      <c r="AA173" s="53">
        <f>SUM(L173,J173,H173,T173)*Valores!$C$3</f>
        <v>1899.5295000000001</v>
      </c>
      <c r="AB173" s="79">
        <v>129.04</v>
      </c>
      <c r="AC173" s="67">
        <f t="shared" si="18"/>
        <v>0</v>
      </c>
      <c r="AD173" s="67">
        <v>129.04</v>
      </c>
      <c r="AE173" s="95">
        <v>0</v>
      </c>
      <c r="AF173" s="67">
        <f>INT(((AE173*Valores!$C$2)*100)+0.5)/100</f>
        <v>0</v>
      </c>
      <c r="AG173" s="67">
        <f>Valores!$C$49</f>
        <v>262.5</v>
      </c>
      <c r="AH173" s="67">
        <f>Valores!$C$50</f>
        <v>75</v>
      </c>
      <c r="AI173" s="123">
        <f t="shared" si="21"/>
        <v>46220.763500000001</v>
      </c>
      <c r="AJ173" s="69">
        <f>Valores!$C$7</f>
        <v>600</v>
      </c>
      <c r="AK173" s="124">
        <f t="shared" si="19"/>
        <v>600</v>
      </c>
      <c r="AL173" s="68">
        <f t="shared" si="20"/>
        <v>11230.775604999999</v>
      </c>
      <c r="AM173" s="79">
        <v>0</v>
      </c>
      <c r="AN173" s="20"/>
      <c r="AO173" s="20"/>
      <c r="AP173" s="9" t="s">
        <v>465</v>
      </c>
    </row>
    <row r="174" spans="1:42" s="9" customFormat="1" ht="11.25" customHeight="1" x14ac:dyDescent="0.15">
      <c r="A174" s="9">
        <v>173</v>
      </c>
      <c r="D174" s="9" t="s">
        <v>319</v>
      </c>
      <c r="F174" s="10" t="s">
        <v>320</v>
      </c>
      <c r="G174" s="102">
        <v>1278</v>
      </c>
      <c r="H174" s="7">
        <f>INT((G174*Valores!$C$2*100)+0.5)/100</f>
        <v>5767.23</v>
      </c>
      <c r="I174" s="115">
        <v>0</v>
      </c>
      <c r="J174" s="67">
        <f>INT((I174*Valores!$C$2*100)+0.5)/100</f>
        <v>0</v>
      </c>
      <c r="K174" s="131">
        <v>0</v>
      </c>
      <c r="L174" s="67">
        <f>INT((K174*Valores!$C$2*100)+0.5)/100</f>
        <v>0</v>
      </c>
      <c r="M174" s="99">
        <v>0</v>
      </c>
      <c r="N174" s="67">
        <f>INT((M174*Valores!$C$2*100)+0.5)/100</f>
        <v>0</v>
      </c>
      <c r="O174" s="67">
        <f t="shared" si="22"/>
        <v>0</v>
      </c>
      <c r="P174" s="67">
        <f t="shared" si="23"/>
        <v>12694.392</v>
      </c>
      <c r="Q174" s="53">
        <f>Valores!$C$21</f>
        <v>2324</v>
      </c>
      <c r="R174" s="53">
        <f>Valores!$D$9</f>
        <v>2018.53</v>
      </c>
      <c r="S174" s="67">
        <v>0</v>
      </c>
      <c r="T174" s="69">
        <f>Valores!$C$37</f>
        <v>750</v>
      </c>
      <c r="U174" s="67">
        <f>Valores!$C$23</f>
        <v>2079</v>
      </c>
      <c r="V174" s="67">
        <f t="shared" si="17"/>
        <v>4573.8</v>
      </c>
      <c r="W174" s="67">
        <v>0</v>
      </c>
      <c r="X174" s="67">
        <v>0</v>
      </c>
      <c r="Y174" s="92">
        <v>900</v>
      </c>
      <c r="Z174" s="67">
        <f>Y174*Valores!$C$2</f>
        <v>4061.43</v>
      </c>
      <c r="AA174" s="53">
        <f>SUM(L174,J174,H174,T174)*Valores!$C$3</f>
        <v>977.58449999999993</v>
      </c>
      <c r="AB174" s="79">
        <v>129.04</v>
      </c>
      <c r="AC174" s="67">
        <f t="shared" si="18"/>
        <v>0</v>
      </c>
      <c r="AD174" s="67">
        <v>129.04</v>
      </c>
      <c r="AE174" s="95">
        <v>94</v>
      </c>
      <c r="AF174" s="67">
        <f>INT(((AE174*Valores!$C$2)*100)+0.5)/100</f>
        <v>424.19</v>
      </c>
      <c r="AG174" s="67">
        <f>Valores!$C$49</f>
        <v>262.5</v>
      </c>
      <c r="AH174" s="67">
        <f>Valores!$C$50</f>
        <v>75</v>
      </c>
      <c r="AI174" s="123">
        <f t="shared" si="21"/>
        <v>34186.736499999999</v>
      </c>
      <c r="AJ174" s="69">
        <f>Valores!$C$7</f>
        <v>600</v>
      </c>
      <c r="AK174" s="124">
        <f t="shared" si="19"/>
        <v>600</v>
      </c>
      <c r="AL174" s="68">
        <f t="shared" si="20"/>
        <v>8462.9493949999996</v>
      </c>
      <c r="AM174" s="79">
        <v>220</v>
      </c>
      <c r="AN174" s="20"/>
      <c r="AO174" s="47">
        <v>36</v>
      </c>
      <c r="AP174" s="9" t="s">
        <v>465</v>
      </c>
    </row>
    <row r="175" spans="1:42" s="9" customFormat="1" ht="11.25" customHeight="1" x14ac:dyDescent="0.15">
      <c r="A175" s="9">
        <v>174</v>
      </c>
      <c r="D175" s="9" t="s">
        <v>321</v>
      </c>
      <c r="F175" s="10" t="s">
        <v>322</v>
      </c>
      <c r="G175" s="102">
        <v>217</v>
      </c>
      <c r="H175" s="7">
        <f>INT((G175*Valores!$C$2*100)+0.5)/100</f>
        <v>979.26</v>
      </c>
      <c r="I175" s="115">
        <f>2245</f>
        <v>2245</v>
      </c>
      <c r="J175" s="67">
        <f>INT((I175*Valores!$C$2*100)+0.5)/100</f>
        <v>10131.01</v>
      </c>
      <c r="K175" s="131">
        <v>0</v>
      </c>
      <c r="L175" s="67">
        <f>INT((K175*Valores!$C$2*100)+0.5)/100</f>
        <v>0</v>
      </c>
      <c r="M175" s="99">
        <v>1300</v>
      </c>
      <c r="N175" s="67">
        <f>INT((M175*Valores!$C$2*100)+0.5)/100</f>
        <v>5866.51</v>
      </c>
      <c r="O175" s="67">
        <f t="shared" si="22"/>
        <v>0</v>
      </c>
      <c r="P175" s="67">
        <f t="shared" si="23"/>
        <v>21272.135999999999</v>
      </c>
      <c r="Q175" s="53">
        <f>Valores!$C$16</f>
        <v>2494</v>
      </c>
      <c r="R175" s="53">
        <f>Valores!$D$9</f>
        <v>2018.53</v>
      </c>
      <c r="S175" s="53">
        <f>Valores!$C$26</f>
        <v>2048</v>
      </c>
      <c r="T175" s="77">
        <f>Valores!$C$37</f>
        <v>750</v>
      </c>
      <c r="U175" s="67">
        <f>Valores!$C$23</f>
        <v>2079</v>
      </c>
      <c r="V175" s="67">
        <f t="shared" si="17"/>
        <v>4573.8</v>
      </c>
      <c r="W175" s="67">
        <v>0</v>
      </c>
      <c r="X175" s="67">
        <v>0</v>
      </c>
      <c r="Y175" s="95">
        <v>0</v>
      </c>
      <c r="Z175" s="67">
        <f>Y175*Valores!$C$2</f>
        <v>0</v>
      </c>
      <c r="AA175" s="67">
        <v>0</v>
      </c>
      <c r="AB175" s="79">
        <v>129.04</v>
      </c>
      <c r="AC175" s="67">
        <f t="shared" si="18"/>
        <v>0</v>
      </c>
      <c r="AD175" s="67">
        <v>129.04</v>
      </c>
      <c r="AE175" s="95">
        <v>0</v>
      </c>
      <c r="AF175" s="67">
        <f>INT(((AE175*Valores!$C$2)*100)+0.5)/100</f>
        <v>0</v>
      </c>
      <c r="AG175" s="67">
        <f>Valores!$C$49</f>
        <v>262.5</v>
      </c>
      <c r="AH175" s="67">
        <f>Valores!$C$50</f>
        <v>75</v>
      </c>
      <c r="AI175" s="123">
        <f t="shared" si="21"/>
        <v>50728.826000000001</v>
      </c>
      <c r="AJ175" s="69">
        <f>Valores!$C$7</f>
        <v>600</v>
      </c>
      <c r="AK175" s="124">
        <f t="shared" si="19"/>
        <v>600</v>
      </c>
      <c r="AL175" s="68">
        <f t="shared" si="20"/>
        <v>12267.62998</v>
      </c>
      <c r="AM175" s="79">
        <v>0</v>
      </c>
      <c r="AN175" s="20"/>
      <c r="AO175" s="20">
        <v>45</v>
      </c>
      <c r="AP175" s="9" t="s">
        <v>465</v>
      </c>
    </row>
    <row r="176" spans="1:42" s="9" customFormat="1" ht="11.25" customHeight="1" x14ac:dyDescent="0.15">
      <c r="A176" s="43">
        <v>175</v>
      </c>
      <c r="B176" s="43" t="s">
        <v>460</v>
      </c>
      <c r="C176" s="43"/>
      <c r="D176" s="43" t="s">
        <v>323</v>
      </c>
      <c r="E176" s="43"/>
      <c r="F176" s="44" t="s">
        <v>324</v>
      </c>
      <c r="G176" s="103">
        <v>185</v>
      </c>
      <c r="H176" s="110">
        <f>INT((G176*Valores!$C$2*100)+0.5)/100</f>
        <v>834.85</v>
      </c>
      <c r="I176" s="114">
        <f>1835</f>
        <v>1835</v>
      </c>
      <c r="J176" s="70">
        <f>INT((I176*Valores!$C$2*100)+0.5)/100</f>
        <v>8280.7999999999993</v>
      </c>
      <c r="K176" s="132">
        <v>0</v>
      </c>
      <c r="L176" s="70">
        <f>INT((K176*Valores!$C$2*100)+0.5)/100</f>
        <v>0</v>
      </c>
      <c r="M176" s="100">
        <v>1300</v>
      </c>
      <c r="N176" s="70">
        <f>INT((M176*Valores!$C$2*100)+0.5)/100</f>
        <v>5866.51</v>
      </c>
      <c r="O176" s="70">
        <f t="shared" si="22"/>
        <v>0</v>
      </c>
      <c r="P176" s="70">
        <f t="shared" si="23"/>
        <v>18878.592000000001</v>
      </c>
      <c r="Q176" s="75">
        <f>Valores!$C$16</f>
        <v>2494</v>
      </c>
      <c r="R176" s="75">
        <f>Valores!$D$9</f>
        <v>2018.53</v>
      </c>
      <c r="S176" s="75">
        <f>Valores!$C$26</f>
        <v>2048</v>
      </c>
      <c r="T176" s="78">
        <f>Valores!$C$37</f>
        <v>750</v>
      </c>
      <c r="U176" s="70">
        <f>Valores!$C$23</f>
        <v>2079</v>
      </c>
      <c r="V176" s="70">
        <f t="shared" si="17"/>
        <v>4573.8</v>
      </c>
      <c r="W176" s="70">
        <v>0</v>
      </c>
      <c r="X176" s="70">
        <v>0</v>
      </c>
      <c r="Y176" s="94">
        <v>0</v>
      </c>
      <c r="Z176" s="70">
        <f>Y176*Valores!$C$2</f>
        <v>0</v>
      </c>
      <c r="AA176" s="70">
        <v>0</v>
      </c>
      <c r="AB176" s="80">
        <v>129.04</v>
      </c>
      <c r="AC176" s="70">
        <f t="shared" si="18"/>
        <v>0</v>
      </c>
      <c r="AD176" s="70">
        <v>129.04</v>
      </c>
      <c r="AE176" s="94">
        <v>0</v>
      </c>
      <c r="AF176" s="70">
        <f>INT(((AE176*Valores!$C$2)*100)+0.5)/100</f>
        <v>0</v>
      </c>
      <c r="AG176" s="70">
        <f>Valores!$C$49</f>
        <v>262.5</v>
      </c>
      <c r="AH176" s="70">
        <f>Valores!$C$50</f>
        <v>75</v>
      </c>
      <c r="AI176" s="125">
        <f t="shared" si="21"/>
        <v>46340.662000000004</v>
      </c>
      <c r="AJ176" s="72">
        <f>Valores!$C$7</f>
        <v>600</v>
      </c>
      <c r="AK176" s="126">
        <f t="shared" si="19"/>
        <v>600</v>
      </c>
      <c r="AL176" s="71">
        <f t="shared" si="20"/>
        <v>11258.35226</v>
      </c>
      <c r="AM176" s="80">
        <v>0</v>
      </c>
      <c r="AN176" s="47"/>
      <c r="AO176" s="20">
        <v>45</v>
      </c>
      <c r="AP176" s="43" t="s">
        <v>465</v>
      </c>
    </row>
    <row r="177" spans="1:42" s="9" customFormat="1" ht="11.25" customHeight="1" x14ac:dyDescent="0.15">
      <c r="A177" s="9">
        <v>176</v>
      </c>
      <c r="D177" s="9" t="s">
        <v>325</v>
      </c>
      <c r="F177" s="10" t="s">
        <v>326</v>
      </c>
      <c r="G177" s="102">
        <v>160</v>
      </c>
      <c r="H177" s="7">
        <f>INT((G177*Valores!$C$2*100)+0.5)/100</f>
        <v>722.03</v>
      </c>
      <c r="I177" s="115">
        <f>1484</f>
        <v>1484</v>
      </c>
      <c r="J177" s="67">
        <f>INT((I177*Valores!$C$2*100)+0.5)/100</f>
        <v>6696.85</v>
      </c>
      <c r="K177" s="131">
        <v>0</v>
      </c>
      <c r="L177" s="67">
        <f>INT((K177*Valores!$C$2*100)+0.5)/100</f>
        <v>0</v>
      </c>
      <c r="M177" s="99">
        <v>1300</v>
      </c>
      <c r="N177" s="67">
        <f>INT((M177*Valores!$C$2*100)+0.5)/100</f>
        <v>5866.51</v>
      </c>
      <c r="O177" s="67">
        <f t="shared" si="22"/>
        <v>0</v>
      </c>
      <c r="P177" s="67">
        <f t="shared" si="23"/>
        <v>16842.467999999997</v>
      </c>
      <c r="Q177" s="53">
        <f>Valores!$C$16</f>
        <v>2494</v>
      </c>
      <c r="R177" s="53">
        <f>Valores!$D$9</f>
        <v>2018.53</v>
      </c>
      <c r="S177" s="53">
        <f>Valores!$C$26</f>
        <v>2048</v>
      </c>
      <c r="T177" s="77">
        <f>Valores!$C$37</f>
        <v>750</v>
      </c>
      <c r="U177" s="67">
        <f>Valores!$C$23</f>
        <v>2079</v>
      </c>
      <c r="V177" s="67">
        <f t="shared" ref="V177:V240" si="24">U177*(1+$J$2)</f>
        <v>4573.8</v>
      </c>
      <c r="W177" s="67">
        <v>0</v>
      </c>
      <c r="X177" s="67">
        <v>0</v>
      </c>
      <c r="Y177" s="95">
        <v>0</v>
      </c>
      <c r="Z177" s="67">
        <f>Y177*Valores!$C$2</f>
        <v>0</v>
      </c>
      <c r="AA177" s="67">
        <v>0</v>
      </c>
      <c r="AB177" s="79">
        <v>129.04</v>
      </c>
      <c r="AC177" s="67">
        <f t="shared" si="18"/>
        <v>0</v>
      </c>
      <c r="AD177" s="67">
        <v>129.04</v>
      </c>
      <c r="AE177" s="95">
        <v>0</v>
      </c>
      <c r="AF177" s="67">
        <f>INT(((AE177*Valores!$C$2)*100)+0.5)/100</f>
        <v>0</v>
      </c>
      <c r="AG177" s="67">
        <f>Valores!$C$49</f>
        <v>262.5</v>
      </c>
      <c r="AH177" s="67">
        <f>Valores!$C$50</f>
        <v>75</v>
      </c>
      <c r="AI177" s="123">
        <f t="shared" si="21"/>
        <v>42607.768000000004</v>
      </c>
      <c r="AJ177" s="69">
        <f>Valores!$C$7</f>
        <v>600</v>
      </c>
      <c r="AK177" s="124">
        <f t="shared" si="19"/>
        <v>600</v>
      </c>
      <c r="AL177" s="68">
        <f t="shared" si="20"/>
        <v>10399.78664</v>
      </c>
      <c r="AM177" s="79">
        <v>220</v>
      </c>
      <c r="AN177" s="20"/>
      <c r="AO177" s="20">
        <v>45</v>
      </c>
      <c r="AP177" s="9" t="s">
        <v>465</v>
      </c>
    </row>
    <row r="178" spans="1:42" s="9" customFormat="1" ht="11.25" customHeight="1" x14ac:dyDescent="0.15">
      <c r="A178" s="9">
        <v>177</v>
      </c>
      <c r="D178" s="9" t="s">
        <v>327</v>
      </c>
      <c r="F178" s="10" t="s">
        <v>328</v>
      </c>
      <c r="G178" s="102">
        <v>178</v>
      </c>
      <c r="H178" s="7">
        <f>INT((G178*Valores!$C$2*100)+0.5)/100</f>
        <v>803.26</v>
      </c>
      <c r="I178" s="115">
        <f>1842</f>
        <v>1842</v>
      </c>
      <c r="J178" s="67">
        <f>INT((I178*Valores!$C$2*100)+0.5)/100</f>
        <v>8312.39</v>
      </c>
      <c r="K178" s="131">
        <v>0</v>
      </c>
      <c r="L178" s="67">
        <f>INT((K178*Valores!$C$2*100)+0.5)/100</f>
        <v>0</v>
      </c>
      <c r="M178" s="99">
        <v>1300</v>
      </c>
      <c r="N178" s="67">
        <f>INT((M178*Valores!$C$2*100)+0.5)/100</f>
        <v>5866.51</v>
      </c>
      <c r="O178" s="67">
        <f t="shared" si="22"/>
        <v>0</v>
      </c>
      <c r="P178" s="67">
        <f t="shared" si="23"/>
        <v>18878.592000000001</v>
      </c>
      <c r="Q178" s="53">
        <f>Valores!$C$16</f>
        <v>2494</v>
      </c>
      <c r="R178" s="53">
        <f>Valores!$D$9</f>
        <v>2018.53</v>
      </c>
      <c r="S178" s="67">
        <f>Valores!$C$26</f>
        <v>2048</v>
      </c>
      <c r="T178" s="69">
        <f>Valores!$C$37</f>
        <v>750</v>
      </c>
      <c r="U178" s="67">
        <f>Valores!$C$23</f>
        <v>2079</v>
      </c>
      <c r="V178" s="67">
        <f t="shared" si="24"/>
        <v>4573.8</v>
      </c>
      <c r="W178" s="67">
        <v>0</v>
      </c>
      <c r="X178" s="67">
        <v>0</v>
      </c>
      <c r="Y178" s="95">
        <v>0</v>
      </c>
      <c r="Z178" s="67">
        <f>Y178*Valores!$C$2</f>
        <v>0</v>
      </c>
      <c r="AA178" s="67">
        <v>0</v>
      </c>
      <c r="AB178" s="79">
        <v>129.04</v>
      </c>
      <c r="AC178" s="67">
        <f t="shared" si="18"/>
        <v>0</v>
      </c>
      <c r="AD178" s="67">
        <v>129.04</v>
      </c>
      <c r="AE178" s="95">
        <v>0</v>
      </c>
      <c r="AF178" s="67">
        <f>INT(((AE178*Valores!$C$2)*100)+0.5)/100</f>
        <v>0</v>
      </c>
      <c r="AG178" s="67">
        <f>Valores!$C$49</f>
        <v>262.5</v>
      </c>
      <c r="AH178" s="67">
        <f>Valores!$C$50</f>
        <v>75</v>
      </c>
      <c r="AI178" s="123">
        <f t="shared" si="21"/>
        <v>46340.662000000004</v>
      </c>
      <c r="AJ178" s="69">
        <f>Valores!$C$7</f>
        <v>600</v>
      </c>
      <c r="AK178" s="124">
        <f t="shared" si="19"/>
        <v>600</v>
      </c>
      <c r="AL178" s="68">
        <f t="shared" si="20"/>
        <v>11258.35226</v>
      </c>
      <c r="AM178" s="79">
        <v>0</v>
      </c>
      <c r="AN178" s="20"/>
      <c r="AO178" s="20">
        <v>45</v>
      </c>
      <c r="AP178" s="9" t="s">
        <v>465</v>
      </c>
    </row>
    <row r="179" spans="1:42" s="9" customFormat="1" ht="11.25" customHeight="1" x14ac:dyDescent="0.15">
      <c r="A179" s="9">
        <v>178</v>
      </c>
      <c r="D179" s="9" t="s">
        <v>329</v>
      </c>
      <c r="F179" s="10" t="s">
        <v>330</v>
      </c>
      <c r="G179" s="102">
        <v>1278</v>
      </c>
      <c r="H179" s="7">
        <f>INT((G179*Valores!$C$2*100)+0.5)/100</f>
        <v>5767.23</v>
      </c>
      <c r="I179" s="115">
        <v>0</v>
      </c>
      <c r="J179" s="67">
        <f>INT((I179*Valores!$C$2*100)+0.5)/100</f>
        <v>0</v>
      </c>
      <c r="K179" s="131">
        <v>0</v>
      </c>
      <c r="L179" s="67">
        <f>INT((K179*Valores!$C$2*100)+0.5)/100</f>
        <v>0</v>
      </c>
      <c r="M179" s="99">
        <v>1200</v>
      </c>
      <c r="N179" s="67">
        <f>INT((M179*Valores!$C$2*100)+0.5)/100</f>
        <v>5415.24</v>
      </c>
      <c r="O179" s="67">
        <f t="shared" si="22"/>
        <v>0</v>
      </c>
      <c r="P179" s="67">
        <f t="shared" si="23"/>
        <v>14318.963999999998</v>
      </c>
      <c r="Q179" s="53">
        <f>Valores!$C$21</f>
        <v>2324</v>
      </c>
      <c r="R179" s="53">
        <f>Valores!$D$9</f>
        <v>2018.53</v>
      </c>
      <c r="S179" s="53">
        <f>Valores!$C$26</f>
        <v>2048</v>
      </c>
      <c r="T179" s="77">
        <f>Valores!$C$37</f>
        <v>750</v>
      </c>
      <c r="U179" s="67">
        <f>Valores!$C$23</f>
        <v>2079</v>
      </c>
      <c r="V179" s="67">
        <f t="shared" si="24"/>
        <v>4573.8</v>
      </c>
      <c r="W179" s="67">
        <v>0</v>
      </c>
      <c r="X179" s="67">
        <v>0</v>
      </c>
      <c r="Y179" s="95">
        <v>0</v>
      </c>
      <c r="Z179" s="67">
        <f>Y179*Valores!$C$2</f>
        <v>0</v>
      </c>
      <c r="AA179" s="67">
        <v>0</v>
      </c>
      <c r="AB179" s="79">
        <v>129.04</v>
      </c>
      <c r="AC179" s="67">
        <f t="shared" si="18"/>
        <v>0</v>
      </c>
      <c r="AD179" s="67">
        <v>129.04</v>
      </c>
      <c r="AE179" s="95">
        <v>0</v>
      </c>
      <c r="AF179" s="67">
        <f>INT(((AE179*Valores!$C$2)*100)+0.5)/100</f>
        <v>0</v>
      </c>
      <c r="AG179" s="67">
        <f>Valores!$C$49</f>
        <v>262.5</v>
      </c>
      <c r="AH179" s="67">
        <f>Valores!$C$50</f>
        <v>75</v>
      </c>
      <c r="AI179" s="123">
        <f t="shared" si="21"/>
        <v>37811.343999999997</v>
      </c>
      <c r="AJ179" s="69">
        <f>Valores!$C$7</f>
        <v>600</v>
      </c>
      <c r="AK179" s="124">
        <f t="shared" si="19"/>
        <v>600</v>
      </c>
      <c r="AL179" s="68">
        <f t="shared" si="20"/>
        <v>9296.6091199999992</v>
      </c>
      <c r="AM179" s="79">
        <v>220</v>
      </c>
      <c r="AN179" s="20"/>
      <c r="AO179" s="47"/>
      <c r="AP179" s="9" t="s">
        <v>465</v>
      </c>
    </row>
    <row r="180" spans="1:42" s="9" customFormat="1" ht="11.25" customHeight="1" x14ac:dyDescent="0.15">
      <c r="A180" s="9">
        <v>179</v>
      </c>
      <c r="D180" s="9" t="s">
        <v>331</v>
      </c>
      <c r="F180" s="10" t="s">
        <v>332</v>
      </c>
      <c r="G180" s="102">
        <v>971</v>
      </c>
      <c r="H180" s="7">
        <f>INT((G180*Valores!$C$2*100)+0.5)/100</f>
        <v>4381.83</v>
      </c>
      <c r="I180" s="115">
        <v>0</v>
      </c>
      <c r="J180" s="67">
        <f>INT((I180*Valores!$C$2*100)+0.5)/100</f>
        <v>0</v>
      </c>
      <c r="K180" s="131">
        <v>0</v>
      </c>
      <c r="L180" s="67">
        <f>INT((K180*Valores!$C$2*100)+0.5)/100</f>
        <v>0</v>
      </c>
      <c r="M180" s="99">
        <v>660</v>
      </c>
      <c r="N180" s="67">
        <f>INT((M180*Valores!$C$2*100)+0.5)/100</f>
        <v>2978.38</v>
      </c>
      <c r="O180" s="67">
        <f t="shared" si="22"/>
        <v>0</v>
      </c>
      <c r="P180" s="67">
        <f t="shared" si="23"/>
        <v>9732.2520000000004</v>
      </c>
      <c r="Q180" s="53">
        <f>Valores!$C$21</f>
        <v>2324</v>
      </c>
      <c r="R180" s="53">
        <f>Valores!$D$9</f>
        <v>2018.53</v>
      </c>
      <c r="S180" s="53">
        <f>Valores!$C$26</f>
        <v>2048</v>
      </c>
      <c r="T180" s="77">
        <f>Valores!$C$37</f>
        <v>750</v>
      </c>
      <c r="U180" s="67">
        <f>Valores!$C$23</f>
        <v>2079</v>
      </c>
      <c r="V180" s="67">
        <f t="shared" si="24"/>
        <v>4573.8</v>
      </c>
      <c r="W180" s="67">
        <v>0</v>
      </c>
      <c r="X180" s="67">
        <v>0</v>
      </c>
      <c r="Y180" s="95">
        <v>0</v>
      </c>
      <c r="Z180" s="67">
        <f>Y180*Valores!$C$2</f>
        <v>0</v>
      </c>
      <c r="AA180" s="67">
        <v>0</v>
      </c>
      <c r="AB180" s="79">
        <v>129.04</v>
      </c>
      <c r="AC180" s="67">
        <f t="shared" si="18"/>
        <v>0</v>
      </c>
      <c r="AD180" s="67">
        <v>129.04</v>
      </c>
      <c r="AE180" s="95">
        <v>0</v>
      </c>
      <c r="AF180" s="67">
        <f>INT(((AE180*Valores!$C$2)*100)+0.5)/100</f>
        <v>0</v>
      </c>
      <c r="AG180" s="67">
        <f>Valores!$C$49</f>
        <v>262.5</v>
      </c>
      <c r="AH180" s="67">
        <f>Valores!$C$50</f>
        <v>75</v>
      </c>
      <c r="AI180" s="123">
        <f t="shared" si="21"/>
        <v>29402.371999999999</v>
      </c>
      <c r="AJ180" s="69">
        <f>Valores!$C$7</f>
        <v>600</v>
      </c>
      <c r="AK180" s="124">
        <f t="shared" si="19"/>
        <v>600</v>
      </c>
      <c r="AL180" s="68">
        <f t="shared" si="20"/>
        <v>7362.5455599999996</v>
      </c>
      <c r="AM180" s="79">
        <v>0</v>
      </c>
      <c r="AN180" s="20"/>
      <c r="AO180" s="20">
        <v>18</v>
      </c>
      <c r="AP180" s="9" t="s">
        <v>465</v>
      </c>
    </row>
    <row r="181" spans="1:42" s="9" customFormat="1" ht="11.25" customHeight="1" x14ac:dyDescent="0.15">
      <c r="A181" s="43">
        <v>180</v>
      </c>
      <c r="B181" s="43" t="s">
        <v>460</v>
      </c>
      <c r="C181" s="43"/>
      <c r="D181" s="43" t="s">
        <v>333</v>
      </c>
      <c r="E181" s="43"/>
      <c r="F181" s="44" t="s">
        <v>334</v>
      </c>
      <c r="G181" s="103">
        <v>213</v>
      </c>
      <c r="H181" s="110">
        <f>INT((G181*Valores!$C$2*100)+0.5)/100</f>
        <v>961.21</v>
      </c>
      <c r="I181" s="114">
        <f>1835</f>
        <v>1835</v>
      </c>
      <c r="J181" s="70">
        <f>INT((I181*Valores!$C$2*100)+0.5)/100</f>
        <v>8280.7999999999993</v>
      </c>
      <c r="K181" s="132">
        <v>0</v>
      </c>
      <c r="L181" s="70">
        <f>INT((K181*Valores!$C$2*100)+0.5)/100</f>
        <v>0</v>
      </c>
      <c r="M181" s="100">
        <v>1300</v>
      </c>
      <c r="N181" s="70">
        <f>INT((M181*Valores!$C$2*100)+0.5)/100</f>
        <v>5866.51</v>
      </c>
      <c r="O181" s="70">
        <f t="shared" si="22"/>
        <v>0</v>
      </c>
      <c r="P181" s="70">
        <f t="shared" si="23"/>
        <v>19030.223999999998</v>
      </c>
      <c r="Q181" s="75">
        <f>Valores!$C$16</f>
        <v>2494</v>
      </c>
      <c r="R181" s="75">
        <f>Valores!$D$9</f>
        <v>2018.53</v>
      </c>
      <c r="S181" s="75">
        <f>Valores!$C$26</f>
        <v>2048</v>
      </c>
      <c r="T181" s="78">
        <f>Valores!$C$37</f>
        <v>750</v>
      </c>
      <c r="U181" s="70">
        <f>Valores!$C$23</f>
        <v>2079</v>
      </c>
      <c r="V181" s="70">
        <f t="shared" si="24"/>
        <v>4573.8</v>
      </c>
      <c r="W181" s="70">
        <v>0</v>
      </c>
      <c r="X181" s="70">
        <v>0</v>
      </c>
      <c r="Y181" s="94">
        <v>0</v>
      </c>
      <c r="Z181" s="70">
        <f>Y181*Valores!$C$2</f>
        <v>0</v>
      </c>
      <c r="AA181" s="70">
        <v>0</v>
      </c>
      <c r="AB181" s="80">
        <v>129.04</v>
      </c>
      <c r="AC181" s="70">
        <f t="shared" si="18"/>
        <v>0</v>
      </c>
      <c r="AD181" s="70">
        <v>129.04</v>
      </c>
      <c r="AE181" s="94">
        <v>0</v>
      </c>
      <c r="AF181" s="70">
        <f>INT(((AE181*Valores!$C$2)*100)+0.5)/100</f>
        <v>0</v>
      </c>
      <c r="AG181" s="70">
        <f>Valores!$C$49</f>
        <v>262.5</v>
      </c>
      <c r="AH181" s="70">
        <f>Valores!$C$50</f>
        <v>75</v>
      </c>
      <c r="AI181" s="125">
        <f t="shared" si="21"/>
        <v>46618.654000000002</v>
      </c>
      <c r="AJ181" s="72">
        <f>Valores!$C$7</f>
        <v>600</v>
      </c>
      <c r="AK181" s="126">
        <f t="shared" si="19"/>
        <v>600</v>
      </c>
      <c r="AL181" s="71">
        <f t="shared" si="20"/>
        <v>11322.290419999999</v>
      </c>
      <c r="AM181" s="80">
        <v>0</v>
      </c>
      <c r="AN181" s="47"/>
      <c r="AO181" s="20">
        <v>45</v>
      </c>
      <c r="AP181" s="43" t="s">
        <v>465</v>
      </c>
    </row>
    <row r="182" spans="1:42" s="9" customFormat="1" ht="11.25" customHeight="1" x14ac:dyDescent="0.15">
      <c r="A182" s="9">
        <v>181</v>
      </c>
      <c r="D182" s="9" t="s">
        <v>335</v>
      </c>
      <c r="F182" s="10" t="s">
        <v>336</v>
      </c>
      <c r="G182" s="102">
        <v>185</v>
      </c>
      <c r="H182" s="7">
        <f>INT((G182*Valores!$C$2*100)+0.5)/100</f>
        <v>834.85</v>
      </c>
      <c r="I182" s="115">
        <f>1835</f>
        <v>1835</v>
      </c>
      <c r="J182" s="67">
        <f>INT((I182*Valores!$C$2*100)+0.5)/100</f>
        <v>8280.7999999999993</v>
      </c>
      <c r="K182" s="131">
        <v>0</v>
      </c>
      <c r="L182" s="67">
        <f>INT((K182*Valores!$C$2*100)+0.5)/100</f>
        <v>0</v>
      </c>
      <c r="M182" s="99">
        <v>1300</v>
      </c>
      <c r="N182" s="67">
        <f>INT((M182*Valores!$C$2*100)+0.5)/100</f>
        <v>5866.51</v>
      </c>
      <c r="O182" s="67">
        <f t="shared" si="22"/>
        <v>0</v>
      </c>
      <c r="P182" s="67">
        <f t="shared" si="23"/>
        <v>18878.592000000001</v>
      </c>
      <c r="Q182" s="53">
        <f>Valores!$C$16</f>
        <v>2494</v>
      </c>
      <c r="R182" s="53">
        <f>Valores!$D$9</f>
        <v>2018.53</v>
      </c>
      <c r="S182" s="53">
        <f>Valores!$C$26</f>
        <v>2048</v>
      </c>
      <c r="T182" s="77">
        <f>Valores!$C$37</f>
        <v>750</v>
      </c>
      <c r="U182" s="67">
        <f>Valores!$C$23</f>
        <v>2079</v>
      </c>
      <c r="V182" s="67">
        <f t="shared" si="24"/>
        <v>4573.8</v>
      </c>
      <c r="W182" s="67">
        <v>0</v>
      </c>
      <c r="X182" s="67">
        <v>0</v>
      </c>
      <c r="Y182" s="95">
        <v>0</v>
      </c>
      <c r="Z182" s="67">
        <f>Y182*Valores!$C$2</f>
        <v>0</v>
      </c>
      <c r="AA182" s="67">
        <v>0</v>
      </c>
      <c r="AB182" s="79">
        <v>129.04</v>
      </c>
      <c r="AC182" s="67">
        <f t="shared" si="18"/>
        <v>0</v>
      </c>
      <c r="AD182" s="67">
        <v>129.04</v>
      </c>
      <c r="AE182" s="95">
        <v>0</v>
      </c>
      <c r="AF182" s="67">
        <f>INT(((AE182*Valores!$C$2)*100)+0.5)/100</f>
        <v>0</v>
      </c>
      <c r="AG182" s="67">
        <f>Valores!$C$49</f>
        <v>262.5</v>
      </c>
      <c r="AH182" s="67">
        <f>Valores!$C$50</f>
        <v>75</v>
      </c>
      <c r="AI182" s="123">
        <f t="shared" si="21"/>
        <v>46340.662000000004</v>
      </c>
      <c r="AJ182" s="69">
        <f>Valores!$C$7</f>
        <v>600</v>
      </c>
      <c r="AK182" s="124">
        <f t="shared" si="19"/>
        <v>600</v>
      </c>
      <c r="AL182" s="68">
        <f t="shared" si="20"/>
        <v>11258.35226</v>
      </c>
      <c r="AM182" s="79">
        <v>0</v>
      </c>
      <c r="AN182" s="20"/>
      <c r="AO182" s="20">
        <v>45</v>
      </c>
      <c r="AP182" s="9" t="s">
        <v>465</v>
      </c>
    </row>
    <row r="183" spans="1:42" s="9" customFormat="1" ht="11.25" customHeight="1" x14ac:dyDescent="0.15">
      <c r="A183" s="9">
        <v>182</v>
      </c>
      <c r="D183" s="9" t="s">
        <v>337</v>
      </c>
      <c r="F183" s="10" t="s">
        <v>338</v>
      </c>
      <c r="G183" s="102">
        <v>160</v>
      </c>
      <c r="H183" s="7">
        <f>INT((G183*Valores!$C$2*100)+0.5)/100</f>
        <v>722.03</v>
      </c>
      <c r="I183" s="115">
        <f>1484</f>
        <v>1484</v>
      </c>
      <c r="J183" s="67">
        <f>INT((I183*Valores!$C$2*100)+0.5)/100</f>
        <v>6696.85</v>
      </c>
      <c r="K183" s="131">
        <v>0</v>
      </c>
      <c r="L183" s="67">
        <f>INT((K183*Valores!$C$2*100)+0.5)/100</f>
        <v>0</v>
      </c>
      <c r="M183" s="99">
        <v>1300</v>
      </c>
      <c r="N183" s="67">
        <f>INT((M183*Valores!$C$2*100)+0.5)/100</f>
        <v>5866.51</v>
      </c>
      <c r="O183" s="67">
        <f t="shared" si="22"/>
        <v>0</v>
      </c>
      <c r="P183" s="67">
        <f t="shared" si="23"/>
        <v>16842.467999999997</v>
      </c>
      <c r="Q183" s="53">
        <f>Valores!$C$16</f>
        <v>2494</v>
      </c>
      <c r="R183" s="53">
        <f>Valores!$D$9</f>
        <v>2018.53</v>
      </c>
      <c r="S183" s="67">
        <f>Valores!$C$26</f>
        <v>2048</v>
      </c>
      <c r="T183" s="69">
        <f>Valores!$C$37</f>
        <v>750</v>
      </c>
      <c r="U183" s="67">
        <f>Valores!$C$23</f>
        <v>2079</v>
      </c>
      <c r="V183" s="67">
        <f t="shared" si="24"/>
        <v>4573.8</v>
      </c>
      <c r="W183" s="67">
        <v>0</v>
      </c>
      <c r="X183" s="67">
        <v>0</v>
      </c>
      <c r="Y183" s="95">
        <v>0</v>
      </c>
      <c r="Z183" s="67">
        <f>Y183*Valores!$C$2</f>
        <v>0</v>
      </c>
      <c r="AA183" s="67">
        <v>0</v>
      </c>
      <c r="AB183" s="79">
        <v>129.04</v>
      </c>
      <c r="AC183" s="67">
        <f t="shared" si="18"/>
        <v>0</v>
      </c>
      <c r="AD183" s="67">
        <v>129.04</v>
      </c>
      <c r="AE183" s="95">
        <v>0</v>
      </c>
      <c r="AF183" s="67">
        <f>INT(((AE183*Valores!$C$2)*100)+0.5)/100</f>
        <v>0</v>
      </c>
      <c r="AG183" s="67">
        <f>Valores!$C$49</f>
        <v>262.5</v>
      </c>
      <c r="AH183" s="67">
        <f>Valores!$C$50</f>
        <v>75</v>
      </c>
      <c r="AI183" s="123">
        <f t="shared" si="21"/>
        <v>42607.768000000004</v>
      </c>
      <c r="AJ183" s="69">
        <f>Valores!$C$7</f>
        <v>600</v>
      </c>
      <c r="AK183" s="124">
        <f t="shared" si="19"/>
        <v>600</v>
      </c>
      <c r="AL183" s="68">
        <f t="shared" si="20"/>
        <v>10399.78664</v>
      </c>
      <c r="AM183" s="79">
        <v>220</v>
      </c>
      <c r="AN183" s="20"/>
      <c r="AO183" s="20">
        <v>45</v>
      </c>
      <c r="AP183" s="9" t="s">
        <v>465</v>
      </c>
    </row>
    <row r="184" spans="1:42" s="9" customFormat="1" ht="11.25" customHeight="1" x14ac:dyDescent="0.15">
      <c r="A184" s="9">
        <v>183</v>
      </c>
      <c r="D184" s="9" t="s">
        <v>339</v>
      </c>
      <c r="F184" s="10" t="s">
        <v>340</v>
      </c>
      <c r="G184" s="102">
        <v>1278</v>
      </c>
      <c r="H184" s="7">
        <f>INT((G184*Valores!$C$2*100)+0.5)/100</f>
        <v>5767.23</v>
      </c>
      <c r="I184" s="115">
        <v>0</v>
      </c>
      <c r="J184" s="67">
        <f>INT((I184*Valores!$C$2*100)+0.5)/100</f>
        <v>0</v>
      </c>
      <c r="K184" s="131">
        <v>0</v>
      </c>
      <c r="L184" s="67">
        <f>INT((K184*Valores!$C$2*100)+0.5)/100</f>
        <v>0</v>
      </c>
      <c r="M184" s="99">
        <v>1200</v>
      </c>
      <c r="N184" s="67">
        <f>INT((M184*Valores!$C$2*100)+0.5)/100</f>
        <v>5415.24</v>
      </c>
      <c r="O184" s="67">
        <f t="shared" si="22"/>
        <v>0</v>
      </c>
      <c r="P184" s="67">
        <f t="shared" si="23"/>
        <v>14318.963999999998</v>
      </c>
      <c r="Q184" s="53">
        <f>Valores!$C$21</f>
        <v>2324</v>
      </c>
      <c r="R184" s="53">
        <f>Valores!$D$9</f>
        <v>2018.53</v>
      </c>
      <c r="S184" s="53">
        <f>Valores!$C$26</f>
        <v>2048</v>
      </c>
      <c r="T184" s="77">
        <f>Valores!$C$37</f>
        <v>750</v>
      </c>
      <c r="U184" s="67">
        <f>Valores!$C$23</f>
        <v>2079</v>
      </c>
      <c r="V184" s="67">
        <f t="shared" si="24"/>
        <v>4573.8</v>
      </c>
      <c r="W184" s="67">
        <v>0</v>
      </c>
      <c r="X184" s="67">
        <v>0</v>
      </c>
      <c r="Y184" s="95">
        <v>0</v>
      </c>
      <c r="Z184" s="67">
        <f>Y184*Valores!$C$2</f>
        <v>0</v>
      </c>
      <c r="AA184" s="67">
        <v>0</v>
      </c>
      <c r="AB184" s="79">
        <v>129.04</v>
      </c>
      <c r="AC184" s="67">
        <f t="shared" si="18"/>
        <v>0</v>
      </c>
      <c r="AD184" s="67">
        <v>129.04</v>
      </c>
      <c r="AE184" s="95">
        <v>0</v>
      </c>
      <c r="AF184" s="67">
        <f>INT(((AE184*Valores!$C$2)*100)+0.5)/100</f>
        <v>0</v>
      </c>
      <c r="AG184" s="67">
        <f>Valores!$C$49</f>
        <v>262.5</v>
      </c>
      <c r="AH184" s="67">
        <f>Valores!$C$50</f>
        <v>75</v>
      </c>
      <c r="AI184" s="123">
        <f t="shared" si="21"/>
        <v>37811.343999999997</v>
      </c>
      <c r="AJ184" s="69">
        <f>Valores!$C$7</f>
        <v>600</v>
      </c>
      <c r="AK184" s="124">
        <f t="shared" si="19"/>
        <v>600</v>
      </c>
      <c r="AL184" s="68">
        <f t="shared" si="20"/>
        <v>9296.6091199999992</v>
      </c>
      <c r="AM184" s="79">
        <v>220</v>
      </c>
      <c r="AN184" s="20"/>
      <c r="AO184" s="47"/>
      <c r="AP184" s="9" t="s">
        <v>465</v>
      </c>
    </row>
    <row r="185" spans="1:42" s="9" customFormat="1" ht="11.25" customHeight="1" x14ac:dyDescent="0.15">
      <c r="A185" s="9">
        <v>184</v>
      </c>
      <c r="D185" s="9" t="s">
        <v>341</v>
      </c>
      <c r="F185" s="10" t="s">
        <v>342</v>
      </c>
      <c r="G185" s="102">
        <v>971</v>
      </c>
      <c r="H185" s="7">
        <f>INT((G185*Valores!$C$2*100)+0.5)/100</f>
        <v>4381.83</v>
      </c>
      <c r="I185" s="115">
        <v>0</v>
      </c>
      <c r="J185" s="67">
        <f>INT((I185*Valores!$C$2*100)+0.5)/100</f>
        <v>0</v>
      </c>
      <c r="K185" s="131">
        <v>0</v>
      </c>
      <c r="L185" s="67">
        <f>INT((K185*Valores!$C$2*100)+0.5)/100</f>
        <v>0</v>
      </c>
      <c r="M185" s="99">
        <v>660</v>
      </c>
      <c r="N185" s="67">
        <f>INT((M185*Valores!$C$2*100)+0.5)/100</f>
        <v>2978.38</v>
      </c>
      <c r="O185" s="67">
        <f t="shared" si="22"/>
        <v>0</v>
      </c>
      <c r="P185" s="67">
        <f t="shared" si="23"/>
        <v>9732.2520000000004</v>
      </c>
      <c r="Q185" s="53">
        <f>Valores!$C$21</f>
        <v>2324</v>
      </c>
      <c r="R185" s="53">
        <f>Valores!$D$9</f>
        <v>2018.53</v>
      </c>
      <c r="S185" s="53">
        <f>Valores!$C$27</f>
        <v>1853</v>
      </c>
      <c r="T185" s="77">
        <f>Valores!$C$37</f>
        <v>750</v>
      </c>
      <c r="U185" s="67">
        <f>Valores!$C$23</f>
        <v>2079</v>
      </c>
      <c r="V185" s="67">
        <f t="shared" si="24"/>
        <v>4573.8</v>
      </c>
      <c r="W185" s="67">
        <v>0</v>
      </c>
      <c r="X185" s="67">
        <v>0</v>
      </c>
      <c r="Y185" s="95">
        <v>0</v>
      </c>
      <c r="Z185" s="67">
        <f>Y185*Valores!$C$2</f>
        <v>0</v>
      </c>
      <c r="AA185" s="67">
        <v>0</v>
      </c>
      <c r="AB185" s="79">
        <v>129.04</v>
      </c>
      <c r="AC185" s="67">
        <f t="shared" si="18"/>
        <v>0</v>
      </c>
      <c r="AD185" s="67">
        <v>129.04</v>
      </c>
      <c r="AE185" s="95">
        <v>0</v>
      </c>
      <c r="AF185" s="67">
        <f>INT(((AE185*Valores!$C$2)*100)+0.5)/100</f>
        <v>0</v>
      </c>
      <c r="AG185" s="67">
        <f>Valores!$C$49</f>
        <v>262.5</v>
      </c>
      <c r="AH185" s="67">
        <f>Valores!$C$50</f>
        <v>75</v>
      </c>
      <c r="AI185" s="123">
        <f t="shared" si="21"/>
        <v>29207.371999999999</v>
      </c>
      <c r="AJ185" s="69">
        <f>Valores!$C$7</f>
        <v>600</v>
      </c>
      <c r="AK185" s="124">
        <f t="shared" si="19"/>
        <v>600</v>
      </c>
      <c r="AL185" s="68">
        <f t="shared" si="20"/>
        <v>7317.6955599999992</v>
      </c>
      <c r="AM185" s="79">
        <v>219.11</v>
      </c>
      <c r="AN185" s="20"/>
      <c r="AO185" s="20">
        <v>18</v>
      </c>
      <c r="AP185" s="9" t="s">
        <v>465</v>
      </c>
    </row>
    <row r="186" spans="1:42" s="9" customFormat="1" ht="11.25" customHeight="1" x14ac:dyDescent="0.15">
      <c r="A186" s="43">
        <v>185</v>
      </c>
      <c r="B186" s="43" t="s">
        <v>460</v>
      </c>
      <c r="C186" s="43"/>
      <c r="D186" s="43" t="s">
        <v>343</v>
      </c>
      <c r="E186" s="43"/>
      <c r="F186" s="44" t="s">
        <v>344</v>
      </c>
      <c r="G186" s="103">
        <v>179</v>
      </c>
      <c r="H186" s="110">
        <f>INT((G186*Valores!$C$2*100)+0.5)/100</f>
        <v>807.77</v>
      </c>
      <c r="I186" s="114">
        <f>1323</f>
        <v>1323</v>
      </c>
      <c r="J186" s="70">
        <f>INT((I186*Valores!$C$2*100)+0.5)/100</f>
        <v>5970.3</v>
      </c>
      <c r="K186" s="132">
        <v>0</v>
      </c>
      <c r="L186" s="70">
        <f>INT((K186*Valores!$C$2*100)+0.5)/100</f>
        <v>0</v>
      </c>
      <c r="M186" s="100">
        <v>1300</v>
      </c>
      <c r="N186" s="70">
        <f>INT((M186*Valores!$C$2*100)+0.5)/100</f>
        <v>5866.51</v>
      </c>
      <c r="O186" s="70">
        <f t="shared" si="22"/>
        <v>0</v>
      </c>
      <c r="P186" s="70">
        <f t="shared" si="23"/>
        <v>16073.495999999999</v>
      </c>
      <c r="Q186" s="75">
        <f>Valores!$C$16</f>
        <v>2494</v>
      </c>
      <c r="R186" s="75">
        <f>Valores!$D$9</f>
        <v>2018.53</v>
      </c>
      <c r="S186" s="75">
        <f>Valores!$C$26</f>
        <v>2048</v>
      </c>
      <c r="T186" s="78">
        <f>Valores!$C$37</f>
        <v>750</v>
      </c>
      <c r="U186" s="70">
        <f>Valores!$C$23</f>
        <v>2079</v>
      </c>
      <c r="V186" s="70">
        <f t="shared" si="24"/>
        <v>4573.8</v>
      </c>
      <c r="W186" s="70">
        <v>0</v>
      </c>
      <c r="X186" s="70">
        <v>0</v>
      </c>
      <c r="Y186" s="94">
        <v>0</v>
      </c>
      <c r="Z186" s="70">
        <f>Y186*Valores!$C$2</f>
        <v>0</v>
      </c>
      <c r="AA186" s="70">
        <v>0</v>
      </c>
      <c r="AB186" s="80">
        <v>129.04</v>
      </c>
      <c r="AC186" s="70">
        <f t="shared" si="18"/>
        <v>0</v>
      </c>
      <c r="AD186" s="70">
        <v>129.04</v>
      </c>
      <c r="AE186" s="94">
        <v>0</v>
      </c>
      <c r="AF186" s="70">
        <f>INT(((AE186*Valores!$C$2)*100)+0.5)/100</f>
        <v>0</v>
      </c>
      <c r="AG186" s="70">
        <f>Valores!$C$49</f>
        <v>262.5</v>
      </c>
      <c r="AH186" s="70">
        <f>Valores!$C$50</f>
        <v>75</v>
      </c>
      <c r="AI186" s="125">
        <f t="shared" si="21"/>
        <v>41197.986000000004</v>
      </c>
      <c r="AJ186" s="72">
        <f>Valores!$C$7</f>
        <v>600</v>
      </c>
      <c r="AK186" s="126">
        <f t="shared" si="19"/>
        <v>600</v>
      </c>
      <c r="AL186" s="71">
        <f t="shared" si="20"/>
        <v>10075.53678</v>
      </c>
      <c r="AM186" s="80">
        <v>0</v>
      </c>
      <c r="AN186" s="47"/>
      <c r="AO186" s="20">
        <v>45</v>
      </c>
      <c r="AP186" s="43" t="s">
        <v>465</v>
      </c>
    </row>
    <row r="187" spans="1:42" s="9" customFormat="1" ht="11.25" customHeight="1" x14ac:dyDescent="0.15">
      <c r="A187" s="9">
        <v>186</v>
      </c>
      <c r="D187" s="9" t="s">
        <v>345</v>
      </c>
      <c r="F187" s="10" t="s">
        <v>346</v>
      </c>
      <c r="G187" s="102">
        <v>64</v>
      </c>
      <c r="H187" s="7">
        <f>INT((G187*Valores!$C$2*100)+0.5)/100</f>
        <v>288.81</v>
      </c>
      <c r="I187" s="115">
        <v>1354</v>
      </c>
      <c r="J187" s="67">
        <f>INT((I187*Valores!$C$2*100)+0.5)/100</f>
        <v>6110.2</v>
      </c>
      <c r="K187" s="131">
        <v>0</v>
      </c>
      <c r="L187" s="67">
        <f>INT((K187*Valores!$C$2*100)+0.5)/100</f>
        <v>0</v>
      </c>
      <c r="M187" s="99">
        <v>1200</v>
      </c>
      <c r="N187" s="67">
        <f>INT((M187*Valores!$C$2*100)+0.5)/100</f>
        <v>5415.24</v>
      </c>
      <c r="O187" s="67">
        <f t="shared" si="22"/>
        <v>0</v>
      </c>
      <c r="P187" s="67">
        <f t="shared" si="23"/>
        <v>15077.099999999999</v>
      </c>
      <c r="Q187" s="53">
        <f>Valores!$C$21</f>
        <v>2324</v>
      </c>
      <c r="R187" s="53">
        <f>Valores!$D$9</f>
        <v>2018.53</v>
      </c>
      <c r="S187" s="67">
        <v>0</v>
      </c>
      <c r="T187" s="69">
        <f>Valores!$C$37</f>
        <v>750</v>
      </c>
      <c r="U187" s="53">
        <f>Valores!$C$24</f>
        <v>2049</v>
      </c>
      <c r="V187" s="67">
        <f t="shared" si="24"/>
        <v>4507.8</v>
      </c>
      <c r="W187" s="67">
        <v>0</v>
      </c>
      <c r="X187" s="67">
        <v>0</v>
      </c>
      <c r="Y187" s="95">
        <v>0</v>
      </c>
      <c r="Z187" s="67">
        <f>Y187*Valores!$C$2</f>
        <v>0</v>
      </c>
      <c r="AA187" s="67">
        <v>0</v>
      </c>
      <c r="AB187" s="79">
        <v>129.04</v>
      </c>
      <c r="AC187" s="67">
        <f t="shared" si="18"/>
        <v>0</v>
      </c>
      <c r="AD187" s="67">
        <v>129.04</v>
      </c>
      <c r="AE187" s="95">
        <v>0</v>
      </c>
      <c r="AF187" s="67">
        <f>INT(((AE187*Valores!$C$2)*100)+0.5)/100</f>
        <v>0</v>
      </c>
      <c r="AG187" s="67">
        <f>Valores!$C$49</f>
        <v>262.5</v>
      </c>
      <c r="AH187" s="67">
        <f>Valores!$C$50</f>
        <v>75</v>
      </c>
      <c r="AI187" s="123">
        <f t="shared" si="21"/>
        <v>37087.26</v>
      </c>
      <c r="AJ187" s="69">
        <f>Valores!$C$7</f>
        <v>600</v>
      </c>
      <c r="AK187" s="124">
        <f t="shared" si="19"/>
        <v>600</v>
      </c>
      <c r="AL187" s="68">
        <f t="shared" si="20"/>
        <v>9130.0697999999993</v>
      </c>
      <c r="AM187" s="79">
        <v>0</v>
      </c>
      <c r="AN187" s="20"/>
      <c r="AO187" s="20">
        <v>30</v>
      </c>
      <c r="AP187" s="9" t="s">
        <v>464</v>
      </c>
    </row>
    <row r="188" spans="1:42" s="9" customFormat="1" ht="11.25" customHeight="1" x14ac:dyDescent="0.15">
      <c r="A188" s="9">
        <v>187</v>
      </c>
      <c r="D188" s="9" t="s">
        <v>347</v>
      </c>
      <c r="F188" s="10" t="s">
        <v>348</v>
      </c>
      <c r="G188" s="102">
        <v>55</v>
      </c>
      <c r="H188" s="7">
        <f>INT((G188*Valores!$C$2*100)+0.5)/100</f>
        <v>248.2</v>
      </c>
      <c r="I188" s="115">
        <v>1279</v>
      </c>
      <c r="J188" s="67">
        <f>INT((I188*Valores!$C$2*100)+0.5)/100</f>
        <v>5771.74</v>
      </c>
      <c r="K188" s="131">
        <v>0</v>
      </c>
      <c r="L188" s="67">
        <f>INT((K188*Valores!$C$2*100)+0.5)/100</f>
        <v>0</v>
      </c>
      <c r="M188" s="99">
        <v>1200</v>
      </c>
      <c r="N188" s="67">
        <f>INT((M188*Valores!$C$2*100)+0.5)/100</f>
        <v>5415.24</v>
      </c>
      <c r="O188" s="67">
        <f t="shared" si="22"/>
        <v>0</v>
      </c>
      <c r="P188" s="67">
        <f t="shared" si="23"/>
        <v>14622.216</v>
      </c>
      <c r="Q188" s="53">
        <f>Valores!$C$21</f>
        <v>2324</v>
      </c>
      <c r="R188" s="53">
        <f>Valores!$D$9</f>
        <v>2018.53</v>
      </c>
      <c r="S188" s="67">
        <v>0</v>
      </c>
      <c r="T188" s="69">
        <f>Valores!$C$37</f>
        <v>750</v>
      </c>
      <c r="U188" s="67">
        <f>Valores!$C$23</f>
        <v>2079</v>
      </c>
      <c r="V188" s="67">
        <f t="shared" si="24"/>
        <v>4573.8</v>
      </c>
      <c r="W188" s="67">
        <v>0</v>
      </c>
      <c r="X188" s="67">
        <v>0</v>
      </c>
      <c r="Y188" s="95">
        <v>0</v>
      </c>
      <c r="Z188" s="67">
        <f>Y188*Valores!$C$2</f>
        <v>0</v>
      </c>
      <c r="AA188" s="67">
        <v>0</v>
      </c>
      <c r="AB188" s="79">
        <v>129.04</v>
      </c>
      <c r="AC188" s="67">
        <f t="shared" si="18"/>
        <v>0</v>
      </c>
      <c r="AD188" s="67">
        <v>129.04</v>
      </c>
      <c r="AE188" s="95">
        <v>0</v>
      </c>
      <c r="AF188" s="67">
        <f>INT(((AE188*Valores!$C$2)*100)+0.5)/100</f>
        <v>0</v>
      </c>
      <c r="AG188" s="67">
        <f>Valores!$C$49</f>
        <v>262.5</v>
      </c>
      <c r="AH188" s="67">
        <f>Valores!$C$50</f>
        <v>75</v>
      </c>
      <c r="AI188" s="123">
        <f t="shared" si="21"/>
        <v>36319.306000000004</v>
      </c>
      <c r="AJ188" s="69">
        <f>Valores!$C$7</f>
        <v>600</v>
      </c>
      <c r="AK188" s="124">
        <f t="shared" si="19"/>
        <v>600</v>
      </c>
      <c r="AL188" s="68">
        <f t="shared" si="20"/>
        <v>8953.44038</v>
      </c>
      <c r="AM188" s="79">
        <v>0</v>
      </c>
      <c r="AN188" s="20"/>
      <c r="AO188" s="20">
        <v>30</v>
      </c>
      <c r="AP188" s="9" t="s">
        <v>464</v>
      </c>
    </row>
    <row r="189" spans="1:42" s="9" customFormat="1" ht="11.25" customHeight="1" x14ac:dyDescent="0.15">
      <c r="A189" s="9">
        <v>188</v>
      </c>
      <c r="D189" s="9" t="s">
        <v>349</v>
      </c>
      <c r="F189" s="10" t="s">
        <v>350</v>
      </c>
      <c r="G189" s="102">
        <v>1027</v>
      </c>
      <c r="H189" s="7">
        <f>INT((G189*Valores!$C$2*100)+0.5)/100</f>
        <v>4634.54</v>
      </c>
      <c r="I189" s="115">
        <v>0</v>
      </c>
      <c r="J189" s="67">
        <f>INT((I189*Valores!$C$2*100)+0.5)/100</f>
        <v>0</v>
      </c>
      <c r="K189" s="131">
        <v>0</v>
      </c>
      <c r="L189" s="67">
        <f>INT((K189*Valores!$C$2*100)+0.5)/100</f>
        <v>0</v>
      </c>
      <c r="M189" s="99">
        <v>1200</v>
      </c>
      <c r="N189" s="67">
        <f>INT((M189*Valores!$C$2*100)+0.5)/100</f>
        <v>5415.24</v>
      </c>
      <c r="O189" s="67">
        <f t="shared" si="22"/>
        <v>0</v>
      </c>
      <c r="P189" s="67">
        <f t="shared" si="23"/>
        <v>12959.735999999999</v>
      </c>
      <c r="Q189" s="53">
        <f>Valores!$C$21</f>
        <v>2324</v>
      </c>
      <c r="R189" s="53">
        <f>Valores!$D$9</f>
        <v>2018.53</v>
      </c>
      <c r="S189" s="67">
        <v>0</v>
      </c>
      <c r="T189" s="69">
        <f>Valores!$C$37</f>
        <v>750</v>
      </c>
      <c r="U189" s="53">
        <f>Valores!$C$24</f>
        <v>2049</v>
      </c>
      <c r="V189" s="67">
        <f t="shared" si="24"/>
        <v>4507.8</v>
      </c>
      <c r="W189" s="67">
        <v>0</v>
      </c>
      <c r="X189" s="67">
        <v>0</v>
      </c>
      <c r="Y189" s="95">
        <v>0</v>
      </c>
      <c r="Z189" s="67">
        <f>Y189*Valores!$C$2</f>
        <v>0</v>
      </c>
      <c r="AA189" s="67">
        <v>0</v>
      </c>
      <c r="AB189" s="79">
        <v>129.04</v>
      </c>
      <c r="AC189" s="67">
        <f t="shared" si="18"/>
        <v>0</v>
      </c>
      <c r="AD189" s="67">
        <v>129.04</v>
      </c>
      <c r="AE189" s="95">
        <v>0</v>
      </c>
      <c r="AF189" s="67">
        <f>INT(((AE189*Valores!$C$2)*100)+0.5)/100</f>
        <v>0</v>
      </c>
      <c r="AG189" s="67">
        <f>Valores!$C$49</f>
        <v>262.5</v>
      </c>
      <c r="AH189" s="67">
        <f>Valores!$C$50</f>
        <v>75</v>
      </c>
      <c r="AI189" s="123">
        <f t="shared" si="21"/>
        <v>33205.425999999992</v>
      </c>
      <c r="AJ189" s="69">
        <f>Valores!$C$7</f>
        <v>600</v>
      </c>
      <c r="AK189" s="124">
        <f t="shared" si="19"/>
        <v>600</v>
      </c>
      <c r="AL189" s="68">
        <f t="shared" si="20"/>
        <v>8237.2479799999965</v>
      </c>
      <c r="AM189" s="79">
        <v>0</v>
      </c>
      <c r="AN189" s="20"/>
      <c r="AO189" s="47">
        <v>30</v>
      </c>
      <c r="AP189" s="9" t="s">
        <v>464</v>
      </c>
    </row>
    <row r="190" spans="1:42" s="9" customFormat="1" ht="11.25" customHeight="1" x14ac:dyDescent="0.15">
      <c r="A190" s="9">
        <v>189</v>
      </c>
      <c r="D190" s="9" t="s">
        <v>351</v>
      </c>
      <c r="F190" s="10" t="s">
        <v>352</v>
      </c>
      <c r="G190" s="102">
        <v>1278</v>
      </c>
      <c r="H190" s="7">
        <f>INT((G190*Valores!$C$2*100)+0.5)/100</f>
        <v>5767.23</v>
      </c>
      <c r="I190" s="115">
        <v>0</v>
      </c>
      <c r="J190" s="67">
        <f>INT((I190*Valores!$C$2*100)+0.5)/100</f>
        <v>0</v>
      </c>
      <c r="K190" s="131">
        <v>0</v>
      </c>
      <c r="L190" s="67">
        <f>INT((K190*Valores!$C$2*100)+0.5)/100</f>
        <v>0</v>
      </c>
      <c r="M190" s="99">
        <v>1200</v>
      </c>
      <c r="N190" s="67">
        <f>INT((M190*Valores!$C$2*100)+0.5)/100</f>
        <v>5415.24</v>
      </c>
      <c r="O190" s="67">
        <f t="shared" si="22"/>
        <v>0</v>
      </c>
      <c r="P190" s="67">
        <f t="shared" si="23"/>
        <v>14318.963999999998</v>
      </c>
      <c r="Q190" s="53">
        <f>Valores!$C$21</f>
        <v>2324</v>
      </c>
      <c r="R190" s="53">
        <f>Valores!$D$9</f>
        <v>2018.53</v>
      </c>
      <c r="S190" s="53">
        <f>Valores!$C$26</f>
        <v>2048</v>
      </c>
      <c r="T190" s="77">
        <f>Valores!$C$37</f>
        <v>750</v>
      </c>
      <c r="U190" s="67">
        <f>Valores!$C$23</f>
        <v>2079</v>
      </c>
      <c r="V190" s="67">
        <f t="shared" si="24"/>
        <v>4573.8</v>
      </c>
      <c r="W190" s="67">
        <v>0</v>
      </c>
      <c r="X190" s="67">
        <v>0</v>
      </c>
      <c r="Y190" s="95">
        <v>0</v>
      </c>
      <c r="Z190" s="67">
        <f>Y190*Valores!$C$2</f>
        <v>0</v>
      </c>
      <c r="AA190" s="67">
        <v>0</v>
      </c>
      <c r="AB190" s="79">
        <v>129.04</v>
      </c>
      <c r="AC190" s="67">
        <f t="shared" si="18"/>
        <v>0</v>
      </c>
      <c r="AD190" s="67">
        <v>129.04</v>
      </c>
      <c r="AE190" s="95">
        <v>0</v>
      </c>
      <c r="AF190" s="67">
        <f>INT(((AE190*Valores!$C$2)*100)+0.5)/100</f>
        <v>0</v>
      </c>
      <c r="AG190" s="67">
        <f>Valores!$C$49</f>
        <v>262.5</v>
      </c>
      <c r="AH190" s="67">
        <f>Valores!$C$50</f>
        <v>75</v>
      </c>
      <c r="AI190" s="123">
        <f t="shared" si="21"/>
        <v>37811.343999999997</v>
      </c>
      <c r="AJ190" s="69">
        <f>Valores!$C$7</f>
        <v>600</v>
      </c>
      <c r="AK190" s="124">
        <f t="shared" si="19"/>
        <v>600</v>
      </c>
      <c r="AL190" s="68">
        <f t="shared" si="20"/>
        <v>9296.6091199999992</v>
      </c>
      <c r="AM190" s="79">
        <v>220</v>
      </c>
      <c r="AN190" s="20"/>
      <c r="AO190" s="20">
        <v>36</v>
      </c>
      <c r="AP190" s="9" t="s">
        <v>465</v>
      </c>
    </row>
    <row r="191" spans="1:42" s="9" customFormat="1" ht="11.25" customHeight="1" x14ac:dyDescent="0.15">
      <c r="A191" s="43">
        <v>190</v>
      </c>
      <c r="B191" s="43" t="s">
        <v>460</v>
      </c>
      <c r="C191" s="43"/>
      <c r="D191" s="43" t="s">
        <v>438</v>
      </c>
      <c r="E191" s="43"/>
      <c r="F191" s="44" t="s">
        <v>439</v>
      </c>
      <c r="G191" s="103">
        <v>1065</v>
      </c>
      <c r="H191" s="110">
        <f>INT((G191*Valores!$C$2*100)+0.5)/100</f>
        <v>4806.03</v>
      </c>
      <c r="I191" s="114">
        <v>0</v>
      </c>
      <c r="J191" s="70">
        <f>INT((I191*Valores!$C$2*100)+0.5)/100</f>
        <v>0</v>
      </c>
      <c r="K191" s="132">
        <v>0</v>
      </c>
      <c r="L191" s="70">
        <f>INT((K191*Valores!$C$2*100)+0.5)/100</f>
        <v>0</v>
      </c>
      <c r="M191" s="100">
        <v>600</v>
      </c>
      <c r="N191" s="70">
        <f>INT((M191*Valores!$C$2*100)+0.5)/100</f>
        <v>2707.62</v>
      </c>
      <c r="O191" s="70">
        <f t="shared" si="22"/>
        <v>0</v>
      </c>
      <c r="P191" s="70">
        <f t="shared" si="23"/>
        <v>9916.3799999999992</v>
      </c>
      <c r="Q191" s="75">
        <f>Valores!$C$21</f>
        <v>2324</v>
      </c>
      <c r="R191" s="75">
        <f>Valores!$D$9</f>
        <v>2018.53</v>
      </c>
      <c r="S191" s="70">
        <v>0</v>
      </c>
      <c r="T191" s="72">
        <f>Valores!$C$37</f>
        <v>750</v>
      </c>
      <c r="U191" s="70">
        <f>Valores!$C$23</f>
        <v>2079</v>
      </c>
      <c r="V191" s="70">
        <f t="shared" si="24"/>
        <v>4573.8</v>
      </c>
      <c r="W191" s="70">
        <v>0</v>
      </c>
      <c r="X191" s="70">
        <v>0</v>
      </c>
      <c r="Y191" s="94">
        <v>0</v>
      </c>
      <c r="Z191" s="70">
        <f>Y191*Valores!$C$2</f>
        <v>0</v>
      </c>
      <c r="AA191" s="70">
        <v>0</v>
      </c>
      <c r="AB191" s="80">
        <v>129.04</v>
      </c>
      <c r="AC191" s="70">
        <f t="shared" si="18"/>
        <v>0</v>
      </c>
      <c r="AD191" s="70">
        <v>129.04</v>
      </c>
      <c r="AE191" s="94">
        <v>0</v>
      </c>
      <c r="AF191" s="70">
        <f>INT(((AE191*Valores!$C$2)*100)+0.5)/100</f>
        <v>0</v>
      </c>
      <c r="AG191" s="70">
        <f>Valores!$C$49</f>
        <v>262.5</v>
      </c>
      <c r="AH191" s="70">
        <f>Valores!$C$50</f>
        <v>75</v>
      </c>
      <c r="AI191" s="125">
        <f t="shared" si="21"/>
        <v>27691.94</v>
      </c>
      <c r="AJ191" s="72">
        <f>Valores!$C$7</f>
        <v>600</v>
      </c>
      <c r="AK191" s="126">
        <f t="shared" si="19"/>
        <v>600</v>
      </c>
      <c r="AL191" s="71">
        <f t="shared" si="20"/>
        <v>6969.1461999999992</v>
      </c>
      <c r="AM191" s="80">
        <v>110</v>
      </c>
      <c r="AN191" s="47"/>
      <c r="AO191" s="20"/>
      <c r="AP191" s="43" t="s">
        <v>465</v>
      </c>
    </row>
    <row r="192" spans="1:42" s="9" customFormat="1" ht="11.25" customHeight="1" x14ac:dyDescent="0.15">
      <c r="A192" s="9">
        <v>191</v>
      </c>
      <c r="D192" s="9" t="s">
        <v>353</v>
      </c>
      <c r="F192" s="10" t="s">
        <v>354</v>
      </c>
      <c r="G192" s="102">
        <v>971</v>
      </c>
      <c r="H192" s="7">
        <f>INT((G192*Valores!$C$2*100)+0.5)/100</f>
        <v>4381.83</v>
      </c>
      <c r="I192" s="115">
        <v>0</v>
      </c>
      <c r="J192" s="67">
        <f>INT((I192*Valores!$C$2*100)+0.5)/100</f>
        <v>0</v>
      </c>
      <c r="K192" s="131">
        <v>0</v>
      </c>
      <c r="L192" s="67">
        <f>INT((K192*Valores!$C$2*100)+0.5)/100</f>
        <v>0</v>
      </c>
      <c r="M192" s="99">
        <v>660</v>
      </c>
      <c r="N192" s="67">
        <f>INT((M192*Valores!$C$2*100)+0.5)/100</f>
        <v>2978.38</v>
      </c>
      <c r="O192" s="67">
        <f t="shared" si="22"/>
        <v>0</v>
      </c>
      <c r="P192" s="67">
        <f t="shared" si="23"/>
        <v>9432.2520000000004</v>
      </c>
      <c r="Q192" s="53">
        <f>Valores!$C$21</f>
        <v>2324</v>
      </c>
      <c r="R192" s="53">
        <f>Valores!$D$9</f>
        <v>2018.53</v>
      </c>
      <c r="S192" s="53">
        <f>Valores!$C$27</f>
        <v>1853</v>
      </c>
      <c r="T192" s="77">
        <f>Valores!$C$36</f>
        <v>500</v>
      </c>
      <c r="U192" s="67">
        <f>Valores!$C$23</f>
        <v>2079</v>
      </c>
      <c r="V192" s="67">
        <f t="shared" si="24"/>
        <v>4573.8</v>
      </c>
      <c r="W192" s="67">
        <v>0</v>
      </c>
      <c r="X192" s="67">
        <v>0</v>
      </c>
      <c r="Y192" s="95">
        <v>0</v>
      </c>
      <c r="Z192" s="67">
        <f>Y192*Valores!$C$2</f>
        <v>0</v>
      </c>
      <c r="AA192" s="67">
        <v>0</v>
      </c>
      <c r="AB192" s="79">
        <v>129.04</v>
      </c>
      <c r="AC192" s="67">
        <f t="shared" si="18"/>
        <v>0</v>
      </c>
      <c r="AD192" s="67">
        <v>129.04</v>
      </c>
      <c r="AE192" s="95">
        <v>0</v>
      </c>
      <c r="AF192" s="67">
        <f>INT(((AE192*Valores!$C$2)*100)+0.5)/100</f>
        <v>0</v>
      </c>
      <c r="AG192" s="67">
        <f>Valores!$C$49</f>
        <v>262.5</v>
      </c>
      <c r="AH192" s="67">
        <f>Valores!$C$50</f>
        <v>75</v>
      </c>
      <c r="AI192" s="123">
        <f t="shared" si="21"/>
        <v>28657.371999999999</v>
      </c>
      <c r="AJ192" s="69">
        <f>Valores!$C$6</f>
        <v>400</v>
      </c>
      <c r="AK192" s="124">
        <f t="shared" si="19"/>
        <v>400</v>
      </c>
      <c r="AL192" s="68">
        <f t="shared" si="20"/>
        <v>6991.1955599999992</v>
      </c>
      <c r="AM192" s="79">
        <v>0</v>
      </c>
      <c r="AN192" s="20"/>
      <c r="AO192" s="20">
        <v>18</v>
      </c>
      <c r="AP192" s="9" t="s">
        <v>465</v>
      </c>
    </row>
    <row r="193" spans="1:42" s="9" customFormat="1" ht="11.25" customHeight="1" x14ac:dyDescent="0.15">
      <c r="A193" s="9">
        <v>192</v>
      </c>
      <c r="D193" s="9" t="s">
        <v>355</v>
      </c>
      <c r="E193" s="9">
        <v>1</v>
      </c>
      <c r="F193" s="10" t="str">
        <f t="shared" ref="F193:F228" si="25">CONCATENATE("Hora Cátedra Enseñanza Superior ",E193," hs")</f>
        <v>Hora Cátedra Enseñanza Superior 1 hs</v>
      </c>
      <c r="G193" s="102">
        <f t="shared" ref="G193:G228" si="26">99*E193</f>
        <v>99</v>
      </c>
      <c r="H193" s="7">
        <f>INT((G193*Valores!$C$2*100)+0.5)/100</f>
        <v>446.76</v>
      </c>
      <c r="I193" s="115">
        <v>0</v>
      </c>
      <c r="J193" s="67">
        <f>INT((I193*Valores!$C$2*100)+0.5)/100</f>
        <v>0</v>
      </c>
      <c r="K193" s="131">
        <v>0</v>
      </c>
      <c r="L193" s="67">
        <f>INT((K193*Valores!$C$2*100)+0.5)/100</f>
        <v>0</v>
      </c>
      <c r="M193" s="99">
        <v>0</v>
      </c>
      <c r="N193" s="67">
        <f>INT((M193*Valores!$C$2*100)+0.5)/100</f>
        <v>0</v>
      </c>
      <c r="O193" s="67">
        <f t="shared" si="22"/>
        <v>0</v>
      </c>
      <c r="P193" s="67">
        <f t="shared" si="23"/>
        <v>561.11999999999989</v>
      </c>
      <c r="Q193" s="53">
        <f>Valores!$C$10*E193</f>
        <v>89</v>
      </c>
      <c r="R193" s="53">
        <f>IF(E193&lt;15,(Valores!$D$9/15*E193),Valores!$D$9)</f>
        <v>134.56866666666667</v>
      </c>
      <c r="S193" s="67">
        <v>0</v>
      </c>
      <c r="T193" s="69">
        <f>Valores!$C$43*E193</f>
        <v>20.84</v>
      </c>
      <c r="U193" s="53">
        <f>Valores!$C$11*E193</f>
        <v>45.5</v>
      </c>
      <c r="V193" s="67">
        <f t="shared" si="24"/>
        <v>100.10000000000001</v>
      </c>
      <c r="W193" s="67">
        <v>0</v>
      </c>
      <c r="X193" s="67">
        <v>0</v>
      </c>
      <c r="Y193" s="33">
        <v>0</v>
      </c>
      <c r="Z193" s="67">
        <f>Y193*Valores!$C$2</f>
        <v>0</v>
      </c>
      <c r="AA193" s="67">
        <v>0</v>
      </c>
      <c r="AB193" s="79">
        <f t="shared" ref="AB193:AB224" si="27">(5.17)*E193</f>
        <v>5.17</v>
      </c>
      <c r="AC193" s="67">
        <f t="shared" si="18"/>
        <v>0</v>
      </c>
      <c r="AD193" s="67">
        <f>INT((129.04/30*E193*100)+0.49)/100</f>
        <v>4.3</v>
      </c>
      <c r="AE193" s="95">
        <v>0</v>
      </c>
      <c r="AF193" s="67">
        <f>INT(((AE193*Valores!$C$2)*100)+0.5)/100</f>
        <v>0</v>
      </c>
      <c r="AG193" s="67">
        <f>Valores!$D$49*E193</f>
        <v>17.5</v>
      </c>
      <c r="AH193" s="67">
        <f>Valores!$D$50*E193</f>
        <v>5</v>
      </c>
      <c r="AI193" s="123">
        <f t="shared" si="21"/>
        <v>1384.3586666666665</v>
      </c>
      <c r="AJ193" s="69">
        <f>Valores!$C$13*E193</f>
        <v>16.670000000000002</v>
      </c>
      <c r="AK193" s="124">
        <f t="shared" si="19"/>
        <v>16.670000000000002</v>
      </c>
      <c r="AL193" s="68">
        <f t="shared" si="20"/>
        <v>335.07249333333328</v>
      </c>
      <c r="AM193" s="79">
        <f>9.17*E193</f>
        <v>9.17</v>
      </c>
      <c r="AN193" s="20"/>
      <c r="AO193" s="20">
        <f t="shared" ref="AO193:AO224" si="28">4*E193</f>
        <v>4</v>
      </c>
      <c r="AP193" s="9" t="s">
        <v>465</v>
      </c>
    </row>
    <row r="194" spans="1:42" s="9" customFormat="1" ht="11.25" customHeight="1" x14ac:dyDescent="0.15">
      <c r="A194" s="9">
        <v>193</v>
      </c>
      <c r="D194" s="9" t="s">
        <v>355</v>
      </c>
      <c r="E194" s="9">
        <v>2</v>
      </c>
      <c r="F194" s="10" t="str">
        <f t="shared" si="25"/>
        <v>Hora Cátedra Enseñanza Superior 2 hs</v>
      </c>
      <c r="G194" s="102">
        <f t="shared" si="26"/>
        <v>198</v>
      </c>
      <c r="H194" s="7">
        <f>INT((G194*Valores!$C$2*100)+0.5)/100</f>
        <v>893.51</v>
      </c>
      <c r="I194" s="115">
        <v>0</v>
      </c>
      <c r="J194" s="67">
        <f>INT((I194*Valores!$C$2*100)+0.5)/100</f>
        <v>0</v>
      </c>
      <c r="K194" s="131">
        <v>0</v>
      </c>
      <c r="L194" s="67">
        <f>INT((K194*Valores!$C$2*100)+0.5)/100</f>
        <v>0</v>
      </c>
      <c r="M194" s="99">
        <v>0</v>
      </c>
      <c r="N194" s="67">
        <f>INT((M194*Valores!$C$2*100)+0.5)/100</f>
        <v>0</v>
      </c>
      <c r="O194" s="67">
        <f t="shared" si="22"/>
        <v>0</v>
      </c>
      <c r="P194" s="67">
        <f t="shared" si="23"/>
        <v>1122.2279999999998</v>
      </c>
      <c r="Q194" s="53">
        <f>Valores!$C$10*E194</f>
        <v>178</v>
      </c>
      <c r="R194" s="53">
        <f>IF(E194&lt;15,(Valores!$D$9/15*E194),Valores!$D$9)</f>
        <v>269.13733333333334</v>
      </c>
      <c r="S194" s="67">
        <v>0</v>
      </c>
      <c r="T194" s="69">
        <f>Valores!$C$43*E194</f>
        <v>41.68</v>
      </c>
      <c r="U194" s="53">
        <f>Valores!$C$11*E194</f>
        <v>91</v>
      </c>
      <c r="V194" s="67">
        <f t="shared" si="24"/>
        <v>200.20000000000002</v>
      </c>
      <c r="W194" s="67">
        <v>0</v>
      </c>
      <c r="X194" s="67">
        <v>0</v>
      </c>
      <c r="Y194" s="33">
        <v>0</v>
      </c>
      <c r="Z194" s="67">
        <f>Y194*Valores!$C$2</f>
        <v>0</v>
      </c>
      <c r="AA194" s="67">
        <v>0</v>
      </c>
      <c r="AB194" s="79">
        <f t="shared" si="27"/>
        <v>10.34</v>
      </c>
      <c r="AC194" s="67">
        <f t="shared" si="18"/>
        <v>0</v>
      </c>
      <c r="AD194" s="67">
        <f t="shared" ref="AD194:AD222" si="29">4.3*E194</f>
        <v>8.6</v>
      </c>
      <c r="AE194" s="95">
        <v>0</v>
      </c>
      <c r="AF194" s="67">
        <f>INT(((AE194*Valores!$C$2)*100)+0.5)/100</f>
        <v>0</v>
      </c>
      <c r="AG194" s="67">
        <f>Valores!$D$49*E194</f>
        <v>35</v>
      </c>
      <c r="AH194" s="67">
        <f>Valores!$D$50*E194</f>
        <v>10</v>
      </c>
      <c r="AI194" s="123">
        <f t="shared" si="21"/>
        <v>2768.6953333333331</v>
      </c>
      <c r="AJ194" s="69">
        <f>Valores!$C$13*E194</f>
        <v>33.340000000000003</v>
      </c>
      <c r="AK194" s="124">
        <f t="shared" si="19"/>
        <v>33.340000000000003</v>
      </c>
      <c r="AL194" s="68">
        <f t="shared" si="20"/>
        <v>670.13992666666661</v>
      </c>
      <c r="AM194" s="79">
        <f>(9.17*E194)-0.01</f>
        <v>18.329999999999998</v>
      </c>
      <c r="AN194" s="20"/>
      <c r="AO194" s="47">
        <f t="shared" si="28"/>
        <v>8</v>
      </c>
      <c r="AP194" s="9" t="s">
        <v>465</v>
      </c>
    </row>
    <row r="195" spans="1:42" s="9" customFormat="1" ht="11.25" customHeight="1" x14ac:dyDescent="0.15">
      <c r="A195" s="9">
        <v>194</v>
      </c>
      <c r="D195" s="9" t="s">
        <v>355</v>
      </c>
      <c r="E195" s="9">
        <v>3</v>
      </c>
      <c r="F195" s="10" t="str">
        <f t="shared" si="25"/>
        <v>Hora Cátedra Enseñanza Superior 3 hs</v>
      </c>
      <c r="G195" s="102">
        <f t="shared" si="26"/>
        <v>297</v>
      </c>
      <c r="H195" s="7">
        <f>INT((G195*Valores!$C$2*100)+0.5)/100</f>
        <v>1340.27</v>
      </c>
      <c r="I195" s="115">
        <v>0</v>
      </c>
      <c r="J195" s="67">
        <f>INT((I195*Valores!$C$2*100)+0.5)/100</f>
        <v>0</v>
      </c>
      <c r="K195" s="131">
        <v>0</v>
      </c>
      <c r="L195" s="67">
        <f>INT((K195*Valores!$C$2*100)+0.5)/100</f>
        <v>0</v>
      </c>
      <c r="M195" s="99">
        <v>0</v>
      </c>
      <c r="N195" s="67">
        <f>INT((M195*Valores!$C$2*100)+0.5)/100</f>
        <v>0</v>
      </c>
      <c r="O195" s="67">
        <f t="shared" si="22"/>
        <v>0</v>
      </c>
      <c r="P195" s="67">
        <f t="shared" si="23"/>
        <v>1683.348</v>
      </c>
      <c r="Q195" s="53">
        <f>Valores!$C$10*E195</f>
        <v>267</v>
      </c>
      <c r="R195" s="53">
        <f>IF(E195&lt;15,(Valores!$D$9/15*E195),Valores!$D$9)</f>
        <v>403.70600000000002</v>
      </c>
      <c r="S195" s="67">
        <v>0</v>
      </c>
      <c r="T195" s="69">
        <f>Valores!$C$43*E195</f>
        <v>62.519999999999996</v>
      </c>
      <c r="U195" s="53">
        <f>Valores!$C$11*E195</f>
        <v>136.5</v>
      </c>
      <c r="V195" s="67">
        <f t="shared" si="24"/>
        <v>300.3</v>
      </c>
      <c r="W195" s="67">
        <v>0</v>
      </c>
      <c r="X195" s="67">
        <v>0</v>
      </c>
      <c r="Y195" s="33">
        <v>0</v>
      </c>
      <c r="Z195" s="67">
        <f>Y195*Valores!$C$2</f>
        <v>0</v>
      </c>
      <c r="AA195" s="67">
        <v>0</v>
      </c>
      <c r="AB195" s="79">
        <f t="shared" si="27"/>
        <v>15.51</v>
      </c>
      <c r="AC195" s="67">
        <f t="shared" si="18"/>
        <v>0</v>
      </c>
      <c r="AD195" s="67">
        <f t="shared" si="29"/>
        <v>12.899999999999999</v>
      </c>
      <c r="AE195" s="95">
        <v>0</v>
      </c>
      <c r="AF195" s="67">
        <f>INT(((AE195*Valores!$C$2)*100)+0.5)/100</f>
        <v>0</v>
      </c>
      <c r="AG195" s="67">
        <f>Valores!$D$49*E195</f>
        <v>52.5</v>
      </c>
      <c r="AH195" s="67">
        <f>Valores!$D$50*E195</f>
        <v>15</v>
      </c>
      <c r="AI195" s="123">
        <f t="shared" si="21"/>
        <v>4153.0540000000001</v>
      </c>
      <c r="AJ195" s="69">
        <f>Valores!$C$13*E195</f>
        <v>50.010000000000005</v>
      </c>
      <c r="AK195" s="124">
        <f t="shared" si="19"/>
        <v>50.010000000000005</v>
      </c>
      <c r="AL195" s="68">
        <f t="shared" si="20"/>
        <v>1005.21242</v>
      </c>
      <c r="AM195" s="79">
        <f>(9.17*E195)-0.01</f>
        <v>27.499999999999996</v>
      </c>
      <c r="AN195" s="20"/>
      <c r="AO195" s="20">
        <f t="shared" si="28"/>
        <v>12</v>
      </c>
      <c r="AP195" s="9" t="s">
        <v>465</v>
      </c>
    </row>
    <row r="196" spans="1:42" s="9" customFormat="1" ht="11.25" customHeight="1" x14ac:dyDescent="0.15">
      <c r="A196" s="43">
        <v>195</v>
      </c>
      <c r="B196" s="43" t="s">
        <v>460</v>
      </c>
      <c r="C196" s="43"/>
      <c r="D196" s="43" t="s">
        <v>355</v>
      </c>
      <c r="E196" s="43">
        <v>4</v>
      </c>
      <c r="F196" s="44" t="str">
        <f t="shared" si="25"/>
        <v>Hora Cátedra Enseñanza Superior 4 hs</v>
      </c>
      <c r="G196" s="103">
        <f t="shared" si="26"/>
        <v>396</v>
      </c>
      <c r="H196" s="110">
        <f>INT((G196*Valores!$C$2*100)+0.5)/100</f>
        <v>1787.03</v>
      </c>
      <c r="I196" s="114">
        <v>0</v>
      </c>
      <c r="J196" s="70">
        <f>INT((I196*Valores!$C$2*100)+0.5)/100</f>
        <v>0</v>
      </c>
      <c r="K196" s="132">
        <v>0</v>
      </c>
      <c r="L196" s="70">
        <f>INT((K196*Valores!$C$2*100)+0.5)/100</f>
        <v>0</v>
      </c>
      <c r="M196" s="100">
        <v>0</v>
      </c>
      <c r="N196" s="70">
        <f>INT((M196*Valores!$C$2*100)+0.5)/100</f>
        <v>0</v>
      </c>
      <c r="O196" s="70">
        <f t="shared" si="22"/>
        <v>0</v>
      </c>
      <c r="P196" s="70">
        <f t="shared" si="23"/>
        <v>2244.4679999999998</v>
      </c>
      <c r="Q196" s="75">
        <f>Valores!$C$10*E196</f>
        <v>356</v>
      </c>
      <c r="R196" s="75">
        <f>IF(E196&lt;15,(Valores!$D$9/15*E196),Valores!$D$9)</f>
        <v>538.27466666666669</v>
      </c>
      <c r="S196" s="70">
        <v>0</v>
      </c>
      <c r="T196" s="72">
        <f>Valores!$C$43*E196</f>
        <v>83.36</v>
      </c>
      <c r="U196" s="75">
        <f>Valores!$C$11*E196</f>
        <v>182</v>
      </c>
      <c r="V196" s="70">
        <f t="shared" si="24"/>
        <v>400.40000000000003</v>
      </c>
      <c r="W196" s="70">
        <v>0</v>
      </c>
      <c r="X196" s="70">
        <v>0</v>
      </c>
      <c r="Y196" s="52">
        <v>0</v>
      </c>
      <c r="Z196" s="70">
        <f>Y196*Valores!$C$2</f>
        <v>0</v>
      </c>
      <c r="AA196" s="70">
        <v>0</v>
      </c>
      <c r="AB196" s="80">
        <f t="shared" si="27"/>
        <v>20.68</v>
      </c>
      <c r="AC196" s="70">
        <f t="shared" si="18"/>
        <v>0</v>
      </c>
      <c r="AD196" s="70">
        <f t="shared" si="29"/>
        <v>17.2</v>
      </c>
      <c r="AE196" s="94">
        <v>0</v>
      </c>
      <c r="AF196" s="70">
        <f>INT(((AE196*Valores!$C$2)*100)+0.5)/100</f>
        <v>0</v>
      </c>
      <c r="AG196" s="70">
        <f>Valores!$D$49*E196</f>
        <v>70</v>
      </c>
      <c r="AH196" s="70">
        <f>Valores!$D$50*E196</f>
        <v>20</v>
      </c>
      <c r="AI196" s="125">
        <f t="shared" si="21"/>
        <v>5537.4126666666652</v>
      </c>
      <c r="AJ196" s="72">
        <f>Valores!$C$13*E196</f>
        <v>66.680000000000007</v>
      </c>
      <c r="AK196" s="126">
        <f t="shared" si="19"/>
        <v>66.680000000000007</v>
      </c>
      <c r="AL196" s="71">
        <f t="shared" si="20"/>
        <v>1340.284913333333</v>
      </c>
      <c r="AM196" s="80">
        <f>(9.17*E196)-0.01</f>
        <v>36.67</v>
      </c>
      <c r="AN196" s="47"/>
      <c r="AO196" s="20">
        <f t="shared" si="28"/>
        <v>16</v>
      </c>
      <c r="AP196" s="43" t="s">
        <v>465</v>
      </c>
    </row>
    <row r="197" spans="1:42" s="9" customFormat="1" ht="11.25" customHeight="1" x14ac:dyDescent="0.15">
      <c r="A197" s="9">
        <v>196</v>
      </c>
      <c r="D197" s="9" t="s">
        <v>355</v>
      </c>
      <c r="E197" s="9">
        <v>5</v>
      </c>
      <c r="F197" s="10" t="str">
        <f t="shared" si="25"/>
        <v>Hora Cátedra Enseñanza Superior 5 hs</v>
      </c>
      <c r="G197" s="102">
        <f t="shared" si="26"/>
        <v>495</v>
      </c>
      <c r="H197" s="7">
        <f>INT((G197*Valores!$C$2*100)+0.5)/100</f>
        <v>2233.79</v>
      </c>
      <c r="I197" s="115">
        <v>0</v>
      </c>
      <c r="J197" s="67">
        <f>INT((I197*Valores!$C$2*100)+0.5)/100</f>
        <v>0</v>
      </c>
      <c r="K197" s="131">
        <v>0</v>
      </c>
      <c r="L197" s="67">
        <f>INT((K197*Valores!$C$2*100)+0.5)/100</f>
        <v>0</v>
      </c>
      <c r="M197" s="99">
        <v>0</v>
      </c>
      <c r="N197" s="67">
        <f>INT((M197*Valores!$C$2*100)+0.5)/100</f>
        <v>0</v>
      </c>
      <c r="O197" s="67">
        <f t="shared" si="22"/>
        <v>0</v>
      </c>
      <c r="P197" s="67">
        <f t="shared" si="23"/>
        <v>2805.5879999999997</v>
      </c>
      <c r="Q197" s="53">
        <f>Valores!$C$10*E197</f>
        <v>445</v>
      </c>
      <c r="R197" s="53">
        <f>IF(E197&lt;15,(Valores!$D$9/15*E197),Valores!$D$9)</f>
        <v>672.84333333333336</v>
      </c>
      <c r="S197" s="67">
        <v>0</v>
      </c>
      <c r="T197" s="69">
        <f>Valores!$C$43*E197</f>
        <v>104.2</v>
      </c>
      <c r="U197" s="53">
        <f>Valores!$C$11*E197</f>
        <v>227.5</v>
      </c>
      <c r="V197" s="67">
        <f t="shared" si="24"/>
        <v>500.50000000000006</v>
      </c>
      <c r="W197" s="67">
        <v>0</v>
      </c>
      <c r="X197" s="67">
        <v>0</v>
      </c>
      <c r="Y197" s="33">
        <v>0</v>
      </c>
      <c r="Z197" s="67">
        <f>Y197*Valores!$C$2</f>
        <v>0</v>
      </c>
      <c r="AA197" s="67">
        <v>0</v>
      </c>
      <c r="AB197" s="79">
        <f t="shared" si="27"/>
        <v>25.85</v>
      </c>
      <c r="AC197" s="67">
        <f t="shared" si="18"/>
        <v>0</v>
      </c>
      <c r="AD197" s="67">
        <f t="shared" si="29"/>
        <v>21.5</v>
      </c>
      <c r="AE197" s="95">
        <v>0</v>
      </c>
      <c r="AF197" s="67">
        <f>INT(((AE197*Valores!$C$2)*100)+0.5)/100</f>
        <v>0</v>
      </c>
      <c r="AG197" s="67">
        <f>Valores!$D$49*E197</f>
        <v>87.5</v>
      </c>
      <c r="AH197" s="67">
        <f>Valores!$D$50*E197</f>
        <v>25</v>
      </c>
      <c r="AI197" s="123">
        <f t="shared" si="21"/>
        <v>6921.7713333333331</v>
      </c>
      <c r="AJ197" s="69">
        <f>Valores!$C$13*E197</f>
        <v>83.350000000000009</v>
      </c>
      <c r="AK197" s="124">
        <f t="shared" si="19"/>
        <v>83.350000000000009</v>
      </c>
      <c r="AL197" s="68">
        <f t="shared" si="20"/>
        <v>1675.3574066666663</v>
      </c>
      <c r="AM197" s="79">
        <f>(9.17*E197)-0.02</f>
        <v>45.83</v>
      </c>
      <c r="AN197" s="20"/>
      <c r="AO197" s="20">
        <f t="shared" si="28"/>
        <v>20</v>
      </c>
      <c r="AP197" s="9" t="s">
        <v>465</v>
      </c>
    </row>
    <row r="198" spans="1:42" s="9" customFormat="1" ht="11.25" customHeight="1" x14ac:dyDescent="0.15">
      <c r="A198" s="9">
        <v>197</v>
      </c>
      <c r="D198" s="9" t="s">
        <v>355</v>
      </c>
      <c r="E198" s="9">
        <v>6</v>
      </c>
      <c r="F198" s="10" t="str">
        <f t="shared" si="25"/>
        <v>Hora Cátedra Enseñanza Superior 6 hs</v>
      </c>
      <c r="G198" s="102">
        <f t="shared" si="26"/>
        <v>594</v>
      </c>
      <c r="H198" s="7">
        <f>INT((G198*Valores!$C$2*100)+0.5)/100</f>
        <v>2680.54</v>
      </c>
      <c r="I198" s="115">
        <v>0</v>
      </c>
      <c r="J198" s="67">
        <f>INT((I198*Valores!$C$2*100)+0.5)/100</f>
        <v>0</v>
      </c>
      <c r="K198" s="131">
        <v>0</v>
      </c>
      <c r="L198" s="67">
        <f>INT((K198*Valores!$C$2*100)+0.5)/100</f>
        <v>0</v>
      </c>
      <c r="M198" s="99">
        <v>0</v>
      </c>
      <c r="N198" s="67">
        <f>INT((M198*Valores!$C$2*100)+0.5)/100</f>
        <v>0</v>
      </c>
      <c r="O198" s="67">
        <f t="shared" si="22"/>
        <v>0</v>
      </c>
      <c r="P198" s="67">
        <f t="shared" si="23"/>
        <v>3366.6959999999999</v>
      </c>
      <c r="Q198" s="53">
        <f>Valores!$C$10*E198</f>
        <v>534</v>
      </c>
      <c r="R198" s="53">
        <f>IF(E198&lt;15,(Valores!$D$9/15*E198),Valores!$D$9)</f>
        <v>807.41200000000003</v>
      </c>
      <c r="S198" s="67">
        <v>0</v>
      </c>
      <c r="T198" s="69">
        <f>Valores!$C$43*E198</f>
        <v>125.03999999999999</v>
      </c>
      <c r="U198" s="53">
        <f>Valores!$C$11*E198</f>
        <v>273</v>
      </c>
      <c r="V198" s="67">
        <f t="shared" si="24"/>
        <v>600.6</v>
      </c>
      <c r="W198" s="67">
        <v>0</v>
      </c>
      <c r="X198" s="67">
        <v>0</v>
      </c>
      <c r="Y198" s="33">
        <v>0</v>
      </c>
      <c r="Z198" s="67">
        <f>Y198*Valores!$C$2</f>
        <v>0</v>
      </c>
      <c r="AA198" s="67">
        <v>0</v>
      </c>
      <c r="AB198" s="79">
        <f t="shared" si="27"/>
        <v>31.02</v>
      </c>
      <c r="AC198" s="67">
        <f t="shared" si="18"/>
        <v>0</v>
      </c>
      <c r="AD198" s="67">
        <f t="shared" si="29"/>
        <v>25.799999999999997</v>
      </c>
      <c r="AE198" s="95">
        <v>0</v>
      </c>
      <c r="AF198" s="67">
        <f>INT(((AE198*Valores!$C$2)*100)+0.5)/100</f>
        <v>0</v>
      </c>
      <c r="AG198" s="67">
        <f>Valores!$D$49*E198</f>
        <v>105</v>
      </c>
      <c r="AH198" s="67">
        <f>Valores!$D$50*E198</f>
        <v>30</v>
      </c>
      <c r="AI198" s="123">
        <f t="shared" si="21"/>
        <v>8306.1080000000002</v>
      </c>
      <c r="AJ198" s="69">
        <f>Valores!$C$13*E198</f>
        <v>100.02000000000001</v>
      </c>
      <c r="AK198" s="124">
        <f t="shared" si="19"/>
        <v>100.02000000000001</v>
      </c>
      <c r="AL198" s="68">
        <f t="shared" si="20"/>
        <v>2010.4248399999999</v>
      </c>
      <c r="AM198" s="79">
        <f>(9.17*E198)-0.02</f>
        <v>54.999999999999993</v>
      </c>
      <c r="AN198" s="20"/>
      <c r="AO198" s="20">
        <f t="shared" si="28"/>
        <v>24</v>
      </c>
      <c r="AP198" s="9" t="s">
        <v>465</v>
      </c>
    </row>
    <row r="199" spans="1:42" s="9" customFormat="1" ht="11.25" customHeight="1" x14ac:dyDescent="0.15">
      <c r="A199" s="9">
        <v>198</v>
      </c>
      <c r="D199" s="9" t="s">
        <v>355</v>
      </c>
      <c r="E199" s="9">
        <v>7</v>
      </c>
      <c r="F199" s="10" t="str">
        <f t="shared" si="25"/>
        <v>Hora Cátedra Enseñanza Superior 7 hs</v>
      </c>
      <c r="G199" s="102">
        <f t="shared" si="26"/>
        <v>693</v>
      </c>
      <c r="H199" s="7">
        <f>INT((G199*Valores!$C$2*100)+0.5)/100</f>
        <v>3127.3</v>
      </c>
      <c r="I199" s="115">
        <v>0</v>
      </c>
      <c r="J199" s="67">
        <f>INT((I199*Valores!$C$2*100)+0.5)/100</f>
        <v>0</v>
      </c>
      <c r="K199" s="131">
        <v>0</v>
      </c>
      <c r="L199" s="67">
        <f>INT((K199*Valores!$C$2*100)+0.5)/100</f>
        <v>0</v>
      </c>
      <c r="M199" s="99">
        <v>0</v>
      </c>
      <c r="N199" s="67">
        <f>INT((M199*Valores!$C$2*100)+0.5)/100</f>
        <v>0</v>
      </c>
      <c r="O199" s="67">
        <f t="shared" si="22"/>
        <v>0</v>
      </c>
      <c r="P199" s="67">
        <f t="shared" si="23"/>
        <v>3927.8160000000003</v>
      </c>
      <c r="Q199" s="53">
        <f>Valores!$C$10*E199</f>
        <v>623</v>
      </c>
      <c r="R199" s="53">
        <f>IF(E199&lt;15,(Valores!$D$9/15*E199),Valores!$D$9)</f>
        <v>941.98066666666671</v>
      </c>
      <c r="S199" s="67">
        <v>0</v>
      </c>
      <c r="T199" s="69">
        <f>Valores!$C$43*E199</f>
        <v>145.88</v>
      </c>
      <c r="U199" s="53">
        <f>Valores!$C$11*E199</f>
        <v>318.5</v>
      </c>
      <c r="V199" s="67">
        <f t="shared" si="24"/>
        <v>700.7</v>
      </c>
      <c r="W199" s="67">
        <v>0</v>
      </c>
      <c r="X199" s="67">
        <v>0</v>
      </c>
      <c r="Y199" s="33">
        <v>0</v>
      </c>
      <c r="Z199" s="67">
        <f>Y199*Valores!$C$2</f>
        <v>0</v>
      </c>
      <c r="AA199" s="67">
        <v>0</v>
      </c>
      <c r="AB199" s="79">
        <f t="shared" si="27"/>
        <v>36.19</v>
      </c>
      <c r="AC199" s="67">
        <f t="shared" ref="AC199:AC262" si="30">SUM(H199,J199,L199,Z199,T199,N199)*$H$3/100</f>
        <v>0</v>
      </c>
      <c r="AD199" s="67">
        <f t="shared" si="29"/>
        <v>30.099999999999998</v>
      </c>
      <c r="AE199" s="95">
        <v>0</v>
      </c>
      <c r="AF199" s="67">
        <f>INT(((AE199*Valores!$C$2)*100)+0.5)/100</f>
        <v>0</v>
      </c>
      <c r="AG199" s="67">
        <f>Valores!$D$49*E199</f>
        <v>122.5</v>
      </c>
      <c r="AH199" s="67">
        <f>Valores!$D$50*E199</f>
        <v>35</v>
      </c>
      <c r="AI199" s="123">
        <f t="shared" si="21"/>
        <v>9690.4666666666672</v>
      </c>
      <c r="AJ199" s="69">
        <f>Valores!$C$13*E199</f>
        <v>116.69000000000001</v>
      </c>
      <c r="AK199" s="124">
        <f t="shared" ref="AK199:AK262" si="31">SUM(AJ199:AJ199)</f>
        <v>116.69000000000001</v>
      </c>
      <c r="AL199" s="68">
        <f t="shared" ref="AL199:AL262" si="32">(AI199*(0.16+0.025+0.045)+AK199)</f>
        <v>2345.4973333333332</v>
      </c>
      <c r="AM199" s="79">
        <f>(9.17*E199)-0.02</f>
        <v>64.17</v>
      </c>
      <c r="AN199" s="20"/>
      <c r="AO199" s="47">
        <f t="shared" si="28"/>
        <v>28</v>
      </c>
      <c r="AP199" s="9" t="s">
        <v>465</v>
      </c>
    </row>
    <row r="200" spans="1:42" s="9" customFormat="1" ht="11.25" customHeight="1" x14ac:dyDescent="0.15">
      <c r="A200" s="9">
        <v>199</v>
      </c>
      <c r="D200" s="9" t="s">
        <v>355</v>
      </c>
      <c r="E200" s="9">
        <v>8</v>
      </c>
      <c r="F200" s="10" t="str">
        <f t="shared" si="25"/>
        <v>Hora Cátedra Enseñanza Superior 8 hs</v>
      </c>
      <c r="G200" s="102">
        <f t="shared" si="26"/>
        <v>792</v>
      </c>
      <c r="H200" s="7">
        <f>INT((G200*Valores!$C$2*100)+0.5)/100</f>
        <v>3574.06</v>
      </c>
      <c r="I200" s="115">
        <v>0</v>
      </c>
      <c r="J200" s="67">
        <f>INT((I200*Valores!$C$2*100)+0.5)/100</f>
        <v>0</v>
      </c>
      <c r="K200" s="131">
        <v>0</v>
      </c>
      <c r="L200" s="67">
        <f>INT((K200*Valores!$C$2*100)+0.5)/100</f>
        <v>0</v>
      </c>
      <c r="M200" s="99">
        <v>0</v>
      </c>
      <c r="N200" s="67">
        <f>INT((M200*Valores!$C$2*100)+0.5)/100</f>
        <v>0</v>
      </c>
      <c r="O200" s="67">
        <f t="shared" si="22"/>
        <v>0</v>
      </c>
      <c r="P200" s="67">
        <f t="shared" si="23"/>
        <v>4488.9359999999997</v>
      </c>
      <c r="Q200" s="53">
        <f>Valores!$C$10*E200</f>
        <v>712</v>
      </c>
      <c r="R200" s="53">
        <f>IF(E200&lt;15,(Valores!$D$9/15*E200),Valores!$D$9)</f>
        <v>1076.5493333333334</v>
      </c>
      <c r="S200" s="67">
        <v>0</v>
      </c>
      <c r="T200" s="69">
        <f>Valores!$C$43*E200</f>
        <v>166.72</v>
      </c>
      <c r="U200" s="53">
        <f>Valores!$C$11*E200</f>
        <v>364</v>
      </c>
      <c r="V200" s="67">
        <f t="shared" si="24"/>
        <v>800.80000000000007</v>
      </c>
      <c r="W200" s="67">
        <v>0</v>
      </c>
      <c r="X200" s="67">
        <v>0</v>
      </c>
      <c r="Y200" s="33">
        <v>0</v>
      </c>
      <c r="Z200" s="67">
        <f>Y200*Valores!$C$2</f>
        <v>0</v>
      </c>
      <c r="AA200" s="67">
        <v>0</v>
      </c>
      <c r="AB200" s="79">
        <f t="shared" si="27"/>
        <v>41.36</v>
      </c>
      <c r="AC200" s="67">
        <f t="shared" si="30"/>
        <v>0</v>
      </c>
      <c r="AD200" s="67">
        <f t="shared" si="29"/>
        <v>34.4</v>
      </c>
      <c r="AE200" s="95">
        <v>0</v>
      </c>
      <c r="AF200" s="67">
        <f>INT(((AE200*Valores!$C$2)*100)+0.5)/100</f>
        <v>0</v>
      </c>
      <c r="AG200" s="67">
        <f>Valores!$D$49*E200</f>
        <v>140</v>
      </c>
      <c r="AH200" s="67">
        <f>Valores!$D$50*E200</f>
        <v>40</v>
      </c>
      <c r="AI200" s="123">
        <f t="shared" ref="AI200:AI263" si="33">SUM(H200,J200,L200,N200,O200,P200,Q200,R200,S200,V200,W200,X200,Z200,AA200,AB200,AC200,AD200,AF200,T200,AG200,AH200)</f>
        <v>11074.82533333333</v>
      </c>
      <c r="AJ200" s="69">
        <f>Valores!$C$13*E200</f>
        <v>133.36000000000001</v>
      </c>
      <c r="AK200" s="124">
        <f t="shared" si="31"/>
        <v>133.36000000000001</v>
      </c>
      <c r="AL200" s="68">
        <f t="shared" si="32"/>
        <v>2680.5698266666659</v>
      </c>
      <c r="AM200" s="79">
        <f>(9.17*E200)-0.03</f>
        <v>73.33</v>
      </c>
      <c r="AN200" s="20"/>
      <c r="AO200" s="20">
        <f t="shared" si="28"/>
        <v>32</v>
      </c>
      <c r="AP200" s="9" t="s">
        <v>465</v>
      </c>
    </row>
    <row r="201" spans="1:42" s="9" customFormat="1" ht="11.25" customHeight="1" x14ac:dyDescent="0.15">
      <c r="A201" s="43">
        <v>200</v>
      </c>
      <c r="B201" s="43" t="s">
        <v>460</v>
      </c>
      <c r="C201" s="43"/>
      <c r="D201" s="43" t="s">
        <v>355</v>
      </c>
      <c r="E201" s="43">
        <v>9</v>
      </c>
      <c r="F201" s="44" t="str">
        <f t="shared" si="25"/>
        <v>Hora Cátedra Enseñanza Superior 9 hs</v>
      </c>
      <c r="G201" s="103">
        <f t="shared" si="26"/>
        <v>891</v>
      </c>
      <c r="H201" s="110">
        <f>INT((G201*Valores!$C$2*100)+0.5)/100</f>
        <v>4020.82</v>
      </c>
      <c r="I201" s="114">
        <v>0</v>
      </c>
      <c r="J201" s="70">
        <f>INT((I201*Valores!$C$2*100)+0.5)/100</f>
        <v>0</v>
      </c>
      <c r="K201" s="132">
        <v>0</v>
      </c>
      <c r="L201" s="70">
        <f>INT((K201*Valores!$C$2*100)+0.5)/100</f>
        <v>0</v>
      </c>
      <c r="M201" s="100">
        <v>0</v>
      </c>
      <c r="N201" s="70">
        <f>INT((M201*Valores!$C$2*100)+0.5)/100</f>
        <v>0</v>
      </c>
      <c r="O201" s="70">
        <f t="shared" si="22"/>
        <v>0</v>
      </c>
      <c r="P201" s="70">
        <f t="shared" si="23"/>
        <v>5050.0559999999996</v>
      </c>
      <c r="Q201" s="75">
        <f>Valores!$C$10*E201</f>
        <v>801</v>
      </c>
      <c r="R201" s="75">
        <f>IF(E201&lt;15,(Valores!$D$9/15*E201),Valores!$D$9)</f>
        <v>1211.1179999999999</v>
      </c>
      <c r="S201" s="70">
        <v>0</v>
      </c>
      <c r="T201" s="72">
        <f>Valores!$C$43*E201</f>
        <v>187.56</v>
      </c>
      <c r="U201" s="75">
        <f>Valores!$C$11*E201</f>
        <v>409.5</v>
      </c>
      <c r="V201" s="70">
        <f t="shared" si="24"/>
        <v>900.90000000000009</v>
      </c>
      <c r="W201" s="70">
        <v>0</v>
      </c>
      <c r="X201" s="70">
        <v>0</v>
      </c>
      <c r="Y201" s="52">
        <v>0</v>
      </c>
      <c r="Z201" s="70">
        <f>Y201*Valores!$C$2</f>
        <v>0</v>
      </c>
      <c r="AA201" s="70">
        <v>0</v>
      </c>
      <c r="AB201" s="80">
        <f t="shared" si="27"/>
        <v>46.53</v>
      </c>
      <c r="AC201" s="70">
        <f t="shared" si="30"/>
        <v>0</v>
      </c>
      <c r="AD201" s="70">
        <f t="shared" si="29"/>
        <v>38.699999999999996</v>
      </c>
      <c r="AE201" s="94">
        <v>0</v>
      </c>
      <c r="AF201" s="70">
        <f>INT(((AE201*Valores!$C$2)*100)+0.5)/100</f>
        <v>0</v>
      </c>
      <c r="AG201" s="70">
        <f>Valores!$D$49*E201</f>
        <v>157.5</v>
      </c>
      <c r="AH201" s="70">
        <f>Valores!$D$50*E201</f>
        <v>45</v>
      </c>
      <c r="AI201" s="125">
        <f t="shared" si="33"/>
        <v>12459.184000000001</v>
      </c>
      <c r="AJ201" s="72">
        <f>Valores!$C$13*E201</f>
        <v>150.03000000000003</v>
      </c>
      <c r="AK201" s="126">
        <f t="shared" si="31"/>
        <v>150.03000000000003</v>
      </c>
      <c r="AL201" s="71">
        <f t="shared" si="32"/>
        <v>3015.6423200000004</v>
      </c>
      <c r="AM201" s="80">
        <f>(9.17*E201)-0.03</f>
        <v>82.5</v>
      </c>
      <c r="AN201" s="47"/>
      <c r="AO201" s="20">
        <f t="shared" si="28"/>
        <v>36</v>
      </c>
      <c r="AP201" s="43" t="s">
        <v>465</v>
      </c>
    </row>
    <row r="202" spans="1:42" s="9" customFormat="1" ht="11.25" customHeight="1" x14ac:dyDescent="0.15">
      <c r="A202" s="9">
        <v>201</v>
      </c>
      <c r="D202" s="9" t="s">
        <v>355</v>
      </c>
      <c r="E202" s="9">
        <v>10</v>
      </c>
      <c r="F202" s="10" t="str">
        <f t="shared" si="25"/>
        <v>Hora Cátedra Enseñanza Superior 10 hs</v>
      </c>
      <c r="G202" s="102">
        <f t="shared" si="26"/>
        <v>990</v>
      </c>
      <c r="H202" s="7">
        <f>INT((G202*Valores!$C$2*100)+0.5)/100</f>
        <v>4467.57</v>
      </c>
      <c r="I202" s="115">
        <v>0</v>
      </c>
      <c r="J202" s="67">
        <f>INT((I202*Valores!$C$2*100)+0.5)/100</f>
        <v>0</v>
      </c>
      <c r="K202" s="131">
        <v>0</v>
      </c>
      <c r="L202" s="67">
        <f>INT((K202*Valores!$C$2*100)+0.5)/100</f>
        <v>0</v>
      </c>
      <c r="M202" s="99">
        <v>0</v>
      </c>
      <c r="N202" s="67">
        <f>INT((M202*Valores!$C$2*100)+0.5)/100</f>
        <v>0</v>
      </c>
      <c r="O202" s="67">
        <f t="shared" ref="O202:O265" si="34">IF($J$2=0,IF(D202&lt;&gt;"13-930",(SUM(H202,J202,L202,N202,Z202,U202,T202)*$O$2),0),0)</f>
        <v>0</v>
      </c>
      <c r="P202" s="67">
        <f t="shared" ref="P202:P265" si="35">SUM(H202,J202,L202,N202,Z202,T202)*$J$2</f>
        <v>5611.1639999999989</v>
      </c>
      <c r="Q202" s="53">
        <f>Valores!$C$10*E202</f>
        <v>890</v>
      </c>
      <c r="R202" s="53">
        <f>IF(E202&lt;15,(Valores!$D$9/15*E202),Valores!$D$9)</f>
        <v>1345.6866666666667</v>
      </c>
      <c r="S202" s="67">
        <v>0</v>
      </c>
      <c r="T202" s="69">
        <f>Valores!$C$43*E202</f>
        <v>208.4</v>
      </c>
      <c r="U202" s="53">
        <f>Valores!$C$11*E202</f>
        <v>455</v>
      </c>
      <c r="V202" s="67">
        <f t="shared" si="24"/>
        <v>1001.0000000000001</v>
      </c>
      <c r="W202" s="67">
        <v>0</v>
      </c>
      <c r="X202" s="67">
        <v>0</v>
      </c>
      <c r="Y202" s="33">
        <v>0</v>
      </c>
      <c r="Z202" s="67">
        <f>Y202*Valores!$C$2</f>
        <v>0</v>
      </c>
      <c r="AA202" s="67">
        <v>0</v>
      </c>
      <c r="AB202" s="79">
        <f t="shared" si="27"/>
        <v>51.7</v>
      </c>
      <c r="AC202" s="67">
        <f t="shared" si="30"/>
        <v>0</v>
      </c>
      <c r="AD202" s="67">
        <f t="shared" si="29"/>
        <v>43</v>
      </c>
      <c r="AE202" s="95">
        <v>0</v>
      </c>
      <c r="AF202" s="67">
        <f>INT(((AE202*Valores!$C$2)*100)+0.5)/100</f>
        <v>0</v>
      </c>
      <c r="AG202" s="67">
        <f>Valores!$D$49*E202</f>
        <v>175</v>
      </c>
      <c r="AH202" s="67">
        <f>Valores!$D$50*E202</f>
        <v>50</v>
      </c>
      <c r="AI202" s="123">
        <f t="shared" si="33"/>
        <v>13843.520666666665</v>
      </c>
      <c r="AJ202" s="69">
        <f>Valores!$C$13*E202</f>
        <v>166.70000000000002</v>
      </c>
      <c r="AK202" s="124">
        <f t="shared" si="31"/>
        <v>166.70000000000002</v>
      </c>
      <c r="AL202" s="68">
        <f t="shared" si="32"/>
        <v>3350.7097533333326</v>
      </c>
      <c r="AM202" s="79">
        <f>(9.17*E202)-0.03</f>
        <v>91.67</v>
      </c>
      <c r="AN202" s="20"/>
      <c r="AO202" s="20">
        <f t="shared" si="28"/>
        <v>40</v>
      </c>
      <c r="AP202" s="9" t="s">
        <v>465</v>
      </c>
    </row>
    <row r="203" spans="1:42" s="9" customFormat="1" ht="11.25" customHeight="1" x14ac:dyDescent="0.15">
      <c r="A203" s="9">
        <v>202</v>
      </c>
      <c r="D203" s="9" t="s">
        <v>355</v>
      </c>
      <c r="E203" s="9">
        <v>11</v>
      </c>
      <c r="F203" s="10" t="str">
        <f t="shared" si="25"/>
        <v>Hora Cátedra Enseñanza Superior 11 hs</v>
      </c>
      <c r="G203" s="102">
        <f t="shared" si="26"/>
        <v>1089</v>
      </c>
      <c r="H203" s="7">
        <f>INT((G203*Valores!$C$2*100)+0.5)/100</f>
        <v>4914.33</v>
      </c>
      <c r="I203" s="115">
        <v>0</v>
      </c>
      <c r="J203" s="67">
        <f>INT((I203*Valores!$C$2*100)+0.5)/100</f>
        <v>0</v>
      </c>
      <c r="K203" s="131">
        <v>0</v>
      </c>
      <c r="L203" s="67">
        <f>INT((K203*Valores!$C$2*100)+0.5)/100</f>
        <v>0</v>
      </c>
      <c r="M203" s="99">
        <v>0</v>
      </c>
      <c r="N203" s="67">
        <f>INT((M203*Valores!$C$2*100)+0.5)/100</f>
        <v>0</v>
      </c>
      <c r="O203" s="67">
        <f t="shared" si="34"/>
        <v>0</v>
      </c>
      <c r="P203" s="67">
        <f t="shared" si="35"/>
        <v>6172.2839999999997</v>
      </c>
      <c r="Q203" s="53">
        <f>Valores!$C$10*E203</f>
        <v>979</v>
      </c>
      <c r="R203" s="53">
        <f>IF(E203&lt;15,(Valores!$D$9/15*E203),Valores!$D$9)</f>
        <v>1480.2553333333335</v>
      </c>
      <c r="S203" s="67">
        <v>0</v>
      </c>
      <c r="T203" s="69">
        <f>Valores!$C$43*E203</f>
        <v>229.24</v>
      </c>
      <c r="U203" s="53">
        <f>Valores!$C$11*E203</f>
        <v>500.5</v>
      </c>
      <c r="V203" s="67">
        <f t="shared" si="24"/>
        <v>1101.1000000000001</v>
      </c>
      <c r="W203" s="67">
        <v>0</v>
      </c>
      <c r="X203" s="67">
        <v>0</v>
      </c>
      <c r="Y203" s="33">
        <v>0</v>
      </c>
      <c r="Z203" s="67">
        <f>Y203*Valores!$C$2</f>
        <v>0</v>
      </c>
      <c r="AA203" s="67">
        <v>0</v>
      </c>
      <c r="AB203" s="79">
        <f t="shared" si="27"/>
        <v>56.87</v>
      </c>
      <c r="AC203" s="67">
        <f t="shared" si="30"/>
        <v>0</v>
      </c>
      <c r="AD203" s="67">
        <f t="shared" si="29"/>
        <v>47.3</v>
      </c>
      <c r="AE203" s="95">
        <v>0</v>
      </c>
      <c r="AF203" s="67">
        <f>INT(((AE203*Valores!$C$2)*100)+0.5)/100</f>
        <v>0</v>
      </c>
      <c r="AG203" s="67">
        <f>Valores!$D$49*E203</f>
        <v>192.5</v>
      </c>
      <c r="AH203" s="67">
        <f>Valores!$D$50*E203</f>
        <v>55</v>
      </c>
      <c r="AI203" s="123">
        <f t="shared" si="33"/>
        <v>15227.879333333332</v>
      </c>
      <c r="AJ203" s="69">
        <f>Valores!$C$13*E203</f>
        <v>183.37</v>
      </c>
      <c r="AK203" s="124">
        <f t="shared" si="31"/>
        <v>183.37</v>
      </c>
      <c r="AL203" s="68">
        <f t="shared" si="32"/>
        <v>3685.7822466666662</v>
      </c>
      <c r="AM203" s="79">
        <f>(9.17*E203)-0.04</f>
        <v>100.83</v>
      </c>
      <c r="AN203" s="20"/>
      <c r="AO203" s="20">
        <f t="shared" si="28"/>
        <v>44</v>
      </c>
      <c r="AP203" s="9" t="s">
        <v>465</v>
      </c>
    </row>
    <row r="204" spans="1:42" s="9" customFormat="1" ht="11.25" customHeight="1" x14ac:dyDescent="0.15">
      <c r="A204" s="9">
        <v>203</v>
      </c>
      <c r="D204" s="9" t="s">
        <v>355</v>
      </c>
      <c r="E204" s="9">
        <v>12</v>
      </c>
      <c r="F204" s="10" t="str">
        <f t="shared" si="25"/>
        <v>Hora Cátedra Enseñanza Superior 12 hs</v>
      </c>
      <c r="G204" s="102">
        <f t="shared" si="26"/>
        <v>1188</v>
      </c>
      <c r="H204" s="7">
        <f>INT((G204*Valores!$C$2*100)+0.5)/100</f>
        <v>5361.09</v>
      </c>
      <c r="I204" s="115">
        <v>0</v>
      </c>
      <c r="J204" s="67">
        <f>INT((I204*Valores!$C$2*100)+0.5)/100</f>
        <v>0</v>
      </c>
      <c r="K204" s="131">
        <v>0</v>
      </c>
      <c r="L204" s="67">
        <f>INT((K204*Valores!$C$2*100)+0.5)/100</f>
        <v>0</v>
      </c>
      <c r="M204" s="99">
        <v>0</v>
      </c>
      <c r="N204" s="67">
        <f>INT((M204*Valores!$C$2*100)+0.5)/100</f>
        <v>0</v>
      </c>
      <c r="O204" s="67">
        <f t="shared" si="34"/>
        <v>0</v>
      </c>
      <c r="P204" s="67">
        <f t="shared" si="35"/>
        <v>6733.4039999999995</v>
      </c>
      <c r="Q204" s="53">
        <f>Valores!$C$10*E204</f>
        <v>1068</v>
      </c>
      <c r="R204" s="53">
        <f>IF(E204&lt;15,(Valores!$D$9/15*E204),Valores!$D$9)</f>
        <v>1614.8240000000001</v>
      </c>
      <c r="S204" s="67">
        <v>0</v>
      </c>
      <c r="T204" s="69">
        <f>Valores!$C$43*E204</f>
        <v>250.07999999999998</v>
      </c>
      <c r="U204" s="53">
        <f>Valores!$C$11*E204</f>
        <v>546</v>
      </c>
      <c r="V204" s="67">
        <f t="shared" si="24"/>
        <v>1201.2</v>
      </c>
      <c r="W204" s="67">
        <v>0</v>
      </c>
      <c r="X204" s="67">
        <v>0</v>
      </c>
      <c r="Y204" s="33">
        <v>0</v>
      </c>
      <c r="Z204" s="67">
        <f>Y204*Valores!$C$2</f>
        <v>0</v>
      </c>
      <c r="AA204" s="67">
        <v>0</v>
      </c>
      <c r="AB204" s="79">
        <f t="shared" si="27"/>
        <v>62.04</v>
      </c>
      <c r="AC204" s="67">
        <f t="shared" si="30"/>
        <v>0</v>
      </c>
      <c r="AD204" s="67">
        <f t="shared" si="29"/>
        <v>51.599999999999994</v>
      </c>
      <c r="AE204" s="95">
        <v>0</v>
      </c>
      <c r="AF204" s="67">
        <f>INT(((AE204*Valores!$C$2)*100)+0.5)/100</f>
        <v>0</v>
      </c>
      <c r="AG204" s="67">
        <f>Valores!$D$49*E204</f>
        <v>210</v>
      </c>
      <c r="AH204" s="67">
        <f>Valores!$D$50*E204</f>
        <v>60</v>
      </c>
      <c r="AI204" s="123">
        <f t="shared" si="33"/>
        <v>16612.238000000001</v>
      </c>
      <c r="AJ204" s="69">
        <f>Valores!$C$13*E204</f>
        <v>200.04000000000002</v>
      </c>
      <c r="AK204" s="124">
        <f t="shared" si="31"/>
        <v>200.04000000000002</v>
      </c>
      <c r="AL204" s="68">
        <f t="shared" si="32"/>
        <v>4020.8547399999998</v>
      </c>
      <c r="AM204" s="79">
        <f>(9.17*E204)-0.04</f>
        <v>109.99999999999999</v>
      </c>
      <c r="AN204" s="20"/>
      <c r="AO204" s="47">
        <f t="shared" si="28"/>
        <v>48</v>
      </c>
      <c r="AP204" s="9" t="s">
        <v>465</v>
      </c>
    </row>
    <row r="205" spans="1:42" s="9" customFormat="1" ht="11.25" customHeight="1" x14ac:dyDescent="0.15">
      <c r="A205" s="9">
        <v>204</v>
      </c>
      <c r="D205" s="9" t="s">
        <v>355</v>
      </c>
      <c r="E205" s="9">
        <v>13</v>
      </c>
      <c r="F205" s="10" t="str">
        <f t="shared" si="25"/>
        <v>Hora Cátedra Enseñanza Superior 13 hs</v>
      </c>
      <c r="G205" s="102">
        <f t="shared" si="26"/>
        <v>1287</v>
      </c>
      <c r="H205" s="7">
        <f>INT((G205*Valores!$C$2*100)+0.5)/100</f>
        <v>5807.84</v>
      </c>
      <c r="I205" s="115">
        <v>0</v>
      </c>
      <c r="J205" s="67">
        <f>INT((I205*Valores!$C$2*100)+0.5)/100</f>
        <v>0</v>
      </c>
      <c r="K205" s="131">
        <v>0</v>
      </c>
      <c r="L205" s="67">
        <f>INT((K205*Valores!$C$2*100)+0.5)/100</f>
        <v>0</v>
      </c>
      <c r="M205" s="99">
        <v>0</v>
      </c>
      <c r="N205" s="67">
        <f>INT((M205*Valores!$C$2*100)+0.5)/100</f>
        <v>0</v>
      </c>
      <c r="O205" s="67">
        <f t="shared" si="34"/>
        <v>0</v>
      </c>
      <c r="P205" s="67">
        <f t="shared" si="35"/>
        <v>7294.5119999999997</v>
      </c>
      <c r="Q205" s="53">
        <f>Valores!$C$10*E205</f>
        <v>1157</v>
      </c>
      <c r="R205" s="53">
        <f>IF(E205&lt;15,(Valores!$D$9/15*E205),Valores!$D$9)</f>
        <v>1749.3926666666666</v>
      </c>
      <c r="S205" s="67">
        <v>0</v>
      </c>
      <c r="T205" s="69">
        <f>Valores!$C$43*E205</f>
        <v>270.92</v>
      </c>
      <c r="U205" s="53">
        <f>Valores!$C$11*E205</f>
        <v>591.5</v>
      </c>
      <c r="V205" s="67">
        <f t="shared" si="24"/>
        <v>1301.3000000000002</v>
      </c>
      <c r="W205" s="67">
        <v>0</v>
      </c>
      <c r="X205" s="67">
        <v>0</v>
      </c>
      <c r="Y205" s="33">
        <v>0</v>
      </c>
      <c r="Z205" s="67">
        <f>Y205*Valores!$C$2</f>
        <v>0</v>
      </c>
      <c r="AA205" s="67">
        <v>0</v>
      </c>
      <c r="AB205" s="79">
        <f t="shared" si="27"/>
        <v>67.209999999999994</v>
      </c>
      <c r="AC205" s="67">
        <f t="shared" si="30"/>
        <v>0</v>
      </c>
      <c r="AD205" s="67">
        <f t="shared" si="29"/>
        <v>55.9</v>
      </c>
      <c r="AE205" s="95">
        <v>0</v>
      </c>
      <c r="AF205" s="67">
        <f>INT(((AE205*Valores!$C$2)*100)+0.5)/100</f>
        <v>0</v>
      </c>
      <c r="AG205" s="67">
        <f>Valores!$D$49*E205</f>
        <v>227.5</v>
      </c>
      <c r="AH205" s="67">
        <f>Valores!$D$50*E205</f>
        <v>65</v>
      </c>
      <c r="AI205" s="123">
        <f t="shared" si="33"/>
        <v>17996.574666666664</v>
      </c>
      <c r="AJ205" s="69">
        <f>Valores!$C$13*E205</f>
        <v>216.71000000000004</v>
      </c>
      <c r="AK205" s="124">
        <f t="shared" si="31"/>
        <v>216.71000000000004</v>
      </c>
      <c r="AL205" s="68">
        <f t="shared" si="32"/>
        <v>4355.9221733333325</v>
      </c>
      <c r="AM205" s="79">
        <f>(9.17*E205)-0.04</f>
        <v>119.16999999999999</v>
      </c>
      <c r="AN205" s="20"/>
      <c r="AO205" s="20">
        <f t="shared" si="28"/>
        <v>52</v>
      </c>
      <c r="AP205" s="9" t="s">
        <v>465</v>
      </c>
    </row>
    <row r="206" spans="1:42" s="9" customFormat="1" ht="11.25" customHeight="1" x14ac:dyDescent="0.15">
      <c r="A206" s="43">
        <v>205</v>
      </c>
      <c r="B206" s="43" t="s">
        <v>460</v>
      </c>
      <c r="C206" s="43"/>
      <c r="D206" s="43" t="s">
        <v>355</v>
      </c>
      <c r="E206" s="43">
        <v>14</v>
      </c>
      <c r="F206" s="44" t="str">
        <f t="shared" si="25"/>
        <v>Hora Cátedra Enseñanza Superior 14 hs</v>
      </c>
      <c r="G206" s="103">
        <f t="shared" si="26"/>
        <v>1386</v>
      </c>
      <c r="H206" s="110">
        <f>INT((G206*Valores!$C$2*100)+0.5)/100</f>
        <v>6254.6</v>
      </c>
      <c r="I206" s="114">
        <v>0</v>
      </c>
      <c r="J206" s="70">
        <f>INT((I206*Valores!$C$2*100)+0.5)/100</f>
        <v>0</v>
      </c>
      <c r="K206" s="132">
        <v>0</v>
      </c>
      <c r="L206" s="70">
        <f>INT((K206*Valores!$C$2*100)+0.5)/100</f>
        <v>0</v>
      </c>
      <c r="M206" s="100">
        <v>0</v>
      </c>
      <c r="N206" s="70">
        <f>INT((M206*Valores!$C$2*100)+0.5)/100</f>
        <v>0</v>
      </c>
      <c r="O206" s="70">
        <f t="shared" si="34"/>
        <v>0</v>
      </c>
      <c r="P206" s="70">
        <f t="shared" si="35"/>
        <v>7855.6320000000005</v>
      </c>
      <c r="Q206" s="75">
        <f>Valores!$C$10*E206</f>
        <v>1246</v>
      </c>
      <c r="R206" s="75">
        <f>IF(E206&lt;15,(Valores!$D$9/15*E206),Valores!$D$9)</f>
        <v>1883.9613333333334</v>
      </c>
      <c r="S206" s="70">
        <v>0</v>
      </c>
      <c r="T206" s="72">
        <f>Valores!$C$43*E206</f>
        <v>291.76</v>
      </c>
      <c r="U206" s="75">
        <f>Valores!$C$11*E206</f>
        <v>637</v>
      </c>
      <c r="V206" s="70">
        <f t="shared" si="24"/>
        <v>1401.4</v>
      </c>
      <c r="W206" s="70">
        <v>0</v>
      </c>
      <c r="X206" s="70">
        <v>0</v>
      </c>
      <c r="Y206" s="52">
        <v>0</v>
      </c>
      <c r="Z206" s="70">
        <f>Y206*Valores!$C$2</f>
        <v>0</v>
      </c>
      <c r="AA206" s="70">
        <v>0</v>
      </c>
      <c r="AB206" s="80">
        <f t="shared" si="27"/>
        <v>72.38</v>
      </c>
      <c r="AC206" s="70">
        <f t="shared" si="30"/>
        <v>0</v>
      </c>
      <c r="AD206" s="70">
        <f t="shared" si="29"/>
        <v>60.199999999999996</v>
      </c>
      <c r="AE206" s="94">
        <v>0</v>
      </c>
      <c r="AF206" s="70">
        <f>INT(((AE206*Valores!$C$2)*100)+0.5)/100</f>
        <v>0</v>
      </c>
      <c r="AG206" s="70">
        <f>Valores!$D$49*E206</f>
        <v>245</v>
      </c>
      <c r="AH206" s="70">
        <f>Valores!$D$50*E206</f>
        <v>70</v>
      </c>
      <c r="AI206" s="125">
        <f t="shared" si="33"/>
        <v>19380.933333333334</v>
      </c>
      <c r="AJ206" s="72">
        <f>Valores!$C$13*E206</f>
        <v>233.38000000000002</v>
      </c>
      <c r="AK206" s="126">
        <f t="shared" si="31"/>
        <v>233.38000000000002</v>
      </c>
      <c r="AL206" s="71">
        <f t="shared" si="32"/>
        <v>4690.9946666666665</v>
      </c>
      <c r="AM206" s="80">
        <f>(9.17*E206)-0.05</f>
        <v>128.32999999999998</v>
      </c>
      <c r="AN206" s="47"/>
      <c r="AO206" s="20">
        <f t="shared" si="28"/>
        <v>56</v>
      </c>
      <c r="AP206" s="43" t="s">
        <v>465</v>
      </c>
    </row>
    <row r="207" spans="1:42" s="9" customFormat="1" ht="11.25" customHeight="1" x14ac:dyDescent="0.15">
      <c r="A207" s="9">
        <v>206</v>
      </c>
      <c r="D207" s="9" t="s">
        <v>355</v>
      </c>
      <c r="E207" s="9">
        <v>15</v>
      </c>
      <c r="F207" s="10" t="str">
        <f t="shared" si="25"/>
        <v>Hora Cátedra Enseñanza Superior 15 hs</v>
      </c>
      <c r="G207" s="102">
        <f t="shared" si="26"/>
        <v>1485</v>
      </c>
      <c r="H207" s="7">
        <f>INT((G207*Valores!$C$2*100)+0.5)/100</f>
        <v>6701.36</v>
      </c>
      <c r="I207" s="115">
        <v>0</v>
      </c>
      <c r="J207" s="67">
        <f>INT((I207*Valores!$C$2*100)+0.5)/100</f>
        <v>0</v>
      </c>
      <c r="K207" s="131">
        <v>0</v>
      </c>
      <c r="L207" s="67">
        <f>INT((K207*Valores!$C$2*100)+0.5)/100</f>
        <v>0</v>
      </c>
      <c r="M207" s="99">
        <v>0</v>
      </c>
      <c r="N207" s="67">
        <f>INT((M207*Valores!$C$2*100)+0.5)/100</f>
        <v>0</v>
      </c>
      <c r="O207" s="67">
        <f t="shared" si="34"/>
        <v>0</v>
      </c>
      <c r="P207" s="67">
        <f t="shared" si="35"/>
        <v>8416.7520000000004</v>
      </c>
      <c r="Q207" s="53">
        <f>Valores!$C$10*E207</f>
        <v>1335</v>
      </c>
      <c r="R207" s="53">
        <f>IF(E207&lt;15,(Valores!$D$9/15*E207),Valores!$D$9)</f>
        <v>2018.53</v>
      </c>
      <c r="S207" s="67">
        <v>0</v>
      </c>
      <c r="T207" s="69">
        <f>Valores!$C$43*E207</f>
        <v>312.60000000000002</v>
      </c>
      <c r="U207" s="53">
        <f>Valores!$C$11*E207</f>
        <v>682.5</v>
      </c>
      <c r="V207" s="67">
        <f t="shared" si="24"/>
        <v>1501.5000000000002</v>
      </c>
      <c r="W207" s="67">
        <v>0</v>
      </c>
      <c r="X207" s="67">
        <v>0</v>
      </c>
      <c r="Y207" s="33">
        <v>0</v>
      </c>
      <c r="Z207" s="67">
        <f>Y207*Valores!$C$2</f>
        <v>0</v>
      </c>
      <c r="AA207" s="67">
        <v>0</v>
      </c>
      <c r="AB207" s="79">
        <f t="shared" si="27"/>
        <v>77.55</v>
      </c>
      <c r="AC207" s="67">
        <f t="shared" si="30"/>
        <v>0</v>
      </c>
      <c r="AD207" s="67">
        <f t="shared" si="29"/>
        <v>64.5</v>
      </c>
      <c r="AE207" s="95">
        <v>0</v>
      </c>
      <c r="AF207" s="67">
        <f>INT(((AE207*Valores!$C$2)*100)+0.5)/100</f>
        <v>0</v>
      </c>
      <c r="AG207" s="67">
        <f>Valores!$D$49*E207</f>
        <v>262.5</v>
      </c>
      <c r="AH207" s="67">
        <f>Valores!$D$50*E207</f>
        <v>75</v>
      </c>
      <c r="AI207" s="123">
        <f t="shared" si="33"/>
        <v>20765.291999999998</v>
      </c>
      <c r="AJ207" s="69">
        <f>Valores!$C$13*E207</f>
        <v>250.05</v>
      </c>
      <c r="AK207" s="124">
        <f t="shared" si="31"/>
        <v>250.05</v>
      </c>
      <c r="AL207" s="68">
        <f t="shared" si="32"/>
        <v>5026.0671599999996</v>
      </c>
      <c r="AM207" s="79">
        <f>(9.17*E207)-0.05</f>
        <v>137.5</v>
      </c>
      <c r="AN207" s="20"/>
      <c r="AO207" s="20">
        <f t="shared" si="28"/>
        <v>60</v>
      </c>
      <c r="AP207" s="9" t="s">
        <v>465</v>
      </c>
    </row>
    <row r="208" spans="1:42" s="9" customFormat="1" ht="11.25" customHeight="1" x14ac:dyDescent="0.15">
      <c r="A208" s="9">
        <v>207</v>
      </c>
      <c r="D208" s="9" t="s">
        <v>355</v>
      </c>
      <c r="E208" s="9">
        <v>16</v>
      </c>
      <c r="F208" s="10" t="str">
        <f t="shared" si="25"/>
        <v>Hora Cátedra Enseñanza Superior 16 hs</v>
      </c>
      <c r="G208" s="102">
        <f t="shared" si="26"/>
        <v>1584</v>
      </c>
      <c r="H208" s="7">
        <f>INT((G208*Valores!$C$2*100)+0.5)/100</f>
        <v>7148.12</v>
      </c>
      <c r="I208" s="115">
        <v>0</v>
      </c>
      <c r="J208" s="67">
        <f>INT((I208*Valores!$C$2*100)+0.5)/100</f>
        <v>0</v>
      </c>
      <c r="K208" s="131">
        <v>0</v>
      </c>
      <c r="L208" s="67">
        <f>INT((K208*Valores!$C$2*100)+0.5)/100</f>
        <v>0</v>
      </c>
      <c r="M208" s="99">
        <v>0</v>
      </c>
      <c r="N208" s="67">
        <f>INT((M208*Valores!$C$2*100)+0.5)/100</f>
        <v>0</v>
      </c>
      <c r="O208" s="67">
        <f t="shared" si="34"/>
        <v>0</v>
      </c>
      <c r="P208" s="67">
        <f t="shared" si="35"/>
        <v>8977.8719999999994</v>
      </c>
      <c r="Q208" s="53">
        <f>Valores!$C$10*E208</f>
        <v>1424</v>
      </c>
      <c r="R208" s="53">
        <f>IF(E208&lt;15,(Valores!$D$9/15*E208),Valores!$D$9)</f>
        <v>2018.53</v>
      </c>
      <c r="S208" s="67">
        <v>0</v>
      </c>
      <c r="T208" s="69">
        <f>Valores!$C$43*E208</f>
        <v>333.44</v>
      </c>
      <c r="U208" s="53">
        <f>Valores!$C$11*E208</f>
        <v>728</v>
      </c>
      <c r="V208" s="67">
        <f t="shared" si="24"/>
        <v>1601.6000000000001</v>
      </c>
      <c r="W208" s="67">
        <v>0</v>
      </c>
      <c r="X208" s="67">
        <v>0</v>
      </c>
      <c r="Y208" s="33">
        <v>0</v>
      </c>
      <c r="Z208" s="67">
        <f>Y208*Valores!$C$2</f>
        <v>0</v>
      </c>
      <c r="AA208" s="67">
        <v>0</v>
      </c>
      <c r="AB208" s="79">
        <f t="shared" si="27"/>
        <v>82.72</v>
      </c>
      <c r="AC208" s="67">
        <f t="shared" si="30"/>
        <v>0</v>
      </c>
      <c r="AD208" s="67">
        <f t="shared" si="29"/>
        <v>68.8</v>
      </c>
      <c r="AE208" s="95">
        <v>0</v>
      </c>
      <c r="AF208" s="67">
        <f>INT(((AE208*Valores!$C$2)*100)+0.5)/100</f>
        <v>0</v>
      </c>
      <c r="AG208" s="67">
        <f>Valores!$D$49*E208</f>
        <v>280</v>
      </c>
      <c r="AH208" s="67">
        <f>Valores!$D$50*E208</f>
        <v>80</v>
      </c>
      <c r="AI208" s="123">
        <f t="shared" si="33"/>
        <v>22015.081999999995</v>
      </c>
      <c r="AJ208" s="69">
        <f>Valores!$C$13*E208</f>
        <v>266.72000000000003</v>
      </c>
      <c r="AK208" s="124">
        <f t="shared" si="31"/>
        <v>266.72000000000003</v>
      </c>
      <c r="AL208" s="68">
        <f t="shared" si="32"/>
        <v>5330.1888599999984</v>
      </c>
      <c r="AM208" s="79">
        <f>(9.17*E208)-0.04</f>
        <v>146.68</v>
      </c>
      <c r="AN208" s="20"/>
      <c r="AO208" s="20">
        <f t="shared" si="28"/>
        <v>64</v>
      </c>
      <c r="AP208" s="9" t="s">
        <v>465</v>
      </c>
    </row>
    <row r="209" spans="1:42" s="9" customFormat="1" ht="11.25" customHeight="1" x14ac:dyDescent="0.15">
      <c r="A209" s="9">
        <v>208</v>
      </c>
      <c r="D209" s="9" t="s">
        <v>355</v>
      </c>
      <c r="E209" s="9">
        <v>17</v>
      </c>
      <c r="F209" s="10" t="str">
        <f t="shared" si="25"/>
        <v>Hora Cátedra Enseñanza Superior 17 hs</v>
      </c>
      <c r="G209" s="102">
        <f t="shared" si="26"/>
        <v>1683</v>
      </c>
      <c r="H209" s="7">
        <f>INT((G209*Valores!$C$2*100)+0.5)/100</f>
        <v>7594.87</v>
      </c>
      <c r="I209" s="115">
        <v>0</v>
      </c>
      <c r="J209" s="67">
        <f>INT((I209*Valores!$C$2*100)+0.5)/100</f>
        <v>0</v>
      </c>
      <c r="K209" s="131">
        <v>0</v>
      </c>
      <c r="L209" s="67">
        <f>INT((K209*Valores!$C$2*100)+0.5)/100</f>
        <v>0</v>
      </c>
      <c r="M209" s="99">
        <v>0</v>
      </c>
      <c r="N209" s="67">
        <f>INT((M209*Valores!$C$2*100)+0.5)/100</f>
        <v>0</v>
      </c>
      <c r="O209" s="67">
        <f t="shared" si="34"/>
        <v>0</v>
      </c>
      <c r="P209" s="67">
        <f t="shared" si="35"/>
        <v>9538.98</v>
      </c>
      <c r="Q209" s="53">
        <f>Valores!$C$10*E209</f>
        <v>1513</v>
      </c>
      <c r="R209" s="53">
        <f>IF(E209&lt;15,(Valores!$D$9/15*E209),Valores!$D$9)</f>
        <v>2018.53</v>
      </c>
      <c r="S209" s="67">
        <v>0</v>
      </c>
      <c r="T209" s="69">
        <f>Valores!$C$43*E209</f>
        <v>354.28</v>
      </c>
      <c r="U209" s="53">
        <f>Valores!$C$11*E209</f>
        <v>773.5</v>
      </c>
      <c r="V209" s="67">
        <f t="shared" si="24"/>
        <v>1701.7</v>
      </c>
      <c r="W209" s="67">
        <v>0</v>
      </c>
      <c r="X209" s="67">
        <v>0</v>
      </c>
      <c r="Y209" s="33">
        <v>0</v>
      </c>
      <c r="Z209" s="67">
        <f>Y209*Valores!$C$2</f>
        <v>0</v>
      </c>
      <c r="AA209" s="67">
        <v>0</v>
      </c>
      <c r="AB209" s="79">
        <f t="shared" si="27"/>
        <v>87.89</v>
      </c>
      <c r="AC209" s="67">
        <f t="shared" si="30"/>
        <v>0</v>
      </c>
      <c r="AD209" s="67">
        <f t="shared" si="29"/>
        <v>73.099999999999994</v>
      </c>
      <c r="AE209" s="95">
        <v>0</v>
      </c>
      <c r="AF209" s="67">
        <f>INT(((AE209*Valores!$C$2)*100)+0.5)/100</f>
        <v>0</v>
      </c>
      <c r="AG209" s="67">
        <f>Valores!$D$49*E209</f>
        <v>297.5</v>
      </c>
      <c r="AH209" s="67">
        <f>Valores!$D$50*E209</f>
        <v>85</v>
      </c>
      <c r="AI209" s="123">
        <f t="shared" si="33"/>
        <v>23264.849999999995</v>
      </c>
      <c r="AJ209" s="69">
        <f>Valores!$C$13*E209</f>
        <v>283.39000000000004</v>
      </c>
      <c r="AK209" s="124">
        <f t="shared" si="31"/>
        <v>283.39000000000004</v>
      </c>
      <c r="AL209" s="68">
        <f t="shared" si="32"/>
        <v>5634.3054999999986</v>
      </c>
      <c r="AM209" s="79">
        <f t="shared" ref="AM209:AM215" si="36">(9.17*E209)-0.06</f>
        <v>155.82999999999998</v>
      </c>
      <c r="AN209" s="20"/>
      <c r="AO209" s="47">
        <f t="shared" si="28"/>
        <v>68</v>
      </c>
      <c r="AP209" s="9" t="s">
        <v>464</v>
      </c>
    </row>
    <row r="210" spans="1:42" s="9" customFormat="1" ht="11.25" customHeight="1" x14ac:dyDescent="0.15">
      <c r="A210" s="9">
        <v>209</v>
      </c>
      <c r="D210" s="9" t="s">
        <v>355</v>
      </c>
      <c r="E210" s="9">
        <v>18</v>
      </c>
      <c r="F210" s="10" t="str">
        <f t="shared" si="25"/>
        <v>Hora Cátedra Enseñanza Superior 18 hs</v>
      </c>
      <c r="G210" s="102">
        <f t="shared" si="26"/>
        <v>1782</v>
      </c>
      <c r="H210" s="7">
        <f>INT((G210*Valores!$C$2*100)+0.5)/100</f>
        <v>8041.63</v>
      </c>
      <c r="I210" s="115">
        <v>0</v>
      </c>
      <c r="J210" s="67">
        <f>INT((I210*Valores!$C$2*100)+0.5)/100</f>
        <v>0</v>
      </c>
      <c r="K210" s="131">
        <v>0</v>
      </c>
      <c r="L210" s="67">
        <f>INT((K210*Valores!$C$2*100)+0.5)/100</f>
        <v>0</v>
      </c>
      <c r="M210" s="99">
        <v>0</v>
      </c>
      <c r="N210" s="67">
        <f>INT((M210*Valores!$C$2*100)+0.5)/100</f>
        <v>0</v>
      </c>
      <c r="O210" s="67">
        <f t="shared" si="34"/>
        <v>0</v>
      </c>
      <c r="P210" s="67">
        <f t="shared" si="35"/>
        <v>10100.1</v>
      </c>
      <c r="Q210" s="53">
        <f>Valores!$C$10*E210</f>
        <v>1602</v>
      </c>
      <c r="R210" s="53">
        <f>IF(E210&lt;15,(Valores!$D$9/15*E210),Valores!$D$9)</f>
        <v>2018.53</v>
      </c>
      <c r="S210" s="67">
        <v>0</v>
      </c>
      <c r="T210" s="69">
        <f>Valores!$C$43*E210</f>
        <v>375.12</v>
      </c>
      <c r="U210" s="53">
        <f>Valores!$C$11*E210</f>
        <v>819</v>
      </c>
      <c r="V210" s="67">
        <f t="shared" si="24"/>
        <v>1801.8000000000002</v>
      </c>
      <c r="W210" s="67">
        <v>0</v>
      </c>
      <c r="X210" s="67">
        <v>0</v>
      </c>
      <c r="Y210" s="33">
        <v>0</v>
      </c>
      <c r="Z210" s="67">
        <f>Y210*Valores!$C$2</f>
        <v>0</v>
      </c>
      <c r="AA210" s="67">
        <v>0</v>
      </c>
      <c r="AB210" s="79">
        <f t="shared" si="27"/>
        <v>93.06</v>
      </c>
      <c r="AC210" s="67">
        <f t="shared" si="30"/>
        <v>0</v>
      </c>
      <c r="AD210" s="67">
        <f t="shared" si="29"/>
        <v>77.399999999999991</v>
      </c>
      <c r="AE210" s="95">
        <v>0</v>
      </c>
      <c r="AF210" s="67">
        <f>INT(((AE210*Valores!$C$2)*100)+0.5)/100</f>
        <v>0</v>
      </c>
      <c r="AG210" s="67">
        <f>Valores!$D$49*E210</f>
        <v>315</v>
      </c>
      <c r="AH210" s="67">
        <f>Valores!$D$50*E210</f>
        <v>90</v>
      </c>
      <c r="AI210" s="123">
        <f t="shared" si="33"/>
        <v>24514.639999999999</v>
      </c>
      <c r="AJ210" s="69">
        <f>Valores!$C$13*E210</f>
        <v>300.06000000000006</v>
      </c>
      <c r="AK210" s="124">
        <f t="shared" si="31"/>
        <v>300.06000000000006</v>
      </c>
      <c r="AL210" s="68">
        <f t="shared" si="32"/>
        <v>5938.4272000000001</v>
      </c>
      <c r="AM210" s="79">
        <f t="shared" si="36"/>
        <v>165</v>
      </c>
      <c r="AN210" s="20"/>
      <c r="AO210" s="20">
        <f t="shared" si="28"/>
        <v>72</v>
      </c>
      <c r="AP210" s="9" t="s">
        <v>465</v>
      </c>
    </row>
    <row r="211" spans="1:42" s="9" customFormat="1" ht="11.25" customHeight="1" x14ac:dyDescent="0.15">
      <c r="A211" s="43">
        <v>210</v>
      </c>
      <c r="B211" s="43" t="s">
        <v>460</v>
      </c>
      <c r="C211" s="43"/>
      <c r="D211" s="43" t="s">
        <v>355</v>
      </c>
      <c r="E211" s="43">
        <v>19</v>
      </c>
      <c r="F211" s="44" t="str">
        <f t="shared" si="25"/>
        <v>Hora Cátedra Enseñanza Superior 19 hs</v>
      </c>
      <c r="G211" s="103">
        <f t="shared" si="26"/>
        <v>1881</v>
      </c>
      <c r="H211" s="110">
        <f>INT((G211*Valores!$C$2*100)+0.5)/100</f>
        <v>8488.39</v>
      </c>
      <c r="I211" s="114">
        <v>0</v>
      </c>
      <c r="J211" s="70">
        <f>INT((I211*Valores!$C$2*100)+0.5)/100</f>
        <v>0</v>
      </c>
      <c r="K211" s="132">
        <v>0</v>
      </c>
      <c r="L211" s="70">
        <f>INT((K211*Valores!$C$2*100)+0.5)/100</f>
        <v>0</v>
      </c>
      <c r="M211" s="100">
        <v>0</v>
      </c>
      <c r="N211" s="70">
        <f>INT((M211*Valores!$C$2*100)+0.5)/100</f>
        <v>0</v>
      </c>
      <c r="O211" s="70">
        <f t="shared" si="34"/>
        <v>0</v>
      </c>
      <c r="P211" s="70">
        <f t="shared" si="35"/>
        <v>10661.219999999998</v>
      </c>
      <c r="Q211" s="75">
        <f>Valores!$C$10*E211</f>
        <v>1691</v>
      </c>
      <c r="R211" s="75">
        <f>IF(E211&lt;15,(Valores!$D$9/15*E211),Valores!$D$9)</f>
        <v>2018.53</v>
      </c>
      <c r="S211" s="70">
        <v>0</v>
      </c>
      <c r="T211" s="72">
        <f>Valores!$C$43*E211</f>
        <v>395.96</v>
      </c>
      <c r="U211" s="75">
        <f>Valores!$C$11*E211</f>
        <v>864.5</v>
      </c>
      <c r="V211" s="70">
        <f t="shared" si="24"/>
        <v>1901.9</v>
      </c>
      <c r="W211" s="70">
        <v>0</v>
      </c>
      <c r="X211" s="70">
        <v>0</v>
      </c>
      <c r="Y211" s="52">
        <v>0</v>
      </c>
      <c r="Z211" s="70">
        <f>Y211*Valores!$C$2</f>
        <v>0</v>
      </c>
      <c r="AA211" s="70">
        <v>0</v>
      </c>
      <c r="AB211" s="80">
        <f t="shared" si="27"/>
        <v>98.23</v>
      </c>
      <c r="AC211" s="70">
        <f t="shared" si="30"/>
        <v>0</v>
      </c>
      <c r="AD211" s="70">
        <f t="shared" si="29"/>
        <v>81.7</v>
      </c>
      <c r="AE211" s="94">
        <v>0</v>
      </c>
      <c r="AF211" s="70">
        <f>INT(((AE211*Valores!$C$2)*100)+0.5)/100</f>
        <v>0</v>
      </c>
      <c r="AG211" s="70">
        <f>Valores!$D$49*E211</f>
        <v>332.5</v>
      </c>
      <c r="AH211" s="70">
        <f>Valores!$D$50*E211</f>
        <v>95</v>
      </c>
      <c r="AI211" s="125">
        <f t="shared" si="33"/>
        <v>25764.429999999997</v>
      </c>
      <c r="AJ211" s="72">
        <f>Valores!$C$13*E211</f>
        <v>316.73</v>
      </c>
      <c r="AK211" s="126">
        <f t="shared" si="31"/>
        <v>316.73</v>
      </c>
      <c r="AL211" s="71">
        <f t="shared" si="32"/>
        <v>6242.548899999998</v>
      </c>
      <c r="AM211" s="80">
        <f t="shared" si="36"/>
        <v>174.17</v>
      </c>
      <c r="AN211" s="47"/>
      <c r="AO211" s="20">
        <f t="shared" si="28"/>
        <v>76</v>
      </c>
      <c r="AP211" s="43" t="s">
        <v>464</v>
      </c>
    </row>
    <row r="212" spans="1:42" s="9" customFormat="1" ht="11.25" customHeight="1" x14ac:dyDescent="0.15">
      <c r="A212" s="9">
        <v>211</v>
      </c>
      <c r="D212" s="9" t="s">
        <v>355</v>
      </c>
      <c r="E212" s="9">
        <v>20</v>
      </c>
      <c r="F212" s="10" t="str">
        <f t="shared" si="25"/>
        <v>Hora Cátedra Enseñanza Superior 20 hs</v>
      </c>
      <c r="G212" s="102">
        <f t="shared" si="26"/>
        <v>1980</v>
      </c>
      <c r="H212" s="7">
        <f>INT((G212*Valores!$C$2*100)+0.5)/100</f>
        <v>8935.15</v>
      </c>
      <c r="I212" s="115">
        <v>0</v>
      </c>
      <c r="J212" s="67">
        <f>INT((I212*Valores!$C$2*100)+0.5)/100</f>
        <v>0</v>
      </c>
      <c r="K212" s="131">
        <v>0</v>
      </c>
      <c r="L212" s="67">
        <f>INT((K212*Valores!$C$2*100)+0.5)/100</f>
        <v>0</v>
      </c>
      <c r="M212" s="99">
        <v>0</v>
      </c>
      <c r="N212" s="67">
        <f>INT((M212*Valores!$C$2*100)+0.5)/100</f>
        <v>0</v>
      </c>
      <c r="O212" s="67">
        <f t="shared" si="34"/>
        <v>0</v>
      </c>
      <c r="P212" s="67">
        <f t="shared" si="35"/>
        <v>11222.339999999998</v>
      </c>
      <c r="Q212" s="53">
        <f>Valores!$C$10*E212</f>
        <v>1780</v>
      </c>
      <c r="R212" s="53">
        <f>IF(E212&lt;15,(Valores!$D$9/15*E212),Valores!$D$9)</f>
        <v>2018.53</v>
      </c>
      <c r="S212" s="67">
        <v>0</v>
      </c>
      <c r="T212" s="69">
        <f>Valores!$C$43*E212</f>
        <v>416.8</v>
      </c>
      <c r="U212" s="53">
        <f>Valores!$C$11*E212</f>
        <v>910</v>
      </c>
      <c r="V212" s="67">
        <f t="shared" si="24"/>
        <v>2002.0000000000002</v>
      </c>
      <c r="W212" s="67">
        <v>0</v>
      </c>
      <c r="X212" s="67">
        <v>0</v>
      </c>
      <c r="Y212" s="33">
        <v>0</v>
      </c>
      <c r="Z212" s="67">
        <f>Y212*Valores!$C$2</f>
        <v>0</v>
      </c>
      <c r="AA212" s="67">
        <v>0</v>
      </c>
      <c r="AB212" s="79">
        <f t="shared" si="27"/>
        <v>103.4</v>
      </c>
      <c r="AC212" s="67">
        <f t="shared" si="30"/>
        <v>0</v>
      </c>
      <c r="AD212" s="67">
        <f t="shared" si="29"/>
        <v>86</v>
      </c>
      <c r="AE212" s="95">
        <v>0</v>
      </c>
      <c r="AF212" s="67">
        <f>INT(((AE212*Valores!$C$2)*100)+0.5)/100</f>
        <v>0</v>
      </c>
      <c r="AG212" s="67">
        <f>Valores!$D$49*E212</f>
        <v>350</v>
      </c>
      <c r="AH212" s="67">
        <f>Valores!$D$50*E212</f>
        <v>100</v>
      </c>
      <c r="AI212" s="123">
        <f t="shared" si="33"/>
        <v>27014.219999999998</v>
      </c>
      <c r="AJ212" s="69">
        <f>Valores!$C$13*E212</f>
        <v>333.40000000000003</v>
      </c>
      <c r="AK212" s="124">
        <f t="shared" si="31"/>
        <v>333.40000000000003</v>
      </c>
      <c r="AL212" s="68">
        <f t="shared" si="32"/>
        <v>6546.6705999999986</v>
      </c>
      <c r="AM212" s="79">
        <f t="shared" si="36"/>
        <v>183.34</v>
      </c>
      <c r="AN212" s="20"/>
      <c r="AO212" s="20">
        <f t="shared" si="28"/>
        <v>80</v>
      </c>
      <c r="AP212" s="9" t="s">
        <v>464</v>
      </c>
    </row>
    <row r="213" spans="1:42" s="9" customFormat="1" ht="11.25" customHeight="1" x14ac:dyDescent="0.15">
      <c r="A213" s="9">
        <v>212</v>
      </c>
      <c r="D213" s="9" t="s">
        <v>355</v>
      </c>
      <c r="E213" s="9">
        <v>21</v>
      </c>
      <c r="F213" s="10" t="str">
        <f t="shared" si="25"/>
        <v>Hora Cátedra Enseñanza Superior 21 hs</v>
      </c>
      <c r="G213" s="102">
        <f t="shared" si="26"/>
        <v>2079</v>
      </c>
      <c r="H213" s="7">
        <f>INT((G213*Valores!$C$2*100)+0.5)/100</f>
        <v>9381.9</v>
      </c>
      <c r="I213" s="115">
        <v>0</v>
      </c>
      <c r="J213" s="67">
        <f>INT((I213*Valores!$C$2*100)+0.5)/100</f>
        <v>0</v>
      </c>
      <c r="K213" s="131">
        <v>0</v>
      </c>
      <c r="L213" s="67">
        <f>INT((K213*Valores!$C$2*100)+0.5)/100</f>
        <v>0</v>
      </c>
      <c r="M213" s="99">
        <v>0</v>
      </c>
      <c r="N213" s="67">
        <f>INT((M213*Valores!$C$2*100)+0.5)/100</f>
        <v>0</v>
      </c>
      <c r="O213" s="67">
        <f t="shared" si="34"/>
        <v>0</v>
      </c>
      <c r="P213" s="67">
        <f t="shared" si="35"/>
        <v>11783.447999999999</v>
      </c>
      <c r="Q213" s="53">
        <f>Valores!$C$10*E213</f>
        <v>1869</v>
      </c>
      <c r="R213" s="53">
        <f>IF(E213&lt;15,(Valores!$D$9/15*E213),Valores!$D$9)</f>
        <v>2018.53</v>
      </c>
      <c r="S213" s="67">
        <v>0</v>
      </c>
      <c r="T213" s="69">
        <f>Valores!$C$43*E213</f>
        <v>437.64</v>
      </c>
      <c r="U213" s="53">
        <f>Valores!$C$11*E213</f>
        <v>955.5</v>
      </c>
      <c r="V213" s="67">
        <f t="shared" si="24"/>
        <v>2102.1000000000004</v>
      </c>
      <c r="W213" s="67">
        <v>0</v>
      </c>
      <c r="X213" s="67">
        <v>0</v>
      </c>
      <c r="Y213" s="33">
        <v>0</v>
      </c>
      <c r="Z213" s="67">
        <f>Y213*Valores!$C$2</f>
        <v>0</v>
      </c>
      <c r="AA213" s="67">
        <v>0</v>
      </c>
      <c r="AB213" s="79">
        <f t="shared" si="27"/>
        <v>108.57</v>
      </c>
      <c r="AC213" s="67">
        <f t="shared" si="30"/>
        <v>0</v>
      </c>
      <c r="AD213" s="67">
        <f t="shared" si="29"/>
        <v>90.3</v>
      </c>
      <c r="AE213" s="95">
        <v>0</v>
      </c>
      <c r="AF213" s="67">
        <f>INT(((AE213*Valores!$C$2)*100)+0.5)/100</f>
        <v>0</v>
      </c>
      <c r="AG213" s="67">
        <f>Valores!$D$49*E213</f>
        <v>367.5</v>
      </c>
      <c r="AH213" s="67">
        <f>Valores!$D$50*E213</f>
        <v>105</v>
      </c>
      <c r="AI213" s="123">
        <f t="shared" si="33"/>
        <v>28263.987999999994</v>
      </c>
      <c r="AJ213" s="69">
        <f>Valores!$C$13*E213</f>
        <v>350.07000000000005</v>
      </c>
      <c r="AK213" s="124">
        <f t="shared" si="31"/>
        <v>350.07000000000005</v>
      </c>
      <c r="AL213" s="68">
        <f t="shared" si="32"/>
        <v>6850.7872399999978</v>
      </c>
      <c r="AM213" s="79">
        <f t="shared" si="36"/>
        <v>192.51</v>
      </c>
      <c r="AN213" s="20"/>
      <c r="AO213" s="20">
        <f t="shared" si="28"/>
        <v>84</v>
      </c>
      <c r="AP213" s="9" t="s">
        <v>464</v>
      </c>
    </row>
    <row r="214" spans="1:42" s="9" customFormat="1" ht="11.25" customHeight="1" x14ac:dyDescent="0.15">
      <c r="A214" s="9">
        <v>213</v>
      </c>
      <c r="D214" s="9" t="s">
        <v>355</v>
      </c>
      <c r="E214" s="9">
        <v>22</v>
      </c>
      <c r="F214" s="10" t="str">
        <f t="shared" si="25"/>
        <v>Hora Cátedra Enseñanza Superior 22 hs</v>
      </c>
      <c r="G214" s="102">
        <f t="shared" si="26"/>
        <v>2178</v>
      </c>
      <c r="H214" s="7">
        <f>INT((G214*Valores!$C$2*100)+0.5)/100</f>
        <v>9828.66</v>
      </c>
      <c r="I214" s="115">
        <v>0</v>
      </c>
      <c r="J214" s="67">
        <f>INT((I214*Valores!$C$2*100)+0.5)/100</f>
        <v>0</v>
      </c>
      <c r="K214" s="131">
        <v>0</v>
      </c>
      <c r="L214" s="67">
        <f>INT((K214*Valores!$C$2*100)+0.5)/100</f>
        <v>0</v>
      </c>
      <c r="M214" s="99">
        <v>0</v>
      </c>
      <c r="N214" s="67">
        <f>INT((M214*Valores!$C$2*100)+0.5)/100</f>
        <v>0</v>
      </c>
      <c r="O214" s="67">
        <f t="shared" si="34"/>
        <v>0</v>
      </c>
      <c r="P214" s="67">
        <f t="shared" si="35"/>
        <v>12344.567999999999</v>
      </c>
      <c r="Q214" s="53">
        <f>Valores!$C$10*E214</f>
        <v>1958</v>
      </c>
      <c r="R214" s="53">
        <f>IF(E214&lt;15,(Valores!$D$9/15*E214),Valores!$D$9)</f>
        <v>2018.53</v>
      </c>
      <c r="S214" s="67">
        <v>0</v>
      </c>
      <c r="T214" s="69">
        <f>Valores!$C$43*E214</f>
        <v>458.48</v>
      </c>
      <c r="U214" s="53">
        <f>Valores!$C$11*E214</f>
        <v>1001</v>
      </c>
      <c r="V214" s="67">
        <f t="shared" si="24"/>
        <v>2202.2000000000003</v>
      </c>
      <c r="W214" s="67">
        <v>0</v>
      </c>
      <c r="X214" s="67">
        <v>0</v>
      </c>
      <c r="Y214" s="33">
        <v>0</v>
      </c>
      <c r="Z214" s="67">
        <f>Y214*Valores!$C$2</f>
        <v>0</v>
      </c>
      <c r="AA214" s="67">
        <v>0</v>
      </c>
      <c r="AB214" s="79">
        <f t="shared" si="27"/>
        <v>113.74</v>
      </c>
      <c r="AC214" s="67">
        <f t="shared" si="30"/>
        <v>0</v>
      </c>
      <c r="AD214" s="67">
        <f t="shared" si="29"/>
        <v>94.6</v>
      </c>
      <c r="AE214" s="95">
        <v>0</v>
      </c>
      <c r="AF214" s="67">
        <f>INT(((AE214*Valores!$C$2)*100)+0.5)/100</f>
        <v>0</v>
      </c>
      <c r="AG214" s="67">
        <f>Valores!$D$49*E214</f>
        <v>385</v>
      </c>
      <c r="AH214" s="67">
        <f>Valores!$D$50*E214</f>
        <v>110</v>
      </c>
      <c r="AI214" s="123">
        <f t="shared" si="33"/>
        <v>29513.777999999998</v>
      </c>
      <c r="AJ214" s="69">
        <f>Valores!$C$13*E214</f>
        <v>366.74</v>
      </c>
      <c r="AK214" s="124">
        <f t="shared" si="31"/>
        <v>366.74</v>
      </c>
      <c r="AL214" s="68">
        <f t="shared" si="32"/>
        <v>7154.9089399999993</v>
      </c>
      <c r="AM214" s="79">
        <f t="shared" si="36"/>
        <v>201.68</v>
      </c>
      <c r="AN214" s="20"/>
      <c r="AO214" s="47">
        <f t="shared" si="28"/>
        <v>88</v>
      </c>
      <c r="AP214" s="9" t="s">
        <v>464</v>
      </c>
    </row>
    <row r="215" spans="1:42" s="9" customFormat="1" ht="11.25" customHeight="1" x14ac:dyDescent="0.15">
      <c r="A215" s="9">
        <v>214</v>
      </c>
      <c r="D215" s="9" t="s">
        <v>355</v>
      </c>
      <c r="E215" s="9">
        <v>23</v>
      </c>
      <c r="F215" s="10" t="str">
        <f t="shared" si="25"/>
        <v>Hora Cátedra Enseñanza Superior 23 hs</v>
      </c>
      <c r="G215" s="102">
        <f t="shared" si="26"/>
        <v>2277</v>
      </c>
      <c r="H215" s="7">
        <f>INT((G215*Valores!$C$2*100)+0.5)/100</f>
        <v>10275.42</v>
      </c>
      <c r="I215" s="115">
        <v>0</v>
      </c>
      <c r="J215" s="67">
        <f>INT((I215*Valores!$C$2*100)+0.5)/100</f>
        <v>0</v>
      </c>
      <c r="K215" s="131">
        <v>0</v>
      </c>
      <c r="L215" s="67">
        <f>INT((K215*Valores!$C$2*100)+0.5)/100</f>
        <v>0</v>
      </c>
      <c r="M215" s="99">
        <v>0</v>
      </c>
      <c r="N215" s="67">
        <f>INT((M215*Valores!$C$2*100)+0.5)/100</f>
        <v>0</v>
      </c>
      <c r="O215" s="67">
        <f t="shared" si="34"/>
        <v>0</v>
      </c>
      <c r="P215" s="67">
        <f t="shared" si="35"/>
        <v>12905.688</v>
      </c>
      <c r="Q215" s="53">
        <f>Valores!$C$10*E215</f>
        <v>2047</v>
      </c>
      <c r="R215" s="53">
        <f>IF(E215&lt;15,(Valores!$D$9/15*E215),Valores!$D$9)</f>
        <v>2018.53</v>
      </c>
      <c r="S215" s="67">
        <v>0</v>
      </c>
      <c r="T215" s="69">
        <f>Valores!$C$43*E215</f>
        <v>479.32</v>
      </c>
      <c r="U215" s="53">
        <f>Valores!$C$11*E215</f>
        <v>1046.5</v>
      </c>
      <c r="V215" s="67">
        <f t="shared" si="24"/>
        <v>2302.3000000000002</v>
      </c>
      <c r="W215" s="67">
        <v>0</v>
      </c>
      <c r="X215" s="67">
        <v>0</v>
      </c>
      <c r="Y215" s="33">
        <v>0</v>
      </c>
      <c r="Z215" s="67">
        <f>Y215*Valores!$C$2</f>
        <v>0</v>
      </c>
      <c r="AA215" s="67">
        <v>0</v>
      </c>
      <c r="AB215" s="79">
        <f t="shared" si="27"/>
        <v>118.91</v>
      </c>
      <c r="AC215" s="67">
        <f t="shared" si="30"/>
        <v>0</v>
      </c>
      <c r="AD215" s="67">
        <f t="shared" si="29"/>
        <v>98.899999999999991</v>
      </c>
      <c r="AE215" s="95">
        <v>0</v>
      </c>
      <c r="AF215" s="67">
        <f>INT(((AE215*Valores!$C$2)*100)+0.5)/100</f>
        <v>0</v>
      </c>
      <c r="AG215" s="67">
        <f>Valores!$D$49*E215</f>
        <v>402.5</v>
      </c>
      <c r="AH215" s="67">
        <f>Valores!$D$50*E215</f>
        <v>115</v>
      </c>
      <c r="AI215" s="123">
        <f t="shared" si="33"/>
        <v>30763.567999999999</v>
      </c>
      <c r="AJ215" s="69">
        <f>Valores!$C$13*E215</f>
        <v>383.41</v>
      </c>
      <c r="AK215" s="124">
        <f t="shared" si="31"/>
        <v>383.41</v>
      </c>
      <c r="AL215" s="68">
        <f t="shared" si="32"/>
        <v>7459.030639999999</v>
      </c>
      <c r="AM215" s="79">
        <f t="shared" si="36"/>
        <v>210.85</v>
      </c>
      <c r="AN215" s="20"/>
      <c r="AO215" s="20">
        <f t="shared" si="28"/>
        <v>92</v>
      </c>
      <c r="AP215" s="9" t="s">
        <v>464</v>
      </c>
    </row>
    <row r="216" spans="1:42" s="9" customFormat="1" ht="11.25" customHeight="1" x14ac:dyDescent="0.15">
      <c r="A216" s="43">
        <v>215</v>
      </c>
      <c r="B216" s="43" t="s">
        <v>460</v>
      </c>
      <c r="C216" s="43"/>
      <c r="D216" s="43" t="s">
        <v>355</v>
      </c>
      <c r="E216" s="43">
        <v>24</v>
      </c>
      <c r="F216" s="44" t="str">
        <f t="shared" si="25"/>
        <v>Hora Cátedra Enseñanza Superior 24 hs</v>
      </c>
      <c r="G216" s="103">
        <f t="shared" si="26"/>
        <v>2376</v>
      </c>
      <c r="H216" s="110">
        <f>INT((G216*Valores!$C$2*100)+0.5)/100</f>
        <v>10722.18</v>
      </c>
      <c r="I216" s="114">
        <v>0</v>
      </c>
      <c r="J216" s="70">
        <f>INT((I216*Valores!$C$2*100)+0.5)/100</f>
        <v>0</v>
      </c>
      <c r="K216" s="132">
        <v>0</v>
      </c>
      <c r="L216" s="70">
        <f>INT((K216*Valores!$C$2*100)+0.5)/100</f>
        <v>0</v>
      </c>
      <c r="M216" s="100">
        <v>0</v>
      </c>
      <c r="N216" s="70">
        <f>INT((M216*Valores!$C$2*100)+0.5)/100</f>
        <v>0</v>
      </c>
      <c r="O216" s="70">
        <f t="shared" si="34"/>
        <v>0</v>
      </c>
      <c r="P216" s="70">
        <f t="shared" si="35"/>
        <v>13466.807999999999</v>
      </c>
      <c r="Q216" s="75">
        <f>Valores!$C$10*E216</f>
        <v>2136</v>
      </c>
      <c r="R216" s="75">
        <f>IF(E216&lt;15,(Valores!$D$9/15*E216),Valores!$D$9)</f>
        <v>2018.53</v>
      </c>
      <c r="S216" s="70">
        <v>0</v>
      </c>
      <c r="T216" s="72">
        <f>Valores!$C$43*E216</f>
        <v>500.15999999999997</v>
      </c>
      <c r="U216" s="75">
        <f>Valores!$C$11*E216</f>
        <v>1092</v>
      </c>
      <c r="V216" s="70">
        <f t="shared" si="24"/>
        <v>2402.4</v>
      </c>
      <c r="W216" s="70">
        <v>0</v>
      </c>
      <c r="X216" s="70">
        <v>0</v>
      </c>
      <c r="Y216" s="52">
        <v>0</v>
      </c>
      <c r="Z216" s="70">
        <f>Y216*Valores!$C$2</f>
        <v>0</v>
      </c>
      <c r="AA216" s="70">
        <v>0</v>
      </c>
      <c r="AB216" s="80">
        <f t="shared" si="27"/>
        <v>124.08</v>
      </c>
      <c r="AC216" s="70">
        <f t="shared" si="30"/>
        <v>0</v>
      </c>
      <c r="AD216" s="70">
        <f t="shared" si="29"/>
        <v>103.19999999999999</v>
      </c>
      <c r="AE216" s="94">
        <v>0</v>
      </c>
      <c r="AF216" s="70">
        <f>INT(((AE216*Valores!$C$2)*100)+0.5)/100</f>
        <v>0</v>
      </c>
      <c r="AG216" s="70">
        <f>Valores!$D$49*E216</f>
        <v>420</v>
      </c>
      <c r="AH216" s="70">
        <f>Valores!$D$50*E216</f>
        <v>120</v>
      </c>
      <c r="AI216" s="125">
        <f t="shared" si="33"/>
        <v>32013.358</v>
      </c>
      <c r="AJ216" s="72">
        <f>Valores!$C$13*E216</f>
        <v>400.08000000000004</v>
      </c>
      <c r="AK216" s="126">
        <f t="shared" si="31"/>
        <v>400.08000000000004</v>
      </c>
      <c r="AL216" s="71">
        <f t="shared" si="32"/>
        <v>7763.1523399999996</v>
      </c>
      <c r="AM216" s="80">
        <f>(9.17*E216)-0.08</f>
        <v>219.99999999999997</v>
      </c>
      <c r="AN216" s="47"/>
      <c r="AO216" s="20">
        <f t="shared" si="28"/>
        <v>96</v>
      </c>
      <c r="AP216" s="43" t="s">
        <v>464</v>
      </c>
    </row>
    <row r="217" spans="1:42" s="9" customFormat="1" ht="11.25" customHeight="1" x14ac:dyDescent="0.15">
      <c r="A217" s="9">
        <v>216</v>
      </c>
      <c r="D217" s="9" t="s">
        <v>355</v>
      </c>
      <c r="E217" s="9">
        <v>25</v>
      </c>
      <c r="F217" s="10" t="str">
        <f t="shared" si="25"/>
        <v>Hora Cátedra Enseñanza Superior 25 hs</v>
      </c>
      <c r="G217" s="102">
        <f t="shared" si="26"/>
        <v>2475</v>
      </c>
      <c r="H217" s="7">
        <f>INT((G217*Valores!$C$2*100)+0.5)/100</f>
        <v>11168.93</v>
      </c>
      <c r="I217" s="115">
        <v>0</v>
      </c>
      <c r="J217" s="67">
        <f>INT((I217*Valores!$C$2*100)+0.5)/100</f>
        <v>0</v>
      </c>
      <c r="K217" s="131">
        <v>0</v>
      </c>
      <c r="L217" s="67">
        <f>INT((K217*Valores!$C$2*100)+0.5)/100</f>
        <v>0</v>
      </c>
      <c r="M217" s="99">
        <v>0</v>
      </c>
      <c r="N217" s="67">
        <f>INT((M217*Valores!$C$2*100)+0.5)/100</f>
        <v>0</v>
      </c>
      <c r="O217" s="67">
        <f t="shared" si="34"/>
        <v>0</v>
      </c>
      <c r="P217" s="67">
        <f t="shared" si="35"/>
        <v>14027.915999999999</v>
      </c>
      <c r="Q217" s="53">
        <f>Valores!$C$10*E217</f>
        <v>2225</v>
      </c>
      <c r="R217" s="53">
        <f>IF(E217&lt;15,(Valores!$D$9/15*E217),Valores!$D$9)</f>
        <v>2018.53</v>
      </c>
      <c r="S217" s="67">
        <v>0</v>
      </c>
      <c r="T217" s="69">
        <f>Valores!$C$43*E217</f>
        <v>521</v>
      </c>
      <c r="U217" s="53">
        <f>Valores!$C$11*E217</f>
        <v>1137.5</v>
      </c>
      <c r="V217" s="67">
        <f t="shared" si="24"/>
        <v>2502.5</v>
      </c>
      <c r="W217" s="67">
        <v>0</v>
      </c>
      <c r="X217" s="67">
        <v>0</v>
      </c>
      <c r="Y217" s="33">
        <v>0</v>
      </c>
      <c r="Z217" s="67">
        <f>Y217*Valores!$C$2</f>
        <v>0</v>
      </c>
      <c r="AA217" s="67">
        <v>0</v>
      </c>
      <c r="AB217" s="79">
        <f t="shared" si="27"/>
        <v>129.25</v>
      </c>
      <c r="AC217" s="67">
        <f t="shared" si="30"/>
        <v>0</v>
      </c>
      <c r="AD217" s="67">
        <f t="shared" si="29"/>
        <v>107.5</v>
      </c>
      <c r="AE217" s="95">
        <v>0</v>
      </c>
      <c r="AF217" s="67">
        <f>INT(((AE217*Valores!$C$2)*100)+0.5)/100</f>
        <v>0</v>
      </c>
      <c r="AG217" s="67">
        <f>Valores!$D$49*E217</f>
        <v>437.5</v>
      </c>
      <c r="AH217" s="67">
        <f>Valores!$D$50*E217</f>
        <v>125</v>
      </c>
      <c r="AI217" s="123">
        <f t="shared" si="33"/>
        <v>33263.125999999997</v>
      </c>
      <c r="AJ217" s="69">
        <f>Valores!$C$13*E217</f>
        <v>416.75000000000006</v>
      </c>
      <c r="AK217" s="124">
        <f t="shared" si="31"/>
        <v>416.75000000000006</v>
      </c>
      <c r="AL217" s="68">
        <f t="shared" si="32"/>
        <v>8067.2689799999989</v>
      </c>
      <c r="AM217" s="79">
        <v>220</v>
      </c>
      <c r="AN217" s="20"/>
      <c r="AO217" s="20">
        <f t="shared" si="28"/>
        <v>100</v>
      </c>
      <c r="AP217" s="9" t="s">
        <v>464</v>
      </c>
    </row>
    <row r="218" spans="1:42" s="9" customFormat="1" ht="11.25" customHeight="1" x14ac:dyDescent="0.15">
      <c r="A218" s="9">
        <v>217</v>
      </c>
      <c r="D218" s="9" t="s">
        <v>355</v>
      </c>
      <c r="E218" s="9">
        <v>26</v>
      </c>
      <c r="F218" s="10" t="str">
        <f t="shared" si="25"/>
        <v>Hora Cátedra Enseñanza Superior 26 hs</v>
      </c>
      <c r="G218" s="102">
        <f t="shared" si="26"/>
        <v>2574</v>
      </c>
      <c r="H218" s="7">
        <f>INT((G218*Valores!$C$2*100)+0.5)/100</f>
        <v>11615.69</v>
      </c>
      <c r="I218" s="115">
        <v>0</v>
      </c>
      <c r="J218" s="67">
        <f>INT((I218*Valores!$C$2*100)+0.5)/100</f>
        <v>0</v>
      </c>
      <c r="K218" s="131">
        <v>0</v>
      </c>
      <c r="L218" s="67">
        <f>INT((K218*Valores!$C$2*100)+0.5)/100</f>
        <v>0</v>
      </c>
      <c r="M218" s="99">
        <v>0</v>
      </c>
      <c r="N218" s="67">
        <f>INT((M218*Valores!$C$2*100)+0.5)/100</f>
        <v>0</v>
      </c>
      <c r="O218" s="67">
        <f t="shared" si="34"/>
        <v>0</v>
      </c>
      <c r="P218" s="67">
        <f t="shared" si="35"/>
        <v>14589.036</v>
      </c>
      <c r="Q218" s="53">
        <f>Valores!$C$10*E218</f>
        <v>2314</v>
      </c>
      <c r="R218" s="53">
        <f>IF(E218&lt;15,(Valores!$D$9/15*E218),Valores!$D$9)</f>
        <v>2018.53</v>
      </c>
      <c r="S218" s="67">
        <v>0</v>
      </c>
      <c r="T218" s="69">
        <f>Valores!$C$43*E218</f>
        <v>541.84</v>
      </c>
      <c r="U218" s="53">
        <f>Valores!$C$11*E218</f>
        <v>1183</v>
      </c>
      <c r="V218" s="67">
        <f t="shared" si="24"/>
        <v>2602.6000000000004</v>
      </c>
      <c r="W218" s="67">
        <v>0</v>
      </c>
      <c r="X218" s="67">
        <v>0</v>
      </c>
      <c r="Y218" s="33">
        <v>0</v>
      </c>
      <c r="Z218" s="67">
        <f>Y218*Valores!$C$2</f>
        <v>0</v>
      </c>
      <c r="AA218" s="67">
        <v>0</v>
      </c>
      <c r="AB218" s="79">
        <f t="shared" si="27"/>
        <v>134.41999999999999</v>
      </c>
      <c r="AC218" s="67">
        <f t="shared" si="30"/>
        <v>0</v>
      </c>
      <c r="AD218" s="67">
        <f t="shared" si="29"/>
        <v>111.8</v>
      </c>
      <c r="AE218" s="95">
        <v>0</v>
      </c>
      <c r="AF218" s="67">
        <f>INT(((AE218*Valores!$C$2)*100)+0.5)/100</f>
        <v>0</v>
      </c>
      <c r="AG218" s="67">
        <f>Valores!$D$49*E218</f>
        <v>455</v>
      </c>
      <c r="AH218" s="67">
        <f>Valores!$D$50*E218</f>
        <v>130</v>
      </c>
      <c r="AI218" s="123">
        <f t="shared" si="33"/>
        <v>34512.915999999997</v>
      </c>
      <c r="AJ218" s="69">
        <f>Valores!$C$13*E218</f>
        <v>433.42000000000007</v>
      </c>
      <c r="AK218" s="124">
        <f t="shared" si="31"/>
        <v>433.42000000000007</v>
      </c>
      <c r="AL218" s="68">
        <f t="shared" si="32"/>
        <v>8371.3906799999986</v>
      </c>
      <c r="AM218" s="79">
        <v>220</v>
      </c>
      <c r="AN218" s="20"/>
      <c r="AO218" s="20">
        <f t="shared" si="28"/>
        <v>104</v>
      </c>
      <c r="AP218" s="9" t="s">
        <v>464</v>
      </c>
    </row>
    <row r="219" spans="1:42" s="9" customFormat="1" ht="11.25" customHeight="1" x14ac:dyDescent="0.15">
      <c r="A219" s="9">
        <v>218</v>
      </c>
      <c r="D219" s="9" t="s">
        <v>355</v>
      </c>
      <c r="E219" s="9">
        <v>27</v>
      </c>
      <c r="F219" s="10" t="str">
        <f t="shared" si="25"/>
        <v>Hora Cátedra Enseñanza Superior 27 hs</v>
      </c>
      <c r="G219" s="102">
        <f t="shared" si="26"/>
        <v>2673</v>
      </c>
      <c r="H219" s="7">
        <f>INT((G219*Valores!$C$2*100)+0.5)/100</f>
        <v>12062.45</v>
      </c>
      <c r="I219" s="115">
        <v>0</v>
      </c>
      <c r="J219" s="67">
        <f>INT((I219*Valores!$C$2*100)+0.5)/100</f>
        <v>0</v>
      </c>
      <c r="K219" s="131">
        <v>0</v>
      </c>
      <c r="L219" s="67">
        <f>INT((K219*Valores!$C$2*100)+0.5)/100</f>
        <v>0</v>
      </c>
      <c r="M219" s="99">
        <v>0</v>
      </c>
      <c r="N219" s="67">
        <f>INT((M219*Valores!$C$2*100)+0.5)/100</f>
        <v>0</v>
      </c>
      <c r="O219" s="67">
        <f t="shared" si="34"/>
        <v>0</v>
      </c>
      <c r="P219" s="67">
        <f t="shared" si="35"/>
        <v>15150.156000000001</v>
      </c>
      <c r="Q219" s="53">
        <f>Valores!$C$10*E219</f>
        <v>2403</v>
      </c>
      <c r="R219" s="53">
        <f>IF(E219&lt;15,(Valores!$D$9/15*E219),Valores!$D$9)</f>
        <v>2018.53</v>
      </c>
      <c r="S219" s="67">
        <v>0</v>
      </c>
      <c r="T219" s="69">
        <f>Valores!$C$43*E219</f>
        <v>562.67999999999995</v>
      </c>
      <c r="U219" s="69">
        <f>Valores!$C$11*E219</f>
        <v>1228.5</v>
      </c>
      <c r="V219" s="67">
        <f t="shared" si="24"/>
        <v>2702.7000000000003</v>
      </c>
      <c r="W219" s="67">
        <v>0</v>
      </c>
      <c r="X219" s="67">
        <v>0</v>
      </c>
      <c r="Y219" s="33">
        <v>0</v>
      </c>
      <c r="Z219" s="67">
        <f>Y219*Valores!$C$2</f>
        <v>0</v>
      </c>
      <c r="AA219" s="67">
        <v>0</v>
      </c>
      <c r="AB219" s="79">
        <f t="shared" si="27"/>
        <v>139.59</v>
      </c>
      <c r="AC219" s="67">
        <f t="shared" si="30"/>
        <v>0</v>
      </c>
      <c r="AD219" s="67">
        <f t="shared" si="29"/>
        <v>116.1</v>
      </c>
      <c r="AE219" s="95">
        <v>0</v>
      </c>
      <c r="AF219" s="67">
        <f>INT(((AE219*Valores!$C$2)*100)+0.5)/100</f>
        <v>0</v>
      </c>
      <c r="AG219" s="67">
        <f>Valores!$D$49*E219</f>
        <v>472.5</v>
      </c>
      <c r="AH219" s="67">
        <f>Valores!$D$50*E219</f>
        <v>135</v>
      </c>
      <c r="AI219" s="123">
        <f t="shared" si="33"/>
        <v>35762.705999999991</v>
      </c>
      <c r="AJ219" s="69">
        <f>Valores!$C$13*E219</f>
        <v>450.09000000000003</v>
      </c>
      <c r="AK219" s="124">
        <f t="shared" si="31"/>
        <v>450.09000000000003</v>
      </c>
      <c r="AL219" s="68">
        <f t="shared" si="32"/>
        <v>8675.5123799999983</v>
      </c>
      <c r="AM219" s="79">
        <v>220</v>
      </c>
      <c r="AN219" s="20"/>
      <c r="AO219" s="20">
        <f t="shared" si="28"/>
        <v>108</v>
      </c>
      <c r="AP219" s="9" t="s">
        <v>464</v>
      </c>
    </row>
    <row r="220" spans="1:42" s="9" customFormat="1" ht="11.25" customHeight="1" x14ac:dyDescent="0.15">
      <c r="A220" s="9">
        <v>219</v>
      </c>
      <c r="D220" s="9" t="s">
        <v>355</v>
      </c>
      <c r="E220" s="9">
        <v>28</v>
      </c>
      <c r="F220" s="10" t="str">
        <f t="shared" si="25"/>
        <v>Hora Cátedra Enseñanza Superior 28 hs</v>
      </c>
      <c r="G220" s="102">
        <f t="shared" si="26"/>
        <v>2772</v>
      </c>
      <c r="H220" s="7">
        <f>INT((G220*Valores!$C$2*100)+0.5)/100</f>
        <v>12509.2</v>
      </c>
      <c r="I220" s="115">
        <v>0</v>
      </c>
      <c r="J220" s="67">
        <f>INT((I220*Valores!$C$2*100)+0.5)/100</f>
        <v>0</v>
      </c>
      <c r="K220" s="131">
        <v>0</v>
      </c>
      <c r="L220" s="67">
        <f>INT((K220*Valores!$C$2*100)+0.5)/100</f>
        <v>0</v>
      </c>
      <c r="M220" s="99">
        <v>0</v>
      </c>
      <c r="N220" s="67">
        <f>INT((M220*Valores!$C$2*100)+0.5)/100</f>
        <v>0</v>
      </c>
      <c r="O220" s="67">
        <f t="shared" si="34"/>
        <v>0</v>
      </c>
      <c r="P220" s="67">
        <f t="shared" si="35"/>
        <v>15711.264000000001</v>
      </c>
      <c r="Q220" s="53">
        <f>Valores!$C$10*E220</f>
        <v>2492</v>
      </c>
      <c r="R220" s="53">
        <f>IF(E220&lt;15,(Valores!$D$9/15*E220),Valores!$D$9)</f>
        <v>2018.53</v>
      </c>
      <c r="S220" s="67">
        <v>0</v>
      </c>
      <c r="T220" s="69">
        <f>Valores!$C$43*E220</f>
        <v>583.52</v>
      </c>
      <c r="U220" s="53">
        <f>Valores!$C$11*E220</f>
        <v>1274</v>
      </c>
      <c r="V220" s="67">
        <f t="shared" si="24"/>
        <v>2802.8</v>
      </c>
      <c r="W220" s="67">
        <v>0</v>
      </c>
      <c r="X220" s="67">
        <v>0</v>
      </c>
      <c r="Y220" s="33">
        <v>0</v>
      </c>
      <c r="Z220" s="67">
        <f>Y220*Valores!$C$2</f>
        <v>0</v>
      </c>
      <c r="AA220" s="67">
        <v>0</v>
      </c>
      <c r="AB220" s="79">
        <f t="shared" si="27"/>
        <v>144.76</v>
      </c>
      <c r="AC220" s="67">
        <f t="shared" si="30"/>
        <v>0</v>
      </c>
      <c r="AD220" s="67">
        <f t="shared" si="29"/>
        <v>120.39999999999999</v>
      </c>
      <c r="AE220" s="95">
        <v>0</v>
      </c>
      <c r="AF220" s="67">
        <f>INT(((AE220*Valores!$C$2)*100)+0.5)/100</f>
        <v>0</v>
      </c>
      <c r="AG220" s="67">
        <f>Valores!$D$49*E220</f>
        <v>490</v>
      </c>
      <c r="AH220" s="67">
        <f>Valores!$D$50*E220</f>
        <v>140</v>
      </c>
      <c r="AI220" s="123">
        <f t="shared" si="33"/>
        <v>37012.474000000002</v>
      </c>
      <c r="AJ220" s="69">
        <f>Valores!$C$13*E220</f>
        <v>466.76000000000005</v>
      </c>
      <c r="AK220" s="124">
        <f t="shared" si="31"/>
        <v>466.76000000000005</v>
      </c>
      <c r="AL220" s="68">
        <f t="shared" si="32"/>
        <v>8979.6290200000003</v>
      </c>
      <c r="AM220" s="79">
        <v>220</v>
      </c>
      <c r="AN220" s="20"/>
      <c r="AO220" s="20">
        <f t="shared" si="28"/>
        <v>112</v>
      </c>
      <c r="AP220" s="9" t="s">
        <v>464</v>
      </c>
    </row>
    <row r="221" spans="1:42" s="9" customFormat="1" ht="11.25" customHeight="1" thickBot="1" x14ac:dyDescent="0.2">
      <c r="A221" s="43">
        <v>220</v>
      </c>
      <c r="B221" s="43" t="s">
        <v>460</v>
      </c>
      <c r="C221" s="43"/>
      <c r="D221" s="43" t="s">
        <v>355</v>
      </c>
      <c r="E221" s="43">
        <v>29</v>
      </c>
      <c r="F221" s="44" t="str">
        <f t="shared" si="25"/>
        <v>Hora Cátedra Enseñanza Superior 29 hs</v>
      </c>
      <c r="G221" s="103">
        <f t="shared" si="26"/>
        <v>2871</v>
      </c>
      <c r="H221" s="110">
        <f>INT((G221*Valores!$C$2*100)+0.5)/100</f>
        <v>12955.96</v>
      </c>
      <c r="I221" s="114">
        <v>0</v>
      </c>
      <c r="J221" s="70">
        <f>INT((I221*Valores!$C$2*100)+0.5)/100</f>
        <v>0</v>
      </c>
      <c r="K221" s="132">
        <v>0</v>
      </c>
      <c r="L221" s="70">
        <f>INT((K221*Valores!$C$2*100)+0.5)/100</f>
        <v>0</v>
      </c>
      <c r="M221" s="100">
        <v>0</v>
      </c>
      <c r="N221" s="70">
        <f>INT((M221*Valores!$C$2*100)+0.5)/100</f>
        <v>0</v>
      </c>
      <c r="O221" s="70">
        <f t="shared" si="34"/>
        <v>0</v>
      </c>
      <c r="P221" s="70">
        <f t="shared" si="35"/>
        <v>16272.383999999998</v>
      </c>
      <c r="Q221" s="75">
        <f>Valores!$C$10*E221</f>
        <v>2581</v>
      </c>
      <c r="R221" s="75">
        <f>IF(E221&lt;15,(Valores!$D$9/15*E221),Valores!$D$9)</f>
        <v>2018.53</v>
      </c>
      <c r="S221" s="70">
        <v>0</v>
      </c>
      <c r="T221" s="72">
        <f>Valores!$C$43*E221</f>
        <v>604.36</v>
      </c>
      <c r="U221" s="72">
        <f>Valores!$C$11*E221</f>
        <v>1319.5</v>
      </c>
      <c r="V221" s="70">
        <f t="shared" si="24"/>
        <v>2902.9</v>
      </c>
      <c r="W221" s="70">
        <v>0</v>
      </c>
      <c r="X221" s="70">
        <v>0</v>
      </c>
      <c r="Y221" s="52">
        <v>0</v>
      </c>
      <c r="Z221" s="70">
        <f>Y221*Valores!$C$2</f>
        <v>0</v>
      </c>
      <c r="AA221" s="70">
        <v>0</v>
      </c>
      <c r="AB221" s="80">
        <f t="shared" si="27"/>
        <v>149.93</v>
      </c>
      <c r="AC221" s="70">
        <f t="shared" si="30"/>
        <v>0</v>
      </c>
      <c r="AD221" s="70">
        <f t="shared" si="29"/>
        <v>124.69999999999999</v>
      </c>
      <c r="AE221" s="94">
        <v>0</v>
      </c>
      <c r="AF221" s="70">
        <f>INT(((AE221*Valores!$C$2)*100)+0.5)/100</f>
        <v>0</v>
      </c>
      <c r="AG221" s="70">
        <f>Valores!$D$49*E221</f>
        <v>507.5</v>
      </c>
      <c r="AH221" s="70">
        <f>Valores!$D$50*E221</f>
        <v>145</v>
      </c>
      <c r="AI221" s="125">
        <f t="shared" si="33"/>
        <v>38262.263999999996</v>
      </c>
      <c r="AJ221" s="72">
        <f>Valores!$C$13*E221</f>
        <v>483.43000000000006</v>
      </c>
      <c r="AK221" s="126">
        <f t="shared" si="31"/>
        <v>483.43000000000006</v>
      </c>
      <c r="AL221" s="71">
        <f t="shared" si="32"/>
        <v>9283.7507199999982</v>
      </c>
      <c r="AM221" s="80">
        <v>220</v>
      </c>
      <c r="AN221" s="47"/>
      <c r="AO221" s="87">
        <f t="shared" si="28"/>
        <v>116</v>
      </c>
      <c r="AP221" s="43" t="s">
        <v>464</v>
      </c>
    </row>
    <row r="222" spans="1:42" s="9" customFormat="1" ht="11.25" customHeight="1" thickTop="1" thickBot="1" x14ac:dyDescent="0.2">
      <c r="A222" s="9">
        <v>221</v>
      </c>
      <c r="D222" s="9" t="s">
        <v>355</v>
      </c>
      <c r="E222" s="9">
        <v>30</v>
      </c>
      <c r="F222" s="10" t="str">
        <f t="shared" si="25"/>
        <v>Hora Cátedra Enseñanza Superior 30 hs</v>
      </c>
      <c r="G222" s="102">
        <f t="shared" si="26"/>
        <v>2970</v>
      </c>
      <c r="H222" s="7">
        <f>INT((G222*Valores!$C$2*100)+0.5)/100</f>
        <v>13402.72</v>
      </c>
      <c r="I222" s="115">
        <v>0</v>
      </c>
      <c r="J222" s="67">
        <f>INT((I222*Valores!$C$2*100)+0.5)/100</f>
        <v>0</v>
      </c>
      <c r="K222" s="131">
        <v>0</v>
      </c>
      <c r="L222" s="67">
        <f>INT((K222*Valores!$C$2*100)+0.5)/100</f>
        <v>0</v>
      </c>
      <c r="M222" s="99">
        <v>0</v>
      </c>
      <c r="N222" s="67">
        <f>INT((M222*Valores!$C$2*100)+0.5)/100</f>
        <v>0</v>
      </c>
      <c r="O222" s="67">
        <f t="shared" si="34"/>
        <v>0</v>
      </c>
      <c r="P222" s="67">
        <f t="shared" si="35"/>
        <v>16833.504000000001</v>
      </c>
      <c r="Q222" s="53">
        <f>Valores!$C$10*E222</f>
        <v>2670</v>
      </c>
      <c r="R222" s="53">
        <f>IF(E222&lt;15,(Valores!$D$9/15*E222),Valores!$D$9)</f>
        <v>2018.53</v>
      </c>
      <c r="S222" s="67">
        <v>0</v>
      </c>
      <c r="T222" s="69">
        <f>Valores!$C$43*E222</f>
        <v>625.20000000000005</v>
      </c>
      <c r="U222" s="53">
        <f>Valores!$C$11*E222</f>
        <v>1365</v>
      </c>
      <c r="V222" s="67">
        <f t="shared" si="24"/>
        <v>3003.0000000000005</v>
      </c>
      <c r="W222" s="67">
        <v>0</v>
      </c>
      <c r="X222" s="67">
        <v>0</v>
      </c>
      <c r="Y222" s="33">
        <v>0</v>
      </c>
      <c r="Z222" s="67">
        <f>Y222*Valores!$C$2</f>
        <v>0</v>
      </c>
      <c r="AA222" s="67">
        <v>0</v>
      </c>
      <c r="AB222" s="79">
        <f t="shared" si="27"/>
        <v>155.1</v>
      </c>
      <c r="AC222" s="67">
        <f t="shared" si="30"/>
        <v>0</v>
      </c>
      <c r="AD222" s="67">
        <f t="shared" si="29"/>
        <v>129</v>
      </c>
      <c r="AE222" s="95">
        <v>0</v>
      </c>
      <c r="AF222" s="67">
        <f>INT(((AE222*Valores!$C$2)*100)+0.5)/100</f>
        <v>0</v>
      </c>
      <c r="AG222" s="67">
        <f>Valores!$D$49*E222</f>
        <v>525</v>
      </c>
      <c r="AH222" s="67">
        <f>Valores!$D$50*E222</f>
        <v>150</v>
      </c>
      <c r="AI222" s="123">
        <f t="shared" si="33"/>
        <v>39512.053999999996</v>
      </c>
      <c r="AJ222" s="69">
        <f>Valores!$C$13*E222</f>
        <v>500.1</v>
      </c>
      <c r="AK222" s="124">
        <f t="shared" si="31"/>
        <v>500.1</v>
      </c>
      <c r="AL222" s="68">
        <f t="shared" si="32"/>
        <v>9587.8724199999997</v>
      </c>
      <c r="AM222" s="79">
        <v>220</v>
      </c>
      <c r="AN222" s="20"/>
      <c r="AO222" s="87">
        <f t="shared" si="28"/>
        <v>120</v>
      </c>
      <c r="AP222" s="9" t="s">
        <v>464</v>
      </c>
    </row>
    <row r="223" spans="1:42" s="9" customFormat="1" ht="11.25" customHeight="1" thickTop="1" thickBot="1" x14ac:dyDescent="0.2">
      <c r="A223" s="9">
        <v>222</v>
      </c>
      <c r="D223" s="9" t="s">
        <v>355</v>
      </c>
      <c r="E223" s="9">
        <v>31</v>
      </c>
      <c r="F223" s="10" t="str">
        <f t="shared" si="25"/>
        <v>Hora Cátedra Enseñanza Superior 31 hs</v>
      </c>
      <c r="G223" s="102">
        <f t="shared" si="26"/>
        <v>3069</v>
      </c>
      <c r="H223" s="7">
        <f>INT((G223*Valores!$C$2*100)+0.5)/100</f>
        <v>13849.48</v>
      </c>
      <c r="I223" s="115">
        <v>0</v>
      </c>
      <c r="J223" s="67">
        <f>INT((I223*Valores!$C$2*100)+0.5)/100</f>
        <v>0</v>
      </c>
      <c r="K223" s="131">
        <v>0</v>
      </c>
      <c r="L223" s="67">
        <f>INT((K223*Valores!$C$2*100)+0.5)/100</f>
        <v>0</v>
      </c>
      <c r="M223" s="99">
        <v>0</v>
      </c>
      <c r="N223" s="67">
        <f>INT((M223*Valores!$C$2*100)+0.5)/100</f>
        <v>0</v>
      </c>
      <c r="O223" s="67">
        <f t="shared" si="34"/>
        <v>0</v>
      </c>
      <c r="P223" s="67">
        <f t="shared" si="35"/>
        <v>17394.624</v>
      </c>
      <c r="Q223" s="53">
        <f>Valores!$C$10*E223</f>
        <v>2759</v>
      </c>
      <c r="R223" s="53">
        <f>IF(E223&lt;15,(Valores!$D$9/15*E223),Valores!$D$9)</f>
        <v>2018.53</v>
      </c>
      <c r="S223" s="67">
        <v>0</v>
      </c>
      <c r="T223" s="69">
        <f>Valores!$C$43*E223</f>
        <v>646.04</v>
      </c>
      <c r="U223" s="69">
        <f>Valores!$C$11*E223</f>
        <v>1410.5</v>
      </c>
      <c r="V223" s="67">
        <f t="shared" si="24"/>
        <v>3103.1000000000004</v>
      </c>
      <c r="W223" s="67">
        <v>0</v>
      </c>
      <c r="X223" s="67">
        <v>0</v>
      </c>
      <c r="Y223" s="33">
        <v>0</v>
      </c>
      <c r="Z223" s="67">
        <f>Y223*Valores!$C$2</f>
        <v>0</v>
      </c>
      <c r="AA223" s="67">
        <v>0</v>
      </c>
      <c r="AB223" s="79">
        <f t="shared" si="27"/>
        <v>160.27000000000001</v>
      </c>
      <c r="AC223" s="67">
        <f t="shared" si="30"/>
        <v>0</v>
      </c>
      <c r="AD223" s="67">
        <f>129.04/30*E222</f>
        <v>129.04</v>
      </c>
      <c r="AE223" s="95">
        <v>0</v>
      </c>
      <c r="AF223" s="67">
        <f>INT(((AE223*Valores!$C$2)*100)+0.5)/100</f>
        <v>0</v>
      </c>
      <c r="AG223" s="67">
        <f t="shared" ref="AG223:AH228" si="37">AG222</f>
        <v>525</v>
      </c>
      <c r="AH223" s="67">
        <f t="shared" si="37"/>
        <v>150</v>
      </c>
      <c r="AI223" s="123">
        <f t="shared" si="33"/>
        <v>40735.083999999995</v>
      </c>
      <c r="AJ223" s="69">
        <f>Valores!$C$13*E223</f>
        <v>516.7700000000001</v>
      </c>
      <c r="AK223" s="124">
        <f t="shared" si="31"/>
        <v>516.7700000000001</v>
      </c>
      <c r="AL223" s="68">
        <f t="shared" si="32"/>
        <v>9885.8393199999991</v>
      </c>
      <c r="AM223" s="79">
        <v>220</v>
      </c>
      <c r="AN223" s="20"/>
      <c r="AO223" s="87">
        <f t="shared" si="28"/>
        <v>124</v>
      </c>
      <c r="AP223" s="9" t="s">
        <v>464</v>
      </c>
    </row>
    <row r="224" spans="1:42" s="9" customFormat="1" ht="11.25" customHeight="1" thickTop="1" x14ac:dyDescent="0.15">
      <c r="A224" s="9">
        <v>223</v>
      </c>
      <c r="D224" s="9" t="s">
        <v>355</v>
      </c>
      <c r="E224" s="9">
        <v>32</v>
      </c>
      <c r="F224" s="10" t="str">
        <f t="shared" si="25"/>
        <v>Hora Cátedra Enseñanza Superior 32 hs</v>
      </c>
      <c r="G224" s="102">
        <f t="shared" si="26"/>
        <v>3168</v>
      </c>
      <c r="H224" s="7">
        <f>INT((G224*Valores!$C$2*100)+0.5)/100</f>
        <v>14296.23</v>
      </c>
      <c r="I224" s="115">
        <v>0</v>
      </c>
      <c r="J224" s="67">
        <f>INT((I224*Valores!$C$2*100)+0.5)/100</f>
        <v>0</v>
      </c>
      <c r="K224" s="131">
        <v>0</v>
      </c>
      <c r="L224" s="67">
        <f>INT((K224*Valores!$C$2*100)+0.5)/100</f>
        <v>0</v>
      </c>
      <c r="M224" s="99">
        <v>0</v>
      </c>
      <c r="N224" s="67">
        <f>INT((M224*Valores!$C$2*100)+0.5)/100</f>
        <v>0</v>
      </c>
      <c r="O224" s="67">
        <f t="shared" si="34"/>
        <v>0</v>
      </c>
      <c r="P224" s="67">
        <f t="shared" si="35"/>
        <v>17955.731999999996</v>
      </c>
      <c r="Q224" s="53">
        <f>Valores!$C$10*E224</f>
        <v>2848</v>
      </c>
      <c r="R224" s="53">
        <f>IF(E224&lt;15,(Valores!$D$9/15*E224),Valores!$D$9)</f>
        <v>2018.53</v>
      </c>
      <c r="S224" s="67">
        <v>0</v>
      </c>
      <c r="T224" s="69">
        <f>Valores!$C$43*E224</f>
        <v>666.88</v>
      </c>
      <c r="U224" s="53">
        <f>Valores!$C$11*E224</f>
        <v>1456</v>
      </c>
      <c r="V224" s="67">
        <f t="shared" si="24"/>
        <v>3203.2000000000003</v>
      </c>
      <c r="W224" s="67">
        <v>0</v>
      </c>
      <c r="X224" s="67">
        <v>0</v>
      </c>
      <c r="Y224" s="33">
        <v>0</v>
      </c>
      <c r="Z224" s="67">
        <f>Y224*Valores!$C$2</f>
        <v>0</v>
      </c>
      <c r="AA224" s="67">
        <v>0</v>
      </c>
      <c r="AB224" s="79">
        <f t="shared" si="27"/>
        <v>165.44</v>
      </c>
      <c r="AC224" s="67">
        <f t="shared" si="30"/>
        <v>0</v>
      </c>
      <c r="AD224" s="67">
        <f>129.04/30*E222</f>
        <v>129.04</v>
      </c>
      <c r="AE224" s="95">
        <v>0</v>
      </c>
      <c r="AF224" s="67">
        <f>INT(((AE224*Valores!$C$2)*100)+0.5)/100</f>
        <v>0</v>
      </c>
      <c r="AG224" s="67">
        <f t="shared" si="37"/>
        <v>525</v>
      </c>
      <c r="AH224" s="67">
        <f t="shared" si="37"/>
        <v>150</v>
      </c>
      <c r="AI224" s="123">
        <f t="shared" si="33"/>
        <v>41958.051999999996</v>
      </c>
      <c r="AJ224" s="69">
        <f>Valores!$C$13*E224</f>
        <v>533.44000000000005</v>
      </c>
      <c r="AK224" s="124">
        <f t="shared" si="31"/>
        <v>533.44000000000005</v>
      </c>
      <c r="AL224" s="68">
        <f t="shared" si="32"/>
        <v>10183.791959999999</v>
      </c>
      <c r="AM224" s="79">
        <v>220</v>
      </c>
      <c r="AN224" s="20"/>
      <c r="AO224" s="47">
        <f t="shared" si="28"/>
        <v>128</v>
      </c>
      <c r="AP224" s="9" t="s">
        <v>464</v>
      </c>
    </row>
    <row r="225" spans="1:42" s="9" customFormat="1" ht="11.25" customHeight="1" x14ac:dyDescent="0.15">
      <c r="A225" s="9">
        <v>224</v>
      </c>
      <c r="D225" s="9" t="s">
        <v>355</v>
      </c>
      <c r="E225" s="9">
        <v>33</v>
      </c>
      <c r="F225" s="10" t="str">
        <f t="shared" si="25"/>
        <v>Hora Cátedra Enseñanza Superior 33 hs</v>
      </c>
      <c r="G225" s="102">
        <f t="shared" si="26"/>
        <v>3267</v>
      </c>
      <c r="H225" s="7">
        <f>INT((G225*Valores!$C$2*100)+0.5)/100</f>
        <v>14742.99</v>
      </c>
      <c r="I225" s="115">
        <v>0</v>
      </c>
      <c r="J225" s="67">
        <f>INT((I225*Valores!$C$2*100)+0.5)/100</f>
        <v>0</v>
      </c>
      <c r="K225" s="131">
        <v>0</v>
      </c>
      <c r="L225" s="67">
        <f>INT((K225*Valores!$C$2*100)+0.5)/100</f>
        <v>0</v>
      </c>
      <c r="M225" s="99">
        <v>0</v>
      </c>
      <c r="N225" s="67">
        <f>INT((M225*Valores!$C$2*100)+0.5)/100</f>
        <v>0</v>
      </c>
      <c r="O225" s="67">
        <f t="shared" si="34"/>
        <v>0</v>
      </c>
      <c r="P225" s="67">
        <f t="shared" si="35"/>
        <v>18516.851999999999</v>
      </c>
      <c r="Q225" s="53">
        <f>Valores!$C$10*E225</f>
        <v>2937</v>
      </c>
      <c r="R225" s="53">
        <f>IF(E225&lt;15,(Valores!$D$9/15*E225),Valores!$D$9)</f>
        <v>2018.53</v>
      </c>
      <c r="S225" s="67">
        <v>0</v>
      </c>
      <c r="T225" s="69">
        <f>Valores!$C$43*E225</f>
        <v>687.72</v>
      </c>
      <c r="U225" s="53">
        <f>Valores!$C$11*E225</f>
        <v>1501.5</v>
      </c>
      <c r="V225" s="67">
        <f t="shared" si="24"/>
        <v>3303.3</v>
      </c>
      <c r="W225" s="67">
        <v>0</v>
      </c>
      <c r="X225" s="67">
        <v>0</v>
      </c>
      <c r="Y225" s="33">
        <v>0</v>
      </c>
      <c r="Z225" s="67">
        <f>Y225*Valores!$C$2</f>
        <v>0</v>
      </c>
      <c r="AA225" s="67">
        <v>0</v>
      </c>
      <c r="AB225" s="79">
        <f t="shared" ref="AB225:AB256" si="38">(5.17)*E225</f>
        <v>170.60999999999999</v>
      </c>
      <c r="AC225" s="67">
        <f t="shared" si="30"/>
        <v>0</v>
      </c>
      <c r="AD225" s="67">
        <f>129.04/30*E222</f>
        <v>129.04</v>
      </c>
      <c r="AE225" s="95">
        <v>0</v>
      </c>
      <c r="AF225" s="67">
        <f>INT(((AE225*Valores!$C$2)*100)+0.5)/100</f>
        <v>0</v>
      </c>
      <c r="AG225" s="67">
        <f t="shared" si="37"/>
        <v>525</v>
      </c>
      <c r="AH225" s="67">
        <f t="shared" si="37"/>
        <v>150</v>
      </c>
      <c r="AI225" s="123">
        <f t="shared" si="33"/>
        <v>43181.042000000001</v>
      </c>
      <c r="AJ225" s="69">
        <f>Valores!$C$13*E225</f>
        <v>550.11</v>
      </c>
      <c r="AK225" s="124">
        <f t="shared" si="31"/>
        <v>550.11</v>
      </c>
      <c r="AL225" s="68">
        <f t="shared" si="32"/>
        <v>10481.749659999999</v>
      </c>
      <c r="AM225" s="79">
        <v>220</v>
      </c>
      <c r="AN225" s="20"/>
      <c r="AO225" s="20">
        <f t="shared" ref="AO225:AO256" si="39">4*E225</f>
        <v>132</v>
      </c>
      <c r="AP225" s="9" t="s">
        <v>464</v>
      </c>
    </row>
    <row r="226" spans="1:42" s="9" customFormat="1" ht="11.25" customHeight="1" x14ac:dyDescent="0.15">
      <c r="A226" s="43">
        <v>225</v>
      </c>
      <c r="B226" s="43" t="s">
        <v>460</v>
      </c>
      <c r="C226" s="43"/>
      <c r="D226" s="43" t="s">
        <v>355</v>
      </c>
      <c r="E226" s="43">
        <v>34</v>
      </c>
      <c r="F226" s="44" t="str">
        <f t="shared" si="25"/>
        <v>Hora Cátedra Enseñanza Superior 34 hs</v>
      </c>
      <c r="G226" s="103">
        <f t="shared" si="26"/>
        <v>3366</v>
      </c>
      <c r="H226" s="110">
        <f>INT((G226*Valores!$C$2*100)+0.5)/100</f>
        <v>15189.75</v>
      </c>
      <c r="I226" s="114">
        <v>0</v>
      </c>
      <c r="J226" s="70">
        <f>INT((I226*Valores!$C$2*100)+0.5)/100</f>
        <v>0</v>
      </c>
      <c r="K226" s="132">
        <v>0</v>
      </c>
      <c r="L226" s="70">
        <f>INT((K226*Valores!$C$2*100)+0.5)/100</f>
        <v>0</v>
      </c>
      <c r="M226" s="100">
        <v>0</v>
      </c>
      <c r="N226" s="70">
        <f>INT((M226*Valores!$C$2*100)+0.5)/100</f>
        <v>0</v>
      </c>
      <c r="O226" s="70">
        <f t="shared" si="34"/>
        <v>0</v>
      </c>
      <c r="P226" s="70">
        <f t="shared" si="35"/>
        <v>19077.971999999998</v>
      </c>
      <c r="Q226" s="75">
        <f>Valores!$C$10*E226</f>
        <v>3026</v>
      </c>
      <c r="R226" s="75">
        <f>IF(E226&lt;15,(Valores!$D$9/15*E226),Valores!$D$9)</f>
        <v>2018.53</v>
      </c>
      <c r="S226" s="70">
        <v>0</v>
      </c>
      <c r="T226" s="72">
        <f>Valores!$C$43*E226</f>
        <v>708.56</v>
      </c>
      <c r="U226" s="75">
        <f>Valores!$C$11*E226</f>
        <v>1547</v>
      </c>
      <c r="V226" s="70">
        <f t="shared" si="24"/>
        <v>3403.4</v>
      </c>
      <c r="W226" s="70">
        <v>0</v>
      </c>
      <c r="X226" s="70">
        <v>0</v>
      </c>
      <c r="Y226" s="52">
        <v>0</v>
      </c>
      <c r="Z226" s="70">
        <f>Y226*Valores!$C$2</f>
        <v>0</v>
      </c>
      <c r="AA226" s="70">
        <v>0</v>
      </c>
      <c r="AB226" s="80">
        <f t="shared" si="38"/>
        <v>175.78</v>
      </c>
      <c r="AC226" s="70">
        <f t="shared" si="30"/>
        <v>0</v>
      </c>
      <c r="AD226" s="70">
        <f>129.04/30*E222</f>
        <v>129.04</v>
      </c>
      <c r="AE226" s="94">
        <v>0</v>
      </c>
      <c r="AF226" s="70">
        <f>INT(((AE226*Valores!$C$2)*100)+0.5)/100</f>
        <v>0</v>
      </c>
      <c r="AG226" s="70">
        <f t="shared" si="37"/>
        <v>525</v>
      </c>
      <c r="AH226" s="70">
        <f t="shared" si="37"/>
        <v>150</v>
      </c>
      <c r="AI226" s="125">
        <f t="shared" si="33"/>
        <v>44404.031999999992</v>
      </c>
      <c r="AJ226" s="72">
        <f>Valores!$C$13*E226</f>
        <v>566.78000000000009</v>
      </c>
      <c r="AK226" s="126">
        <f t="shared" si="31"/>
        <v>566.78000000000009</v>
      </c>
      <c r="AL226" s="71">
        <f t="shared" si="32"/>
        <v>10779.707359999999</v>
      </c>
      <c r="AM226" s="80">
        <v>220</v>
      </c>
      <c r="AN226" s="47"/>
      <c r="AO226" s="20">
        <f t="shared" si="39"/>
        <v>136</v>
      </c>
      <c r="AP226" s="43" t="s">
        <v>464</v>
      </c>
    </row>
    <row r="227" spans="1:42" s="9" customFormat="1" ht="11.25" customHeight="1" x14ac:dyDescent="0.15">
      <c r="A227" s="9">
        <v>226</v>
      </c>
      <c r="D227" s="9" t="s">
        <v>355</v>
      </c>
      <c r="E227" s="9">
        <v>35</v>
      </c>
      <c r="F227" s="10" t="str">
        <f t="shared" si="25"/>
        <v>Hora Cátedra Enseñanza Superior 35 hs</v>
      </c>
      <c r="G227" s="102">
        <f t="shared" si="26"/>
        <v>3465</v>
      </c>
      <c r="H227" s="7">
        <f>INT((G227*Valores!$C$2*100)+0.5)/100</f>
        <v>15636.51</v>
      </c>
      <c r="I227" s="115">
        <v>0</v>
      </c>
      <c r="J227" s="67">
        <f>INT((I227*Valores!$C$2*100)+0.5)/100</f>
        <v>0</v>
      </c>
      <c r="K227" s="131">
        <v>0</v>
      </c>
      <c r="L227" s="67">
        <f>INT((K227*Valores!$C$2*100)+0.5)/100</f>
        <v>0</v>
      </c>
      <c r="M227" s="99">
        <v>0</v>
      </c>
      <c r="N227" s="67">
        <f>INT((M227*Valores!$C$2*100)+0.5)/100</f>
        <v>0</v>
      </c>
      <c r="O227" s="67">
        <f t="shared" si="34"/>
        <v>0</v>
      </c>
      <c r="P227" s="67">
        <f t="shared" si="35"/>
        <v>19639.092000000001</v>
      </c>
      <c r="Q227" s="53">
        <f>Valores!$C$10*E227</f>
        <v>3115</v>
      </c>
      <c r="R227" s="53">
        <f>IF(E227&lt;15,(Valores!$D$9/15*E227),Valores!$D$9)</f>
        <v>2018.53</v>
      </c>
      <c r="S227" s="67">
        <v>0</v>
      </c>
      <c r="T227" s="69">
        <f>Valores!$C$43*E227</f>
        <v>729.4</v>
      </c>
      <c r="U227" s="53">
        <f>Valores!$C$11*E227</f>
        <v>1592.5</v>
      </c>
      <c r="V227" s="67">
        <f t="shared" si="24"/>
        <v>3503.5000000000005</v>
      </c>
      <c r="W227" s="67">
        <v>0</v>
      </c>
      <c r="X227" s="67">
        <v>0</v>
      </c>
      <c r="Y227" s="33">
        <v>0</v>
      </c>
      <c r="Z227" s="67">
        <f>Y227*Valores!$C$2</f>
        <v>0</v>
      </c>
      <c r="AA227" s="67">
        <v>0</v>
      </c>
      <c r="AB227" s="79">
        <f t="shared" si="38"/>
        <v>180.95</v>
      </c>
      <c r="AC227" s="67">
        <f t="shared" si="30"/>
        <v>0</v>
      </c>
      <c r="AD227" s="67">
        <f>129.04/30*E222</f>
        <v>129.04</v>
      </c>
      <c r="AE227" s="95">
        <v>0</v>
      </c>
      <c r="AF227" s="67">
        <f>INT(((AE227*Valores!$C$2)*100)+0.5)/100</f>
        <v>0</v>
      </c>
      <c r="AG227" s="67">
        <f t="shared" si="37"/>
        <v>525</v>
      </c>
      <c r="AH227" s="67">
        <f t="shared" si="37"/>
        <v>150</v>
      </c>
      <c r="AI227" s="123">
        <f t="shared" si="33"/>
        <v>45627.021999999997</v>
      </c>
      <c r="AJ227" s="69">
        <f>Valores!$C$13*E227</f>
        <v>583.45000000000005</v>
      </c>
      <c r="AK227" s="124">
        <f t="shared" si="31"/>
        <v>583.45000000000005</v>
      </c>
      <c r="AL227" s="68">
        <f t="shared" si="32"/>
        <v>11077.665059999999</v>
      </c>
      <c r="AM227" s="79">
        <v>220</v>
      </c>
      <c r="AN227" s="20"/>
      <c r="AO227" s="20">
        <f t="shared" si="39"/>
        <v>140</v>
      </c>
      <c r="AP227" s="9" t="s">
        <v>464</v>
      </c>
    </row>
    <row r="228" spans="1:42" s="9" customFormat="1" ht="11.25" customHeight="1" x14ac:dyDescent="0.15">
      <c r="A228" s="9">
        <v>227</v>
      </c>
      <c r="D228" s="9" t="s">
        <v>355</v>
      </c>
      <c r="E228" s="9">
        <v>36</v>
      </c>
      <c r="F228" s="10" t="str">
        <f t="shared" si="25"/>
        <v>Hora Cátedra Enseñanza Superior 36 hs</v>
      </c>
      <c r="G228" s="102">
        <f t="shared" si="26"/>
        <v>3564</v>
      </c>
      <c r="H228" s="7">
        <f>INT((G228*Valores!$C$2*100)+0.5)/100</f>
        <v>16083.26</v>
      </c>
      <c r="I228" s="115">
        <v>0</v>
      </c>
      <c r="J228" s="67">
        <f>INT((I228*Valores!$C$2*100)+0.5)/100</f>
        <v>0</v>
      </c>
      <c r="K228" s="131">
        <v>0</v>
      </c>
      <c r="L228" s="67">
        <f>INT((K228*Valores!$C$2*100)+0.5)/100</f>
        <v>0</v>
      </c>
      <c r="M228" s="99">
        <v>0</v>
      </c>
      <c r="N228" s="67">
        <f>INT((M228*Valores!$C$2*100)+0.5)/100</f>
        <v>0</v>
      </c>
      <c r="O228" s="67">
        <f t="shared" si="34"/>
        <v>0</v>
      </c>
      <c r="P228" s="67">
        <f t="shared" si="35"/>
        <v>20200.2</v>
      </c>
      <c r="Q228" s="53">
        <f>Valores!$C$10*E228</f>
        <v>3204</v>
      </c>
      <c r="R228" s="53">
        <f>IF(E228&lt;15,(Valores!$D$9/15*E228),Valores!$D$9)</f>
        <v>2018.53</v>
      </c>
      <c r="S228" s="67">
        <v>0</v>
      </c>
      <c r="T228" s="69">
        <f>Valores!$C$43*E228</f>
        <v>750.24</v>
      </c>
      <c r="U228" s="53">
        <f>Valores!$C$11*E228</f>
        <v>1638</v>
      </c>
      <c r="V228" s="67">
        <f t="shared" si="24"/>
        <v>3603.6000000000004</v>
      </c>
      <c r="W228" s="67">
        <v>0</v>
      </c>
      <c r="X228" s="67">
        <v>0</v>
      </c>
      <c r="Y228" s="33">
        <v>0</v>
      </c>
      <c r="Z228" s="67">
        <f>Y228*Valores!$C$2</f>
        <v>0</v>
      </c>
      <c r="AA228" s="67">
        <v>0</v>
      </c>
      <c r="AB228" s="79">
        <f t="shared" si="38"/>
        <v>186.12</v>
      </c>
      <c r="AC228" s="67">
        <f t="shared" si="30"/>
        <v>0</v>
      </c>
      <c r="AD228" s="67">
        <f>129.04/30*E222</f>
        <v>129.04</v>
      </c>
      <c r="AE228" s="95">
        <v>0</v>
      </c>
      <c r="AF228" s="67">
        <f>INT(((AE228*Valores!$C$2)*100)+0.5)/100</f>
        <v>0</v>
      </c>
      <c r="AG228" s="67">
        <f t="shared" si="37"/>
        <v>525</v>
      </c>
      <c r="AH228" s="67">
        <f t="shared" si="37"/>
        <v>150</v>
      </c>
      <c r="AI228" s="123">
        <f t="shared" si="33"/>
        <v>46849.99</v>
      </c>
      <c r="AJ228" s="69">
        <f>(Valores!$C$13*E228)-0.12</f>
        <v>600.00000000000011</v>
      </c>
      <c r="AK228" s="124">
        <f t="shared" si="31"/>
        <v>600.00000000000011</v>
      </c>
      <c r="AL228" s="68">
        <f t="shared" si="32"/>
        <v>11375.497699999998</v>
      </c>
      <c r="AM228" s="79">
        <v>220</v>
      </c>
      <c r="AN228" s="20"/>
      <c r="AO228" s="20">
        <f t="shared" si="39"/>
        <v>144</v>
      </c>
      <c r="AP228" s="9" t="s">
        <v>464</v>
      </c>
    </row>
    <row r="229" spans="1:42" s="9" customFormat="1" ht="11.25" customHeight="1" x14ac:dyDescent="0.15">
      <c r="A229" s="9">
        <v>228</v>
      </c>
      <c r="D229" s="9" t="s">
        <v>356</v>
      </c>
      <c r="E229" s="9">
        <v>1</v>
      </c>
      <c r="F229" s="10" t="str">
        <f>CONCATENATE("Hora Cátedra Enseñanza Media ",E229," hs")</f>
        <v>Hora Cátedra Enseñanza Media 1 hs</v>
      </c>
      <c r="G229" s="102">
        <f t="shared" ref="G229:G260" si="40">79*E229</f>
        <v>79</v>
      </c>
      <c r="H229" s="7">
        <f>INT((G229*Valores!$C$2*100)+0.5)/100</f>
        <v>356.5</v>
      </c>
      <c r="I229" s="115">
        <v>0</v>
      </c>
      <c r="J229" s="67">
        <f>INT((I229*Valores!$C$2*100)+0.5)/100</f>
        <v>0</v>
      </c>
      <c r="K229" s="131">
        <v>0</v>
      </c>
      <c r="L229" s="67">
        <f>INT((K229*Valores!$C$2*100)+0.5)/100</f>
        <v>0</v>
      </c>
      <c r="M229" s="99">
        <v>0</v>
      </c>
      <c r="N229" s="67">
        <f>INT((M229*Valores!$C$2*100)+0.5)/100</f>
        <v>0</v>
      </c>
      <c r="O229" s="67">
        <f t="shared" si="34"/>
        <v>0</v>
      </c>
      <c r="P229" s="67">
        <f t="shared" si="35"/>
        <v>452.80799999999994</v>
      </c>
      <c r="Q229" s="53">
        <f>Valores!$C$10*E229</f>
        <v>89</v>
      </c>
      <c r="R229" s="53">
        <f>IF(E229&lt;15,(Valores!$D$9/15*E229),Valores!$D$9)</f>
        <v>134.56866666666667</v>
      </c>
      <c r="S229" s="67">
        <v>0</v>
      </c>
      <c r="T229" s="69">
        <f>Valores!$C$43*E229</f>
        <v>20.84</v>
      </c>
      <c r="U229" s="53">
        <f>Valores!$C$11*E229</f>
        <v>45.5</v>
      </c>
      <c r="V229" s="67">
        <f t="shared" si="24"/>
        <v>100.10000000000001</v>
      </c>
      <c r="W229" s="67">
        <v>0</v>
      </c>
      <c r="X229" s="67">
        <v>0</v>
      </c>
      <c r="Y229" s="33">
        <v>0</v>
      </c>
      <c r="Z229" s="67">
        <f>Y229*Valores!$C$2</f>
        <v>0</v>
      </c>
      <c r="AA229" s="67">
        <v>0</v>
      </c>
      <c r="AB229" s="79">
        <f t="shared" si="38"/>
        <v>5.17</v>
      </c>
      <c r="AC229" s="67">
        <f t="shared" si="30"/>
        <v>0</v>
      </c>
      <c r="AD229" s="67">
        <f t="shared" ref="AD229:AD260" si="41">4.3*E229</f>
        <v>4.3</v>
      </c>
      <c r="AE229" s="95">
        <v>0</v>
      </c>
      <c r="AF229" s="67">
        <f>INT(((AE229*Valores!$C$2)*100)+0.5)/100</f>
        <v>0</v>
      </c>
      <c r="AG229" s="67">
        <f>Valores!$D$49*E229</f>
        <v>17.5</v>
      </c>
      <c r="AH229" s="67">
        <f>Valores!$D$50*E229</f>
        <v>5</v>
      </c>
      <c r="AI229" s="123">
        <f t="shared" si="33"/>
        <v>1185.7866666666664</v>
      </c>
      <c r="AJ229" s="69">
        <f>Valores!$C$13*E229</f>
        <v>16.670000000000002</v>
      </c>
      <c r="AK229" s="124">
        <f t="shared" si="31"/>
        <v>16.670000000000002</v>
      </c>
      <c r="AL229" s="68">
        <f t="shared" si="32"/>
        <v>289.40093333333328</v>
      </c>
      <c r="AM229" s="79">
        <f>7.33*E229</f>
        <v>7.33</v>
      </c>
      <c r="AN229" s="20"/>
      <c r="AO229" s="47">
        <f t="shared" si="39"/>
        <v>4</v>
      </c>
      <c r="AP229" s="9" t="s">
        <v>465</v>
      </c>
    </row>
    <row r="230" spans="1:42" s="9" customFormat="1" ht="11.25" customHeight="1" x14ac:dyDescent="0.15">
      <c r="A230" s="9">
        <v>229</v>
      </c>
      <c r="D230" s="9" t="s">
        <v>356</v>
      </c>
      <c r="E230" s="9">
        <v>1</v>
      </c>
      <c r="F230" s="10" t="str">
        <f>CONCATENATE("Hora Cátedra Enseñanza Media ",E230," hs Esc Esp")</f>
        <v>Hora Cátedra Enseñanza Media 1 hs Esc Esp</v>
      </c>
      <c r="G230" s="102">
        <f t="shared" si="40"/>
        <v>79</v>
      </c>
      <c r="H230" s="7">
        <f>INT((G230*Valores!$C$2*100)+0.5)/100</f>
        <v>356.5</v>
      </c>
      <c r="I230" s="115">
        <v>0</v>
      </c>
      <c r="J230" s="67">
        <f>INT((I230*Valores!$C$2*100)+0.5)/100</f>
        <v>0</v>
      </c>
      <c r="K230" s="131">
        <v>0</v>
      </c>
      <c r="L230" s="67">
        <f>INT((K230*Valores!$C$2*100)+0.5)/100</f>
        <v>0</v>
      </c>
      <c r="M230" s="99">
        <v>0</v>
      </c>
      <c r="N230" s="67">
        <f>INT((M230*Valores!$C$2*100)+0.5)/100</f>
        <v>0</v>
      </c>
      <c r="O230" s="67">
        <f t="shared" si="34"/>
        <v>0</v>
      </c>
      <c r="P230" s="67">
        <f t="shared" si="35"/>
        <v>452.80799999999994</v>
      </c>
      <c r="Q230" s="53">
        <f>Valores!$C$10*E230</f>
        <v>89</v>
      </c>
      <c r="R230" s="53">
        <f>IF(E230&lt;15,(Valores!$D$9/15*E230),Valores!$D$9)</f>
        <v>134.56866666666667</v>
      </c>
      <c r="S230" s="67">
        <v>0</v>
      </c>
      <c r="T230" s="69">
        <f>Valores!$C$43*E230</f>
        <v>20.84</v>
      </c>
      <c r="U230" s="53">
        <f>Valores!$C$11*E230</f>
        <v>45.5</v>
      </c>
      <c r="V230" s="67">
        <f t="shared" si="24"/>
        <v>100.10000000000001</v>
      </c>
      <c r="W230" s="67">
        <v>0</v>
      </c>
      <c r="X230" s="67">
        <v>0</v>
      </c>
      <c r="Y230" s="33">
        <v>0</v>
      </c>
      <c r="Z230" s="67">
        <f>Y230*Valores!$C$2</f>
        <v>0</v>
      </c>
      <c r="AA230" s="67">
        <v>0</v>
      </c>
      <c r="AB230" s="79">
        <f t="shared" si="38"/>
        <v>5.17</v>
      </c>
      <c r="AC230" s="67">
        <f t="shared" si="30"/>
        <v>0</v>
      </c>
      <c r="AD230" s="67">
        <f t="shared" si="41"/>
        <v>4.3</v>
      </c>
      <c r="AE230" s="95">
        <v>94</v>
      </c>
      <c r="AF230" s="67">
        <f>INT(((AE230*Valores!$C$2)*100)+0.5)/100</f>
        <v>424.19</v>
      </c>
      <c r="AG230" s="67">
        <f>Valores!$D$49*E230</f>
        <v>17.5</v>
      </c>
      <c r="AH230" s="67">
        <f>Valores!$D$50*E230</f>
        <v>5</v>
      </c>
      <c r="AI230" s="123">
        <f t="shared" si="33"/>
        <v>1609.9766666666665</v>
      </c>
      <c r="AJ230" s="69">
        <f>Valores!$C$13*E230</f>
        <v>16.670000000000002</v>
      </c>
      <c r="AK230" s="124">
        <f t="shared" si="31"/>
        <v>16.670000000000002</v>
      </c>
      <c r="AL230" s="68">
        <f t="shared" si="32"/>
        <v>386.96463333333327</v>
      </c>
      <c r="AM230" s="79">
        <f>7.33*E230</f>
        <v>7.33</v>
      </c>
      <c r="AN230" s="20"/>
      <c r="AO230" s="20">
        <f t="shared" si="39"/>
        <v>4</v>
      </c>
      <c r="AP230" s="9" t="s">
        <v>465</v>
      </c>
    </row>
    <row r="231" spans="1:42" s="9" customFormat="1" ht="11.25" customHeight="1" x14ac:dyDescent="0.15">
      <c r="A231" s="43">
        <v>230</v>
      </c>
      <c r="B231" s="43" t="s">
        <v>460</v>
      </c>
      <c r="C231" s="43"/>
      <c r="D231" s="43" t="s">
        <v>356</v>
      </c>
      <c r="E231" s="43">
        <v>2</v>
      </c>
      <c r="F231" s="44" t="str">
        <f>CONCATENATE("Hora Cátedra Enseñanza Media ",E231," hs")</f>
        <v>Hora Cátedra Enseñanza Media 2 hs</v>
      </c>
      <c r="G231" s="103">
        <f t="shared" si="40"/>
        <v>158</v>
      </c>
      <c r="H231" s="110">
        <f>INT((G231*Valores!$C$2*100)+0.5)/100</f>
        <v>713.01</v>
      </c>
      <c r="I231" s="114">
        <v>0</v>
      </c>
      <c r="J231" s="70">
        <f>INT((I231*Valores!$C$2*100)+0.5)/100</f>
        <v>0</v>
      </c>
      <c r="K231" s="132">
        <v>0</v>
      </c>
      <c r="L231" s="70">
        <f>INT((K231*Valores!$C$2*100)+0.5)/100</f>
        <v>0</v>
      </c>
      <c r="M231" s="100">
        <v>0</v>
      </c>
      <c r="N231" s="70">
        <f>INT((M231*Valores!$C$2*100)+0.5)/100</f>
        <v>0</v>
      </c>
      <c r="O231" s="70">
        <f t="shared" si="34"/>
        <v>0</v>
      </c>
      <c r="P231" s="70">
        <f t="shared" si="35"/>
        <v>905.62799999999993</v>
      </c>
      <c r="Q231" s="75">
        <f>Valores!$C$10*E231</f>
        <v>178</v>
      </c>
      <c r="R231" s="75">
        <f>IF(E231&lt;15,(Valores!$D$9/15*E231),Valores!$D$9)</f>
        <v>269.13733333333334</v>
      </c>
      <c r="S231" s="70">
        <v>0</v>
      </c>
      <c r="T231" s="72">
        <f>Valores!$C$43*E231</f>
        <v>41.68</v>
      </c>
      <c r="U231" s="75">
        <f>Valores!$C$11*E231</f>
        <v>91</v>
      </c>
      <c r="V231" s="70">
        <f t="shared" si="24"/>
        <v>200.20000000000002</v>
      </c>
      <c r="W231" s="70">
        <v>0</v>
      </c>
      <c r="X231" s="70">
        <v>0</v>
      </c>
      <c r="Y231" s="52">
        <v>0</v>
      </c>
      <c r="Z231" s="70">
        <f>Y231*Valores!$C$2</f>
        <v>0</v>
      </c>
      <c r="AA231" s="70">
        <v>0</v>
      </c>
      <c r="AB231" s="80">
        <f t="shared" si="38"/>
        <v>10.34</v>
      </c>
      <c r="AC231" s="70">
        <f t="shared" si="30"/>
        <v>0</v>
      </c>
      <c r="AD231" s="70">
        <f t="shared" si="41"/>
        <v>8.6</v>
      </c>
      <c r="AE231" s="94">
        <v>0</v>
      </c>
      <c r="AF231" s="70">
        <f>INT(((AE231*Valores!$C$2)*100)+0.5)/100</f>
        <v>0</v>
      </c>
      <c r="AG231" s="70">
        <f>Valores!$D$49*E231</f>
        <v>35</v>
      </c>
      <c r="AH231" s="70">
        <f>Valores!$D$50*E231</f>
        <v>10</v>
      </c>
      <c r="AI231" s="125">
        <f t="shared" si="33"/>
        <v>2371.5953333333327</v>
      </c>
      <c r="AJ231" s="72">
        <f>Valores!$C$13*E231</f>
        <v>33.340000000000003</v>
      </c>
      <c r="AK231" s="126">
        <f t="shared" si="31"/>
        <v>33.340000000000003</v>
      </c>
      <c r="AL231" s="71">
        <f t="shared" si="32"/>
        <v>578.80692666666653</v>
      </c>
      <c r="AM231" s="80">
        <f t="shared" ref="AM231:AM236" si="42">(7.33*E231)+0.01</f>
        <v>14.67</v>
      </c>
      <c r="AN231" s="47"/>
      <c r="AO231" s="20">
        <f t="shared" si="39"/>
        <v>8</v>
      </c>
      <c r="AP231" s="43" t="s">
        <v>465</v>
      </c>
    </row>
    <row r="232" spans="1:42" s="9" customFormat="1" ht="11.25" customHeight="1" x14ac:dyDescent="0.15">
      <c r="A232" s="9">
        <v>231</v>
      </c>
      <c r="D232" s="9" t="s">
        <v>356</v>
      </c>
      <c r="E232" s="9">
        <v>2</v>
      </c>
      <c r="F232" s="10" t="str">
        <f>CONCATENATE("Hora Cátedra Enseñanza Media ",E232," hs Esc Esp")</f>
        <v>Hora Cátedra Enseñanza Media 2 hs Esc Esp</v>
      </c>
      <c r="G232" s="102">
        <f t="shared" si="40"/>
        <v>158</v>
      </c>
      <c r="H232" s="7">
        <f>INT((G232*Valores!$C$2*100)+0.5)/100</f>
        <v>713.01</v>
      </c>
      <c r="I232" s="115">
        <v>0</v>
      </c>
      <c r="J232" s="67">
        <f>INT((I232*Valores!$C$2*100)+0.5)/100</f>
        <v>0</v>
      </c>
      <c r="K232" s="131">
        <v>0</v>
      </c>
      <c r="L232" s="67">
        <f>INT((K232*Valores!$C$2*100)+0.5)/100</f>
        <v>0</v>
      </c>
      <c r="M232" s="99">
        <v>0</v>
      </c>
      <c r="N232" s="67">
        <f>INT((M232*Valores!$C$2*100)+0.5)/100</f>
        <v>0</v>
      </c>
      <c r="O232" s="67">
        <f t="shared" si="34"/>
        <v>0</v>
      </c>
      <c r="P232" s="67">
        <f t="shared" si="35"/>
        <v>905.62799999999993</v>
      </c>
      <c r="Q232" s="53">
        <f>Valores!$C$10*E232</f>
        <v>178</v>
      </c>
      <c r="R232" s="53">
        <f>IF(E232&lt;15,(Valores!$D$9/15*E232),Valores!$D$9)</f>
        <v>269.13733333333334</v>
      </c>
      <c r="S232" s="67">
        <v>0</v>
      </c>
      <c r="T232" s="69">
        <f>Valores!$C$43*E232</f>
        <v>41.68</v>
      </c>
      <c r="U232" s="53">
        <f>Valores!$C$11*E232</f>
        <v>91</v>
      </c>
      <c r="V232" s="67">
        <f t="shared" si="24"/>
        <v>200.20000000000002</v>
      </c>
      <c r="W232" s="67">
        <v>0</v>
      </c>
      <c r="X232" s="67">
        <v>0</v>
      </c>
      <c r="Y232" s="33">
        <v>0</v>
      </c>
      <c r="Z232" s="67">
        <f>Y232*Valores!$C$2</f>
        <v>0</v>
      </c>
      <c r="AA232" s="67">
        <v>0</v>
      </c>
      <c r="AB232" s="79">
        <f t="shared" si="38"/>
        <v>10.34</v>
      </c>
      <c r="AC232" s="67">
        <f t="shared" si="30"/>
        <v>0</v>
      </c>
      <c r="AD232" s="67">
        <f t="shared" si="41"/>
        <v>8.6</v>
      </c>
      <c r="AE232" s="95">
        <v>94</v>
      </c>
      <c r="AF232" s="67">
        <f>INT(((AE232*Valores!$C$2)*100)+0.5)/100</f>
        <v>424.19</v>
      </c>
      <c r="AG232" s="67">
        <f>Valores!$D$49*E232</f>
        <v>35</v>
      </c>
      <c r="AH232" s="67">
        <f>Valores!$D$50*E232</f>
        <v>10</v>
      </c>
      <c r="AI232" s="123">
        <f t="shared" si="33"/>
        <v>2795.7853333333328</v>
      </c>
      <c r="AJ232" s="69">
        <f>Valores!$C$13*E232</f>
        <v>33.340000000000003</v>
      </c>
      <c r="AK232" s="124">
        <f t="shared" si="31"/>
        <v>33.340000000000003</v>
      </c>
      <c r="AL232" s="68">
        <f t="shared" si="32"/>
        <v>676.37062666666657</v>
      </c>
      <c r="AM232" s="79">
        <f t="shared" si="42"/>
        <v>14.67</v>
      </c>
      <c r="AN232" s="20"/>
      <c r="AO232" s="20">
        <f t="shared" si="39"/>
        <v>8</v>
      </c>
      <c r="AP232" s="9" t="s">
        <v>465</v>
      </c>
    </row>
    <row r="233" spans="1:42" s="9" customFormat="1" ht="11.25" customHeight="1" x14ac:dyDescent="0.15">
      <c r="A233" s="9">
        <v>232</v>
      </c>
      <c r="D233" s="9" t="s">
        <v>356</v>
      </c>
      <c r="E233" s="9">
        <v>3</v>
      </c>
      <c r="F233" s="10" t="str">
        <f>CONCATENATE("Hora Cátedra Enseñanza Media ",E233," hs")</f>
        <v>Hora Cátedra Enseñanza Media 3 hs</v>
      </c>
      <c r="G233" s="102">
        <f t="shared" si="40"/>
        <v>237</v>
      </c>
      <c r="H233" s="7">
        <f>INT((G233*Valores!$C$2*100)+0.5)/100</f>
        <v>1069.51</v>
      </c>
      <c r="I233" s="115">
        <v>0</v>
      </c>
      <c r="J233" s="67">
        <f>INT((I233*Valores!$C$2*100)+0.5)/100</f>
        <v>0</v>
      </c>
      <c r="K233" s="131">
        <v>0</v>
      </c>
      <c r="L233" s="67">
        <f>INT((K233*Valores!$C$2*100)+0.5)/100</f>
        <v>0</v>
      </c>
      <c r="M233" s="99">
        <v>0</v>
      </c>
      <c r="N233" s="67">
        <f>INT((M233*Valores!$C$2*100)+0.5)/100</f>
        <v>0</v>
      </c>
      <c r="O233" s="67">
        <f t="shared" si="34"/>
        <v>0</v>
      </c>
      <c r="P233" s="67">
        <f t="shared" si="35"/>
        <v>1358.4359999999999</v>
      </c>
      <c r="Q233" s="53">
        <f>Valores!$C$10*E233</f>
        <v>267</v>
      </c>
      <c r="R233" s="53">
        <f>IF(E233&lt;15,(Valores!$D$9/15*E233),Valores!$D$9)</f>
        <v>403.70600000000002</v>
      </c>
      <c r="S233" s="67">
        <v>0</v>
      </c>
      <c r="T233" s="69">
        <f>Valores!$C$43*E233</f>
        <v>62.519999999999996</v>
      </c>
      <c r="U233" s="53">
        <f>Valores!$C$11*E233</f>
        <v>136.5</v>
      </c>
      <c r="V233" s="67">
        <f t="shared" si="24"/>
        <v>300.3</v>
      </c>
      <c r="W233" s="67">
        <v>0</v>
      </c>
      <c r="X233" s="67">
        <v>0</v>
      </c>
      <c r="Y233" s="33">
        <v>0</v>
      </c>
      <c r="Z233" s="67">
        <f>Y233*Valores!$C$2</f>
        <v>0</v>
      </c>
      <c r="AA233" s="67">
        <v>0</v>
      </c>
      <c r="AB233" s="79">
        <f t="shared" si="38"/>
        <v>15.51</v>
      </c>
      <c r="AC233" s="67">
        <f t="shared" si="30"/>
        <v>0</v>
      </c>
      <c r="AD233" s="67">
        <f t="shared" si="41"/>
        <v>12.899999999999999</v>
      </c>
      <c r="AE233" s="95">
        <v>0</v>
      </c>
      <c r="AF233" s="67">
        <f>INT(((AE233*Valores!$C$2)*100)+0.5)/100</f>
        <v>0</v>
      </c>
      <c r="AG233" s="67">
        <f>Valores!$D$49*E233</f>
        <v>52.5</v>
      </c>
      <c r="AH233" s="67">
        <f>Valores!$D$50*E233</f>
        <v>15</v>
      </c>
      <c r="AI233" s="123">
        <f t="shared" si="33"/>
        <v>3557.3820000000005</v>
      </c>
      <c r="AJ233" s="69">
        <f>Valores!$C$13*E233</f>
        <v>50.010000000000005</v>
      </c>
      <c r="AK233" s="124">
        <f t="shared" si="31"/>
        <v>50.010000000000005</v>
      </c>
      <c r="AL233" s="68">
        <f t="shared" si="32"/>
        <v>868.2078600000001</v>
      </c>
      <c r="AM233" s="79">
        <f t="shared" si="42"/>
        <v>22.000000000000004</v>
      </c>
      <c r="AN233" s="20"/>
      <c r="AO233" s="20">
        <f t="shared" si="39"/>
        <v>12</v>
      </c>
      <c r="AP233" s="9" t="s">
        <v>465</v>
      </c>
    </row>
    <row r="234" spans="1:42" s="9" customFormat="1" ht="11.25" customHeight="1" x14ac:dyDescent="0.15">
      <c r="A234" s="9">
        <v>233</v>
      </c>
      <c r="D234" s="9" t="s">
        <v>356</v>
      </c>
      <c r="E234" s="9">
        <v>3</v>
      </c>
      <c r="F234" s="10" t="str">
        <f>CONCATENATE("Hora Cátedra Enseñanza Media ",E234," hs Esc Esp")</f>
        <v>Hora Cátedra Enseñanza Media 3 hs Esc Esp</v>
      </c>
      <c r="G234" s="102">
        <f t="shared" si="40"/>
        <v>237</v>
      </c>
      <c r="H234" s="7">
        <f>INT((G234*Valores!$C$2*100)+0.5)/100</f>
        <v>1069.51</v>
      </c>
      <c r="I234" s="115">
        <v>0</v>
      </c>
      <c r="J234" s="67">
        <f>INT((I234*Valores!$C$2*100)+0.5)/100</f>
        <v>0</v>
      </c>
      <c r="K234" s="131">
        <v>0</v>
      </c>
      <c r="L234" s="67">
        <f>INT((K234*Valores!$C$2*100)+0.5)/100</f>
        <v>0</v>
      </c>
      <c r="M234" s="99">
        <v>0</v>
      </c>
      <c r="N234" s="67">
        <f>INT((M234*Valores!$C$2*100)+0.5)/100</f>
        <v>0</v>
      </c>
      <c r="O234" s="67">
        <f t="shared" si="34"/>
        <v>0</v>
      </c>
      <c r="P234" s="67">
        <f t="shared" si="35"/>
        <v>1358.4359999999999</v>
      </c>
      <c r="Q234" s="53">
        <f>Valores!$C$10*E234</f>
        <v>267</v>
      </c>
      <c r="R234" s="53">
        <f>IF(E234&lt;15,(Valores!$D$9/15*E234),Valores!$D$9)</f>
        <v>403.70600000000002</v>
      </c>
      <c r="S234" s="67">
        <v>0</v>
      </c>
      <c r="T234" s="69">
        <f>Valores!$C$43*E234</f>
        <v>62.519999999999996</v>
      </c>
      <c r="U234" s="53">
        <f>Valores!$C$11*E234</f>
        <v>136.5</v>
      </c>
      <c r="V234" s="67">
        <f t="shared" si="24"/>
        <v>300.3</v>
      </c>
      <c r="W234" s="67">
        <v>0</v>
      </c>
      <c r="X234" s="67">
        <v>0</v>
      </c>
      <c r="Y234" s="33">
        <v>0</v>
      </c>
      <c r="Z234" s="67">
        <f>Y234*Valores!$C$2</f>
        <v>0</v>
      </c>
      <c r="AA234" s="67">
        <v>0</v>
      </c>
      <c r="AB234" s="79">
        <f t="shared" si="38"/>
        <v>15.51</v>
      </c>
      <c r="AC234" s="67">
        <f t="shared" si="30"/>
        <v>0</v>
      </c>
      <c r="AD234" s="67">
        <f t="shared" si="41"/>
        <v>12.899999999999999</v>
      </c>
      <c r="AE234" s="95">
        <v>94</v>
      </c>
      <c r="AF234" s="67">
        <f>INT(((AE234*Valores!$C$2)*100)+0.5)/100</f>
        <v>424.19</v>
      </c>
      <c r="AG234" s="67">
        <f>Valores!$D$49*E234</f>
        <v>52.5</v>
      </c>
      <c r="AH234" s="67">
        <f>Valores!$D$50*E234</f>
        <v>15</v>
      </c>
      <c r="AI234" s="123">
        <f t="shared" si="33"/>
        <v>3981.5720000000006</v>
      </c>
      <c r="AJ234" s="69">
        <f>Valores!$C$13*E234</f>
        <v>50.010000000000005</v>
      </c>
      <c r="AK234" s="124">
        <f t="shared" si="31"/>
        <v>50.010000000000005</v>
      </c>
      <c r="AL234" s="68">
        <f t="shared" si="32"/>
        <v>965.77156000000002</v>
      </c>
      <c r="AM234" s="79">
        <f t="shared" si="42"/>
        <v>22.000000000000004</v>
      </c>
      <c r="AN234" s="20"/>
      <c r="AO234" s="47">
        <f t="shared" si="39"/>
        <v>12</v>
      </c>
      <c r="AP234" s="9" t="s">
        <v>465</v>
      </c>
    </row>
    <row r="235" spans="1:42" s="9" customFormat="1" ht="11.25" customHeight="1" x14ac:dyDescent="0.15">
      <c r="A235" s="9">
        <v>234</v>
      </c>
      <c r="D235" s="9" t="s">
        <v>356</v>
      </c>
      <c r="E235" s="9">
        <v>4</v>
      </c>
      <c r="F235" s="10" t="str">
        <f>CONCATENATE("Hora Cátedra Enseñanza Media ",E235," hs")</f>
        <v>Hora Cátedra Enseñanza Media 4 hs</v>
      </c>
      <c r="G235" s="102">
        <f t="shared" si="40"/>
        <v>316</v>
      </c>
      <c r="H235" s="7">
        <f>INT((G235*Valores!$C$2*100)+0.5)/100</f>
        <v>1426.01</v>
      </c>
      <c r="I235" s="115">
        <v>0</v>
      </c>
      <c r="J235" s="67">
        <f>INT((I235*Valores!$C$2*100)+0.5)/100</f>
        <v>0</v>
      </c>
      <c r="K235" s="131">
        <v>0</v>
      </c>
      <c r="L235" s="67">
        <f>INT((K235*Valores!$C$2*100)+0.5)/100</f>
        <v>0</v>
      </c>
      <c r="M235" s="99">
        <v>0</v>
      </c>
      <c r="N235" s="67">
        <f>INT((M235*Valores!$C$2*100)+0.5)/100</f>
        <v>0</v>
      </c>
      <c r="O235" s="67">
        <f t="shared" si="34"/>
        <v>0</v>
      </c>
      <c r="P235" s="67">
        <f t="shared" si="35"/>
        <v>1811.2439999999999</v>
      </c>
      <c r="Q235" s="53">
        <f>Valores!$C$10*E235</f>
        <v>356</v>
      </c>
      <c r="R235" s="53">
        <f>IF(E235&lt;15,(Valores!$D$9/15*E235),Valores!$D$9)</f>
        <v>538.27466666666669</v>
      </c>
      <c r="S235" s="67">
        <v>0</v>
      </c>
      <c r="T235" s="69">
        <f>Valores!$C$43*E235</f>
        <v>83.36</v>
      </c>
      <c r="U235" s="53">
        <f>Valores!$C$11*E235</f>
        <v>182</v>
      </c>
      <c r="V235" s="67">
        <f t="shared" si="24"/>
        <v>400.40000000000003</v>
      </c>
      <c r="W235" s="67">
        <v>0</v>
      </c>
      <c r="X235" s="67">
        <v>0</v>
      </c>
      <c r="Y235" s="33">
        <v>0</v>
      </c>
      <c r="Z235" s="67">
        <f>Y235*Valores!$C$2</f>
        <v>0</v>
      </c>
      <c r="AA235" s="67">
        <v>0</v>
      </c>
      <c r="AB235" s="79">
        <f t="shared" si="38"/>
        <v>20.68</v>
      </c>
      <c r="AC235" s="67">
        <f t="shared" si="30"/>
        <v>0</v>
      </c>
      <c r="AD235" s="67">
        <f t="shared" si="41"/>
        <v>17.2</v>
      </c>
      <c r="AE235" s="95">
        <v>0</v>
      </c>
      <c r="AF235" s="67">
        <f>INT(((AE235*Valores!$C$2)*100)+0.5)/100</f>
        <v>0</v>
      </c>
      <c r="AG235" s="67">
        <f>Valores!$D$49*E235</f>
        <v>70</v>
      </c>
      <c r="AH235" s="67">
        <f>Valores!$D$50*E235</f>
        <v>20</v>
      </c>
      <c r="AI235" s="123">
        <f t="shared" si="33"/>
        <v>4743.1686666666665</v>
      </c>
      <c r="AJ235" s="69">
        <f>Valores!$C$13*E235</f>
        <v>66.680000000000007</v>
      </c>
      <c r="AK235" s="124">
        <f t="shared" si="31"/>
        <v>66.680000000000007</v>
      </c>
      <c r="AL235" s="68">
        <f t="shared" si="32"/>
        <v>1157.6087933333333</v>
      </c>
      <c r="AM235" s="79">
        <f t="shared" si="42"/>
        <v>29.330000000000002</v>
      </c>
      <c r="AN235" s="20"/>
      <c r="AO235" s="20">
        <f t="shared" si="39"/>
        <v>16</v>
      </c>
      <c r="AP235" s="9" t="s">
        <v>465</v>
      </c>
    </row>
    <row r="236" spans="1:42" s="9" customFormat="1" ht="11.25" customHeight="1" x14ac:dyDescent="0.15">
      <c r="A236" s="43">
        <v>235</v>
      </c>
      <c r="B236" s="43" t="s">
        <v>460</v>
      </c>
      <c r="C236" s="43"/>
      <c r="D236" s="43" t="s">
        <v>356</v>
      </c>
      <c r="E236" s="43">
        <v>4</v>
      </c>
      <c r="F236" s="44" t="str">
        <f>CONCATENATE("Hora Cátedra Enseñanza Media ",E236," hs Esc Esp")</f>
        <v>Hora Cátedra Enseñanza Media 4 hs Esc Esp</v>
      </c>
      <c r="G236" s="103">
        <f t="shared" si="40"/>
        <v>316</v>
      </c>
      <c r="H236" s="110">
        <f>INT((G236*Valores!$C$2*100)+0.5)/100</f>
        <v>1426.01</v>
      </c>
      <c r="I236" s="114">
        <v>0</v>
      </c>
      <c r="J236" s="70">
        <f>INT((I236*Valores!$C$2*100)+0.5)/100</f>
        <v>0</v>
      </c>
      <c r="K236" s="132">
        <v>0</v>
      </c>
      <c r="L236" s="70">
        <f>INT((K236*Valores!$C$2*100)+0.5)/100</f>
        <v>0</v>
      </c>
      <c r="M236" s="100">
        <v>0</v>
      </c>
      <c r="N236" s="70">
        <f>INT((M236*Valores!$C$2*100)+0.5)/100</f>
        <v>0</v>
      </c>
      <c r="O236" s="70">
        <f t="shared" si="34"/>
        <v>0</v>
      </c>
      <c r="P236" s="70">
        <f t="shared" si="35"/>
        <v>1811.2439999999999</v>
      </c>
      <c r="Q236" s="75">
        <f>Valores!$C$10*E236</f>
        <v>356</v>
      </c>
      <c r="R236" s="75">
        <f>IF(E236&lt;15,(Valores!$D$9/15*E236),Valores!$D$9)</f>
        <v>538.27466666666669</v>
      </c>
      <c r="S236" s="70">
        <v>0</v>
      </c>
      <c r="T236" s="72">
        <f>Valores!$C$43*E236</f>
        <v>83.36</v>
      </c>
      <c r="U236" s="75">
        <f>Valores!$C$11*E236</f>
        <v>182</v>
      </c>
      <c r="V236" s="70">
        <f t="shared" si="24"/>
        <v>400.40000000000003</v>
      </c>
      <c r="W236" s="70">
        <v>0</v>
      </c>
      <c r="X236" s="70">
        <v>0</v>
      </c>
      <c r="Y236" s="52">
        <v>0</v>
      </c>
      <c r="Z236" s="70">
        <f>Y236*Valores!$C$2</f>
        <v>0</v>
      </c>
      <c r="AA236" s="70">
        <v>0</v>
      </c>
      <c r="AB236" s="80">
        <f t="shared" si="38"/>
        <v>20.68</v>
      </c>
      <c r="AC236" s="70">
        <f t="shared" si="30"/>
        <v>0</v>
      </c>
      <c r="AD236" s="70">
        <f t="shared" si="41"/>
        <v>17.2</v>
      </c>
      <c r="AE236" s="94">
        <v>94</v>
      </c>
      <c r="AF236" s="70">
        <f>INT(((AE236*Valores!$C$2)*100)+0.5)/100</f>
        <v>424.19</v>
      </c>
      <c r="AG236" s="70">
        <f>Valores!$D$49*E236</f>
        <v>70</v>
      </c>
      <c r="AH236" s="70">
        <f>Valores!$D$50*E236</f>
        <v>20</v>
      </c>
      <c r="AI236" s="125">
        <f t="shared" si="33"/>
        <v>5167.3586666666661</v>
      </c>
      <c r="AJ236" s="72">
        <f>Valores!$C$13*E236</f>
        <v>66.680000000000007</v>
      </c>
      <c r="AK236" s="126">
        <f t="shared" si="31"/>
        <v>66.680000000000007</v>
      </c>
      <c r="AL236" s="71">
        <f t="shared" si="32"/>
        <v>1255.1724933333333</v>
      </c>
      <c r="AM236" s="80">
        <f t="shared" si="42"/>
        <v>29.330000000000002</v>
      </c>
      <c r="AN236" s="47"/>
      <c r="AO236" s="20">
        <f t="shared" si="39"/>
        <v>16</v>
      </c>
      <c r="AP236" s="43" t="s">
        <v>465</v>
      </c>
    </row>
    <row r="237" spans="1:42" s="9" customFormat="1" ht="11.25" customHeight="1" x14ac:dyDescent="0.15">
      <c r="A237" s="9">
        <v>236</v>
      </c>
      <c r="D237" s="9" t="s">
        <v>356</v>
      </c>
      <c r="E237" s="9">
        <v>5</v>
      </c>
      <c r="F237" s="10" t="str">
        <f>CONCATENATE("Hora Cátedra Enseñanza Media ",E237," hs")</f>
        <v>Hora Cátedra Enseñanza Media 5 hs</v>
      </c>
      <c r="G237" s="102">
        <f t="shared" si="40"/>
        <v>395</v>
      </c>
      <c r="H237" s="7">
        <f>INT((G237*Valores!$C$2*100)+0.5)/100</f>
        <v>1782.52</v>
      </c>
      <c r="I237" s="115">
        <v>0</v>
      </c>
      <c r="J237" s="67">
        <f>INT((I237*Valores!$C$2*100)+0.5)/100</f>
        <v>0</v>
      </c>
      <c r="K237" s="131">
        <v>0</v>
      </c>
      <c r="L237" s="67">
        <f>INT((K237*Valores!$C$2*100)+0.5)/100</f>
        <v>0</v>
      </c>
      <c r="M237" s="99">
        <v>0</v>
      </c>
      <c r="N237" s="67">
        <f>INT((M237*Valores!$C$2*100)+0.5)/100</f>
        <v>0</v>
      </c>
      <c r="O237" s="67">
        <f t="shared" si="34"/>
        <v>0</v>
      </c>
      <c r="P237" s="67">
        <f t="shared" si="35"/>
        <v>2264.0639999999999</v>
      </c>
      <c r="Q237" s="53">
        <f>Valores!$C$10*E237</f>
        <v>445</v>
      </c>
      <c r="R237" s="53">
        <f>IF(E237&lt;15,(Valores!$D$9/15*E237),Valores!$D$9)</f>
        <v>672.84333333333336</v>
      </c>
      <c r="S237" s="67">
        <v>0</v>
      </c>
      <c r="T237" s="69">
        <f>Valores!$C$43*E237</f>
        <v>104.2</v>
      </c>
      <c r="U237" s="53">
        <f>Valores!$C$11*E237</f>
        <v>227.5</v>
      </c>
      <c r="V237" s="67">
        <f t="shared" si="24"/>
        <v>500.50000000000006</v>
      </c>
      <c r="W237" s="67">
        <v>0</v>
      </c>
      <c r="X237" s="67">
        <v>0</v>
      </c>
      <c r="Y237" s="33">
        <v>0</v>
      </c>
      <c r="Z237" s="67">
        <f>Y237*Valores!$C$2</f>
        <v>0</v>
      </c>
      <c r="AA237" s="67">
        <v>0</v>
      </c>
      <c r="AB237" s="79">
        <f t="shared" si="38"/>
        <v>25.85</v>
      </c>
      <c r="AC237" s="67">
        <f t="shared" si="30"/>
        <v>0</v>
      </c>
      <c r="AD237" s="67">
        <f t="shared" si="41"/>
        <v>21.5</v>
      </c>
      <c r="AE237" s="95">
        <v>0</v>
      </c>
      <c r="AF237" s="67">
        <f>INT(((AE237*Valores!$C$2)*100)+0.5)/100</f>
        <v>0</v>
      </c>
      <c r="AG237" s="67">
        <f>Valores!$D$49*E237</f>
        <v>87.5</v>
      </c>
      <c r="AH237" s="67">
        <f>Valores!$D$50*E237</f>
        <v>25</v>
      </c>
      <c r="AI237" s="123">
        <f t="shared" si="33"/>
        <v>5928.9773333333333</v>
      </c>
      <c r="AJ237" s="69">
        <f>Valores!$C$13*E237</f>
        <v>83.350000000000009</v>
      </c>
      <c r="AK237" s="124">
        <f t="shared" si="31"/>
        <v>83.350000000000009</v>
      </c>
      <c r="AL237" s="68">
        <f t="shared" si="32"/>
        <v>1447.0147866666664</v>
      </c>
      <c r="AM237" s="79">
        <f t="shared" ref="AM237:AM242" si="43">(7.33*E237)+0.02</f>
        <v>36.67</v>
      </c>
      <c r="AN237" s="20"/>
      <c r="AO237" s="20">
        <f t="shared" si="39"/>
        <v>20</v>
      </c>
      <c r="AP237" s="9" t="s">
        <v>465</v>
      </c>
    </row>
    <row r="238" spans="1:42" s="9" customFormat="1" ht="11.25" customHeight="1" x14ac:dyDescent="0.15">
      <c r="A238" s="9">
        <v>237</v>
      </c>
      <c r="D238" s="9" t="s">
        <v>356</v>
      </c>
      <c r="E238" s="9">
        <v>5</v>
      </c>
      <c r="F238" s="10" t="str">
        <f>CONCATENATE("Hora Cátedra Enseñanza Media ",E238," hs Esc Esp")</f>
        <v>Hora Cátedra Enseñanza Media 5 hs Esc Esp</v>
      </c>
      <c r="G238" s="102">
        <f t="shared" si="40"/>
        <v>395</v>
      </c>
      <c r="H238" s="7">
        <f>INT((G238*Valores!$C$2*100)+0.5)/100</f>
        <v>1782.52</v>
      </c>
      <c r="I238" s="115">
        <v>0</v>
      </c>
      <c r="J238" s="67">
        <f>INT((I238*Valores!$C$2*100)+0.5)/100</f>
        <v>0</v>
      </c>
      <c r="K238" s="131">
        <v>0</v>
      </c>
      <c r="L238" s="67">
        <f>INT((K238*Valores!$C$2*100)+0.5)/100</f>
        <v>0</v>
      </c>
      <c r="M238" s="99">
        <v>0</v>
      </c>
      <c r="N238" s="67">
        <f>INT((M238*Valores!$C$2*100)+0.5)/100</f>
        <v>0</v>
      </c>
      <c r="O238" s="67">
        <f t="shared" si="34"/>
        <v>0</v>
      </c>
      <c r="P238" s="67">
        <f t="shared" si="35"/>
        <v>2264.0639999999999</v>
      </c>
      <c r="Q238" s="53">
        <f>Valores!$C$10*E238</f>
        <v>445</v>
      </c>
      <c r="R238" s="53">
        <f>IF(E238&lt;15,(Valores!$D$9/15*E238),Valores!$D$9)</f>
        <v>672.84333333333336</v>
      </c>
      <c r="S238" s="67">
        <v>0</v>
      </c>
      <c r="T238" s="69">
        <f>Valores!$C$43*E238</f>
        <v>104.2</v>
      </c>
      <c r="U238" s="53">
        <f>Valores!$C$11*E238</f>
        <v>227.5</v>
      </c>
      <c r="V238" s="67">
        <f t="shared" si="24"/>
        <v>500.50000000000006</v>
      </c>
      <c r="W238" s="67">
        <v>0</v>
      </c>
      <c r="X238" s="67">
        <v>0</v>
      </c>
      <c r="Y238" s="33">
        <v>0</v>
      </c>
      <c r="Z238" s="67">
        <f>Y238*Valores!$C$2</f>
        <v>0</v>
      </c>
      <c r="AA238" s="67">
        <v>0</v>
      </c>
      <c r="AB238" s="79">
        <f t="shared" si="38"/>
        <v>25.85</v>
      </c>
      <c r="AC238" s="67">
        <f t="shared" si="30"/>
        <v>0</v>
      </c>
      <c r="AD238" s="67">
        <f t="shared" si="41"/>
        <v>21.5</v>
      </c>
      <c r="AE238" s="95">
        <v>94</v>
      </c>
      <c r="AF238" s="67">
        <f>INT(((AE238*Valores!$C$2)*100)+0.5)/100</f>
        <v>424.19</v>
      </c>
      <c r="AG238" s="67">
        <f>Valores!$D$49*E238</f>
        <v>87.5</v>
      </c>
      <c r="AH238" s="67">
        <f>Valores!$D$50*E238</f>
        <v>25</v>
      </c>
      <c r="AI238" s="123">
        <f t="shared" si="33"/>
        <v>6353.1673333333329</v>
      </c>
      <c r="AJ238" s="69">
        <f>Valores!$C$13*E238</f>
        <v>83.350000000000009</v>
      </c>
      <c r="AK238" s="124">
        <f t="shared" si="31"/>
        <v>83.350000000000009</v>
      </c>
      <c r="AL238" s="68">
        <f t="shared" si="32"/>
        <v>1544.5784866666663</v>
      </c>
      <c r="AM238" s="79">
        <f t="shared" si="43"/>
        <v>36.67</v>
      </c>
      <c r="AN238" s="20"/>
      <c r="AO238" s="20">
        <f t="shared" si="39"/>
        <v>20</v>
      </c>
      <c r="AP238" s="9" t="s">
        <v>465</v>
      </c>
    </row>
    <row r="239" spans="1:42" s="9" customFormat="1" ht="11.25" customHeight="1" x14ac:dyDescent="0.15">
      <c r="A239" s="9">
        <v>238</v>
      </c>
      <c r="D239" s="9" t="s">
        <v>356</v>
      </c>
      <c r="E239" s="9">
        <v>6</v>
      </c>
      <c r="F239" s="10" t="str">
        <f>CONCATENATE("Hora Cátedra Enseñanza Media ",E239," hs")</f>
        <v>Hora Cátedra Enseñanza Media 6 hs</v>
      </c>
      <c r="G239" s="102">
        <f t="shared" si="40"/>
        <v>474</v>
      </c>
      <c r="H239" s="7">
        <f>INT((G239*Valores!$C$2*100)+0.5)/100</f>
        <v>2139.02</v>
      </c>
      <c r="I239" s="115">
        <v>0</v>
      </c>
      <c r="J239" s="67">
        <f>INT((I239*Valores!$C$2*100)+0.5)/100</f>
        <v>0</v>
      </c>
      <c r="K239" s="131">
        <v>0</v>
      </c>
      <c r="L239" s="67">
        <f>INT((K239*Valores!$C$2*100)+0.5)/100</f>
        <v>0</v>
      </c>
      <c r="M239" s="99">
        <v>0</v>
      </c>
      <c r="N239" s="67">
        <f>INT((M239*Valores!$C$2*100)+0.5)/100</f>
        <v>0</v>
      </c>
      <c r="O239" s="67">
        <f t="shared" si="34"/>
        <v>0</v>
      </c>
      <c r="P239" s="67">
        <f t="shared" si="35"/>
        <v>2716.8719999999998</v>
      </c>
      <c r="Q239" s="53">
        <f>Valores!$C$10*E239</f>
        <v>534</v>
      </c>
      <c r="R239" s="53">
        <f>IF(E239&lt;15,(Valores!$D$9/15*E239),Valores!$D$9)</f>
        <v>807.41200000000003</v>
      </c>
      <c r="S239" s="67">
        <v>0</v>
      </c>
      <c r="T239" s="69">
        <f>Valores!$C$43*E239</f>
        <v>125.03999999999999</v>
      </c>
      <c r="U239" s="53">
        <f>Valores!$C$11*E239</f>
        <v>273</v>
      </c>
      <c r="V239" s="67">
        <f t="shared" si="24"/>
        <v>600.6</v>
      </c>
      <c r="W239" s="67">
        <v>0</v>
      </c>
      <c r="X239" s="67">
        <v>0</v>
      </c>
      <c r="Y239" s="33">
        <v>0</v>
      </c>
      <c r="Z239" s="67">
        <f>Y239*Valores!$C$2</f>
        <v>0</v>
      </c>
      <c r="AA239" s="67">
        <v>0</v>
      </c>
      <c r="AB239" s="79">
        <f t="shared" si="38"/>
        <v>31.02</v>
      </c>
      <c r="AC239" s="67">
        <f t="shared" si="30"/>
        <v>0</v>
      </c>
      <c r="AD239" s="67">
        <f t="shared" si="41"/>
        <v>25.799999999999997</v>
      </c>
      <c r="AE239" s="95">
        <v>0</v>
      </c>
      <c r="AF239" s="67">
        <f>INT(((AE239*Valores!$C$2)*100)+0.5)/100</f>
        <v>0</v>
      </c>
      <c r="AG239" s="67">
        <f>Valores!$D$49*E239</f>
        <v>105</v>
      </c>
      <c r="AH239" s="67">
        <f>Valores!$D$50*E239</f>
        <v>30</v>
      </c>
      <c r="AI239" s="123">
        <f t="shared" si="33"/>
        <v>7114.764000000001</v>
      </c>
      <c r="AJ239" s="69">
        <f>Valores!$C$13*E239</f>
        <v>100.02000000000001</v>
      </c>
      <c r="AK239" s="124">
        <f t="shared" si="31"/>
        <v>100.02000000000001</v>
      </c>
      <c r="AL239" s="68">
        <f t="shared" si="32"/>
        <v>1736.4157200000002</v>
      </c>
      <c r="AM239" s="79">
        <f t="shared" si="43"/>
        <v>44.000000000000007</v>
      </c>
      <c r="AN239" s="20"/>
      <c r="AO239" s="47">
        <f t="shared" si="39"/>
        <v>24</v>
      </c>
      <c r="AP239" s="9" t="s">
        <v>465</v>
      </c>
    </row>
    <row r="240" spans="1:42" s="9" customFormat="1" ht="11.25" customHeight="1" x14ac:dyDescent="0.15">
      <c r="A240" s="9">
        <v>239</v>
      </c>
      <c r="D240" s="9" t="s">
        <v>356</v>
      </c>
      <c r="E240" s="9">
        <v>6</v>
      </c>
      <c r="F240" s="10" t="str">
        <f>CONCATENATE("Hora Cátedra Enseñanza Media ",E240," hs Esc Esp")</f>
        <v>Hora Cátedra Enseñanza Media 6 hs Esc Esp</v>
      </c>
      <c r="G240" s="102">
        <f t="shared" si="40"/>
        <v>474</v>
      </c>
      <c r="H240" s="7">
        <f>INT((G240*Valores!$C$2*100)+0.5)/100</f>
        <v>2139.02</v>
      </c>
      <c r="I240" s="115">
        <v>0</v>
      </c>
      <c r="J240" s="67">
        <f>INT((I240*Valores!$C$2*100)+0.5)/100</f>
        <v>0</v>
      </c>
      <c r="K240" s="131">
        <v>0</v>
      </c>
      <c r="L240" s="67">
        <f>INT((K240*Valores!$C$2*100)+0.5)/100</f>
        <v>0</v>
      </c>
      <c r="M240" s="99">
        <v>0</v>
      </c>
      <c r="N240" s="67">
        <f>INT((M240*Valores!$C$2*100)+0.5)/100</f>
        <v>0</v>
      </c>
      <c r="O240" s="67">
        <f t="shared" si="34"/>
        <v>0</v>
      </c>
      <c r="P240" s="67">
        <f t="shared" si="35"/>
        <v>2716.8719999999998</v>
      </c>
      <c r="Q240" s="53">
        <f>Valores!$C$10*E240</f>
        <v>534</v>
      </c>
      <c r="R240" s="53">
        <f>IF(E240&lt;15,(Valores!$D$9/15*E240),Valores!$D$9)</f>
        <v>807.41200000000003</v>
      </c>
      <c r="S240" s="67">
        <v>0</v>
      </c>
      <c r="T240" s="69">
        <f>Valores!$C$43*E240</f>
        <v>125.03999999999999</v>
      </c>
      <c r="U240" s="53">
        <f>Valores!$C$11*E240</f>
        <v>273</v>
      </c>
      <c r="V240" s="67">
        <f t="shared" si="24"/>
        <v>600.6</v>
      </c>
      <c r="W240" s="67">
        <v>0</v>
      </c>
      <c r="X240" s="67">
        <v>0</v>
      </c>
      <c r="Y240" s="33">
        <v>0</v>
      </c>
      <c r="Z240" s="67">
        <f>Y240*Valores!$C$2</f>
        <v>0</v>
      </c>
      <c r="AA240" s="67">
        <v>0</v>
      </c>
      <c r="AB240" s="79">
        <f t="shared" si="38"/>
        <v>31.02</v>
      </c>
      <c r="AC240" s="67">
        <f t="shared" si="30"/>
        <v>0</v>
      </c>
      <c r="AD240" s="67">
        <f t="shared" si="41"/>
        <v>25.799999999999997</v>
      </c>
      <c r="AE240" s="95">
        <v>94</v>
      </c>
      <c r="AF240" s="67">
        <f>INT(((AE240*Valores!$C$2)*100)+0.5)/100</f>
        <v>424.19</v>
      </c>
      <c r="AG240" s="67">
        <f>Valores!$D$49*E240</f>
        <v>105</v>
      </c>
      <c r="AH240" s="67">
        <f>Valores!$D$50*E240</f>
        <v>30</v>
      </c>
      <c r="AI240" s="123">
        <f t="shared" si="33"/>
        <v>7538.9540000000006</v>
      </c>
      <c r="AJ240" s="69">
        <f>Valores!$C$13*E240</f>
        <v>100.02000000000001</v>
      </c>
      <c r="AK240" s="124">
        <f t="shared" si="31"/>
        <v>100.02000000000001</v>
      </c>
      <c r="AL240" s="68">
        <f t="shared" si="32"/>
        <v>1833.9794199999999</v>
      </c>
      <c r="AM240" s="79">
        <f t="shared" si="43"/>
        <v>44.000000000000007</v>
      </c>
      <c r="AN240" s="20"/>
      <c r="AO240" s="20">
        <f t="shared" si="39"/>
        <v>24</v>
      </c>
      <c r="AP240" s="9" t="s">
        <v>465</v>
      </c>
    </row>
    <row r="241" spans="1:42" s="9" customFormat="1" ht="11.25" customHeight="1" x14ac:dyDescent="0.15">
      <c r="A241" s="43">
        <v>240</v>
      </c>
      <c r="B241" s="43" t="s">
        <v>460</v>
      </c>
      <c r="C241" s="43"/>
      <c r="D241" s="43" t="s">
        <v>356</v>
      </c>
      <c r="E241" s="43">
        <v>7</v>
      </c>
      <c r="F241" s="44" t="str">
        <f>CONCATENATE("Hora Cátedra Enseñanza Media ",E241," hs")</f>
        <v>Hora Cátedra Enseñanza Media 7 hs</v>
      </c>
      <c r="G241" s="103">
        <f t="shared" si="40"/>
        <v>553</v>
      </c>
      <c r="H241" s="110">
        <f>INT((G241*Valores!$C$2*100)+0.5)/100</f>
        <v>2495.52</v>
      </c>
      <c r="I241" s="114">
        <v>0</v>
      </c>
      <c r="J241" s="70">
        <f>INT((I241*Valores!$C$2*100)+0.5)/100</f>
        <v>0</v>
      </c>
      <c r="K241" s="132">
        <v>0</v>
      </c>
      <c r="L241" s="70">
        <f>INT((K241*Valores!$C$2*100)+0.5)/100</f>
        <v>0</v>
      </c>
      <c r="M241" s="100">
        <v>0</v>
      </c>
      <c r="N241" s="70">
        <f>INT((M241*Valores!$C$2*100)+0.5)/100</f>
        <v>0</v>
      </c>
      <c r="O241" s="70">
        <f t="shared" si="34"/>
        <v>0</v>
      </c>
      <c r="P241" s="70">
        <f t="shared" si="35"/>
        <v>3169.68</v>
      </c>
      <c r="Q241" s="75">
        <f>Valores!$C$10*E241</f>
        <v>623</v>
      </c>
      <c r="R241" s="75">
        <f>IF(E241&lt;15,(Valores!$D$9/15*E241),Valores!$D$9)</f>
        <v>941.98066666666671</v>
      </c>
      <c r="S241" s="70">
        <v>0</v>
      </c>
      <c r="T241" s="72">
        <f>Valores!$C$43*E241</f>
        <v>145.88</v>
      </c>
      <c r="U241" s="75">
        <f>Valores!$C$11*E241</f>
        <v>318.5</v>
      </c>
      <c r="V241" s="70">
        <f t="shared" ref="V241:V302" si="44">U241*(1+$J$2)</f>
        <v>700.7</v>
      </c>
      <c r="W241" s="70">
        <v>0</v>
      </c>
      <c r="X241" s="70">
        <v>0</v>
      </c>
      <c r="Y241" s="52">
        <v>0</v>
      </c>
      <c r="Z241" s="70">
        <f>Y241*Valores!$C$2</f>
        <v>0</v>
      </c>
      <c r="AA241" s="70">
        <v>0</v>
      </c>
      <c r="AB241" s="80">
        <f t="shared" si="38"/>
        <v>36.19</v>
      </c>
      <c r="AC241" s="70">
        <f t="shared" si="30"/>
        <v>0</v>
      </c>
      <c r="AD241" s="70">
        <f t="shared" si="41"/>
        <v>30.099999999999998</v>
      </c>
      <c r="AE241" s="94">
        <v>0</v>
      </c>
      <c r="AF241" s="70">
        <f>INT(((AE241*Valores!$C$2)*100)+0.5)/100</f>
        <v>0</v>
      </c>
      <c r="AG241" s="70">
        <f>Valores!$D$49*E241</f>
        <v>122.5</v>
      </c>
      <c r="AH241" s="70">
        <f>Valores!$D$50*E241</f>
        <v>35</v>
      </c>
      <c r="AI241" s="125">
        <f t="shared" si="33"/>
        <v>8300.5506666666661</v>
      </c>
      <c r="AJ241" s="72">
        <f>Valores!$C$13*E241</f>
        <v>116.69000000000001</v>
      </c>
      <c r="AK241" s="126">
        <f t="shared" si="31"/>
        <v>116.69000000000001</v>
      </c>
      <c r="AL241" s="71">
        <f t="shared" si="32"/>
        <v>2025.8166533333331</v>
      </c>
      <c r="AM241" s="80">
        <f t="shared" si="43"/>
        <v>51.330000000000005</v>
      </c>
      <c r="AN241" s="47"/>
      <c r="AO241" s="20">
        <f t="shared" si="39"/>
        <v>28</v>
      </c>
      <c r="AP241" s="43" t="s">
        <v>465</v>
      </c>
    </row>
    <row r="242" spans="1:42" s="9" customFormat="1" ht="11.25" customHeight="1" x14ac:dyDescent="0.15">
      <c r="A242" s="9">
        <v>241</v>
      </c>
      <c r="D242" s="9" t="s">
        <v>356</v>
      </c>
      <c r="E242" s="9">
        <v>7</v>
      </c>
      <c r="F242" s="10" t="str">
        <f>CONCATENATE("Hora Cátedra Enseñanza Media ",E242," hs Esc Esp")</f>
        <v>Hora Cátedra Enseñanza Media 7 hs Esc Esp</v>
      </c>
      <c r="G242" s="102">
        <f t="shared" si="40"/>
        <v>553</v>
      </c>
      <c r="H242" s="7">
        <f>INT((G242*Valores!$C$2*100)+0.5)/100</f>
        <v>2495.52</v>
      </c>
      <c r="I242" s="115">
        <v>0</v>
      </c>
      <c r="J242" s="67">
        <f>INT((I242*Valores!$C$2*100)+0.5)/100</f>
        <v>0</v>
      </c>
      <c r="K242" s="131">
        <v>0</v>
      </c>
      <c r="L242" s="67">
        <f>INT((K242*Valores!$C$2*100)+0.5)/100</f>
        <v>0</v>
      </c>
      <c r="M242" s="99">
        <v>0</v>
      </c>
      <c r="N242" s="67">
        <f>INT((M242*Valores!$C$2*100)+0.5)/100</f>
        <v>0</v>
      </c>
      <c r="O242" s="67">
        <f t="shared" si="34"/>
        <v>0</v>
      </c>
      <c r="P242" s="67">
        <f t="shared" si="35"/>
        <v>3169.68</v>
      </c>
      <c r="Q242" s="53">
        <f>Valores!$C$10*E242</f>
        <v>623</v>
      </c>
      <c r="R242" s="53">
        <f>IF(E242&lt;15,(Valores!$D$9/15*E242),Valores!$D$9)</f>
        <v>941.98066666666671</v>
      </c>
      <c r="S242" s="67">
        <v>0</v>
      </c>
      <c r="T242" s="69">
        <f>Valores!$C$43*E242</f>
        <v>145.88</v>
      </c>
      <c r="U242" s="53">
        <f>Valores!$C$11*E242</f>
        <v>318.5</v>
      </c>
      <c r="V242" s="67">
        <f t="shared" si="44"/>
        <v>700.7</v>
      </c>
      <c r="W242" s="67">
        <v>0</v>
      </c>
      <c r="X242" s="67">
        <v>0</v>
      </c>
      <c r="Y242" s="33">
        <v>0</v>
      </c>
      <c r="Z242" s="67">
        <f>Y242*Valores!$C$2</f>
        <v>0</v>
      </c>
      <c r="AA242" s="67">
        <v>0</v>
      </c>
      <c r="AB242" s="79">
        <f t="shared" si="38"/>
        <v>36.19</v>
      </c>
      <c r="AC242" s="67">
        <f t="shared" si="30"/>
        <v>0</v>
      </c>
      <c r="AD242" s="67">
        <f t="shared" si="41"/>
        <v>30.099999999999998</v>
      </c>
      <c r="AE242" s="95">
        <v>94</v>
      </c>
      <c r="AF242" s="67">
        <f>INT(((AE242*Valores!$C$2)*100)+0.5)/100</f>
        <v>424.19</v>
      </c>
      <c r="AG242" s="67">
        <f>Valores!$D$49*E242</f>
        <v>122.5</v>
      </c>
      <c r="AH242" s="67">
        <f>Valores!$D$50*E242</f>
        <v>35</v>
      </c>
      <c r="AI242" s="123">
        <f t="shared" si="33"/>
        <v>8724.7406666666648</v>
      </c>
      <c r="AJ242" s="69">
        <f>Valores!$C$13*E242</f>
        <v>116.69000000000001</v>
      </c>
      <c r="AK242" s="124">
        <f t="shared" si="31"/>
        <v>116.69000000000001</v>
      </c>
      <c r="AL242" s="68">
        <f t="shared" si="32"/>
        <v>2123.3803533333326</v>
      </c>
      <c r="AM242" s="79">
        <f t="shared" si="43"/>
        <v>51.330000000000005</v>
      </c>
      <c r="AN242" s="20"/>
      <c r="AO242" s="20">
        <f t="shared" si="39"/>
        <v>28</v>
      </c>
      <c r="AP242" s="9" t="s">
        <v>465</v>
      </c>
    </row>
    <row r="243" spans="1:42" s="9" customFormat="1" ht="11.25" customHeight="1" x14ac:dyDescent="0.15">
      <c r="A243" s="9">
        <v>242</v>
      </c>
      <c r="D243" s="9" t="s">
        <v>356</v>
      </c>
      <c r="E243" s="9">
        <v>8</v>
      </c>
      <c r="F243" s="10" t="str">
        <f>CONCATENATE("Hora Cátedra Enseñanza Media ",E243," hs")</f>
        <v>Hora Cátedra Enseñanza Media 8 hs</v>
      </c>
      <c r="G243" s="102">
        <f t="shared" si="40"/>
        <v>632</v>
      </c>
      <c r="H243" s="7">
        <f>INT((G243*Valores!$C$2*100)+0.5)/100</f>
        <v>2852.03</v>
      </c>
      <c r="I243" s="115">
        <v>0</v>
      </c>
      <c r="J243" s="67">
        <f>INT((I243*Valores!$C$2*100)+0.5)/100</f>
        <v>0</v>
      </c>
      <c r="K243" s="131">
        <v>0</v>
      </c>
      <c r="L243" s="67">
        <f>INT((K243*Valores!$C$2*100)+0.5)/100</f>
        <v>0</v>
      </c>
      <c r="M243" s="99">
        <v>0</v>
      </c>
      <c r="N243" s="67">
        <f>INT((M243*Valores!$C$2*100)+0.5)/100</f>
        <v>0</v>
      </c>
      <c r="O243" s="67">
        <f t="shared" si="34"/>
        <v>0</v>
      </c>
      <c r="P243" s="67">
        <f t="shared" si="35"/>
        <v>3622.5</v>
      </c>
      <c r="Q243" s="53">
        <f>Valores!$C$10*E243</f>
        <v>712</v>
      </c>
      <c r="R243" s="53">
        <f>IF(E243&lt;15,(Valores!$D$9/15*E243),Valores!$D$9)</f>
        <v>1076.5493333333334</v>
      </c>
      <c r="S243" s="67">
        <v>0</v>
      </c>
      <c r="T243" s="69">
        <f>Valores!$C$43*E243</f>
        <v>166.72</v>
      </c>
      <c r="U243" s="53">
        <f>Valores!$C$11*E243</f>
        <v>364</v>
      </c>
      <c r="V243" s="67">
        <f t="shared" si="44"/>
        <v>800.80000000000007</v>
      </c>
      <c r="W243" s="67">
        <v>0</v>
      </c>
      <c r="X243" s="67">
        <v>0</v>
      </c>
      <c r="Y243" s="33">
        <v>0</v>
      </c>
      <c r="Z243" s="67">
        <f>Y243*Valores!$C$2</f>
        <v>0</v>
      </c>
      <c r="AA243" s="67">
        <v>0</v>
      </c>
      <c r="AB243" s="79">
        <f t="shared" si="38"/>
        <v>41.36</v>
      </c>
      <c r="AC243" s="67">
        <f t="shared" si="30"/>
        <v>0</v>
      </c>
      <c r="AD243" s="67">
        <f t="shared" si="41"/>
        <v>34.4</v>
      </c>
      <c r="AE243" s="95">
        <v>0</v>
      </c>
      <c r="AF243" s="67">
        <f>INT(((AE243*Valores!$C$2)*100)+0.5)/100</f>
        <v>0</v>
      </c>
      <c r="AG243" s="67">
        <f>Valores!$D$49*E243</f>
        <v>140</v>
      </c>
      <c r="AH243" s="67">
        <f>Valores!$D$50*E243</f>
        <v>40</v>
      </c>
      <c r="AI243" s="123">
        <f t="shared" si="33"/>
        <v>9486.3593333333338</v>
      </c>
      <c r="AJ243" s="69">
        <f>Valores!$C$13*E243</f>
        <v>133.36000000000001</v>
      </c>
      <c r="AK243" s="124">
        <f t="shared" si="31"/>
        <v>133.36000000000001</v>
      </c>
      <c r="AL243" s="68">
        <f t="shared" si="32"/>
        <v>2315.2226466666666</v>
      </c>
      <c r="AM243" s="79">
        <f t="shared" ref="AM243:AM248" si="45">(7.33*E243)+0.03</f>
        <v>58.67</v>
      </c>
      <c r="AN243" s="20"/>
      <c r="AO243" s="20">
        <f t="shared" si="39"/>
        <v>32</v>
      </c>
      <c r="AP243" s="9" t="s">
        <v>465</v>
      </c>
    </row>
    <row r="244" spans="1:42" s="9" customFormat="1" ht="11.25" customHeight="1" x14ac:dyDescent="0.15">
      <c r="A244" s="9">
        <v>243</v>
      </c>
      <c r="D244" s="9" t="s">
        <v>356</v>
      </c>
      <c r="E244" s="9">
        <v>8</v>
      </c>
      <c r="F244" s="10" t="str">
        <f>CONCATENATE("Hora Cátedra Enseñanza Media ",E244," hs Esc Esp")</f>
        <v>Hora Cátedra Enseñanza Media 8 hs Esc Esp</v>
      </c>
      <c r="G244" s="102">
        <f t="shared" si="40"/>
        <v>632</v>
      </c>
      <c r="H244" s="7">
        <f>INT((G244*Valores!$C$2*100)+0.5)/100</f>
        <v>2852.03</v>
      </c>
      <c r="I244" s="115">
        <v>0</v>
      </c>
      <c r="J244" s="67">
        <f>INT((I244*Valores!$C$2*100)+0.5)/100</f>
        <v>0</v>
      </c>
      <c r="K244" s="131">
        <v>0</v>
      </c>
      <c r="L244" s="67">
        <f>INT((K244*Valores!$C$2*100)+0.5)/100</f>
        <v>0</v>
      </c>
      <c r="M244" s="99">
        <v>0</v>
      </c>
      <c r="N244" s="67">
        <f>INT((M244*Valores!$C$2*100)+0.5)/100</f>
        <v>0</v>
      </c>
      <c r="O244" s="67">
        <f t="shared" si="34"/>
        <v>0</v>
      </c>
      <c r="P244" s="67">
        <f t="shared" si="35"/>
        <v>3622.5</v>
      </c>
      <c r="Q244" s="53">
        <f>Valores!$C$10*E244</f>
        <v>712</v>
      </c>
      <c r="R244" s="53">
        <f>IF(E244&lt;15,(Valores!$D$9/15*E244),Valores!$D$9)</f>
        <v>1076.5493333333334</v>
      </c>
      <c r="S244" s="67">
        <v>0</v>
      </c>
      <c r="T244" s="69">
        <f>Valores!$C$43*E244</f>
        <v>166.72</v>
      </c>
      <c r="U244" s="53">
        <f>Valores!$C$11*E244</f>
        <v>364</v>
      </c>
      <c r="V244" s="67">
        <f t="shared" si="44"/>
        <v>800.80000000000007</v>
      </c>
      <c r="W244" s="67">
        <v>0</v>
      </c>
      <c r="X244" s="67">
        <v>0</v>
      </c>
      <c r="Y244" s="33">
        <v>0</v>
      </c>
      <c r="Z244" s="67">
        <f>Y244*Valores!$C$2</f>
        <v>0</v>
      </c>
      <c r="AA244" s="67">
        <v>0</v>
      </c>
      <c r="AB244" s="79">
        <f t="shared" si="38"/>
        <v>41.36</v>
      </c>
      <c r="AC244" s="67">
        <f t="shared" si="30"/>
        <v>0</v>
      </c>
      <c r="AD244" s="67">
        <f t="shared" si="41"/>
        <v>34.4</v>
      </c>
      <c r="AE244" s="95">
        <v>94</v>
      </c>
      <c r="AF244" s="67">
        <f>INT(((AE244*Valores!$C$2)*100)+0.5)/100</f>
        <v>424.19</v>
      </c>
      <c r="AG244" s="67">
        <f>Valores!$D$49*E244</f>
        <v>140</v>
      </c>
      <c r="AH244" s="67">
        <f>Valores!$D$50*E244</f>
        <v>40</v>
      </c>
      <c r="AI244" s="123">
        <f t="shared" si="33"/>
        <v>9910.5493333333343</v>
      </c>
      <c r="AJ244" s="69">
        <f>Valores!$C$13*E244</f>
        <v>133.36000000000001</v>
      </c>
      <c r="AK244" s="124">
        <f t="shared" si="31"/>
        <v>133.36000000000001</v>
      </c>
      <c r="AL244" s="68">
        <f t="shared" si="32"/>
        <v>2412.7863466666668</v>
      </c>
      <c r="AM244" s="79">
        <f t="shared" si="45"/>
        <v>58.67</v>
      </c>
      <c r="AN244" s="20"/>
      <c r="AO244" s="47">
        <f t="shared" si="39"/>
        <v>32</v>
      </c>
      <c r="AP244" s="9" t="s">
        <v>465</v>
      </c>
    </row>
    <row r="245" spans="1:42" s="9" customFormat="1" ht="11.25" customHeight="1" x14ac:dyDescent="0.15">
      <c r="A245" s="9">
        <v>244</v>
      </c>
      <c r="D245" s="9" t="s">
        <v>356</v>
      </c>
      <c r="E245" s="9">
        <v>9</v>
      </c>
      <c r="F245" s="10" t="str">
        <f>CONCATENATE("Hora Cátedra Enseñanza Media ",E245," hs")</f>
        <v>Hora Cátedra Enseñanza Media 9 hs</v>
      </c>
      <c r="G245" s="102">
        <f t="shared" si="40"/>
        <v>711</v>
      </c>
      <c r="H245" s="7">
        <f>INT((G245*Valores!$C$2*100)+0.5)/100</f>
        <v>3208.53</v>
      </c>
      <c r="I245" s="115">
        <v>0</v>
      </c>
      <c r="J245" s="67">
        <f>INT((I245*Valores!$C$2*100)+0.5)/100</f>
        <v>0</v>
      </c>
      <c r="K245" s="131">
        <v>0</v>
      </c>
      <c r="L245" s="67">
        <f>INT((K245*Valores!$C$2*100)+0.5)/100</f>
        <v>0</v>
      </c>
      <c r="M245" s="99">
        <v>0</v>
      </c>
      <c r="N245" s="67">
        <f>INT((M245*Valores!$C$2*100)+0.5)/100</f>
        <v>0</v>
      </c>
      <c r="O245" s="67">
        <f t="shared" si="34"/>
        <v>0</v>
      </c>
      <c r="P245" s="67">
        <f t="shared" si="35"/>
        <v>4075.308</v>
      </c>
      <c r="Q245" s="53">
        <f>Valores!$C$10*E245</f>
        <v>801</v>
      </c>
      <c r="R245" s="53">
        <f>IF(E245&lt;15,(Valores!$D$9/15*E245),Valores!$D$9)</f>
        <v>1211.1179999999999</v>
      </c>
      <c r="S245" s="67">
        <v>0</v>
      </c>
      <c r="T245" s="69">
        <f>Valores!$C$43*E245</f>
        <v>187.56</v>
      </c>
      <c r="U245" s="53">
        <f>Valores!$C$11*E245</f>
        <v>409.5</v>
      </c>
      <c r="V245" s="67">
        <f t="shared" si="44"/>
        <v>900.90000000000009</v>
      </c>
      <c r="W245" s="67">
        <v>0</v>
      </c>
      <c r="X245" s="67">
        <v>0</v>
      </c>
      <c r="Y245" s="33">
        <v>0</v>
      </c>
      <c r="Z245" s="67">
        <f>Y245*Valores!$C$2</f>
        <v>0</v>
      </c>
      <c r="AA245" s="67">
        <v>0</v>
      </c>
      <c r="AB245" s="79">
        <f t="shared" si="38"/>
        <v>46.53</v>
      </c>
      <c r="AC245" s="67">
        <f t="shared" si="30"/>
        <v>0</v>
      </c>
      <c r="AD245" s="67">
        <f t="shared" si="41"/>
        <v>38.699999999999996</v>
      </c>
      <c r="AE245" s="95">
        <v>0</v>
      </c>
      <c r="AF245" s="67">
        <f>INT(((AE245*Valores!$C$2)*100)+0.5)/100</f>
        <v>0</v>
      </c>
      <c r="AG245" s="67">
        <f>Valores!$D$49*E245</f>
        <v>157.5</v>
      </c>
      <c r="AH245" s="67">
        <f>Valores!$D$50*E245</f>
        <v>45</v>
      </c>
      <c r="AI245" s="123">
        <f t="shared" si="33"/>
        <v>10672.146000000001</v>
      </c>
      <c r="AJ245" s="69">
        <f>Valores!$C$13*E245</f>
        <v>150.03000000000003</v>
      </c>
      <c r="AK245" s="124">
        <f t="shared" si="31"/>
        <v>150.03000000000003</v>
      </c>
      <c r="AL245" s="68">
        <f t="shared" si="32"/>
        <v>2604.6235799999999</v>
      </c>
      <c r="AM245" s="79">
        <f t="shared" si="45"/>
        <v>66</v>
      </c>
      <c r="AN245" s="20"/>
      <c r="AO245" s="20">
        <f t="shared" si="39"/>
        <v>36</v>
      </c>
      <c r="AP245" s="9" t="s">
        <v>465</v>
      </c>
    </row>
    <row r="246" spans="1:42" s="9" customFormat="1" ht="11.25" customHeight="1" x14ac:dyDescent="0.15">
      <c r="A246" s="43">
        <v>245</v>
      </c>
      <c r="B246" s="43" t="s">
        <v>460</v>
      </c>
      <c r="C246" s="43"/>
      <c r="D246" s="43" t="s">
        <v>356</v>
      </c>
      <c r="E246" s="43">
        <v>9</v>
      </c>
      <c r="F246" s="44" t="str">
        <f>CONCATENATE("Hora Cátedra Enseñanza Media ",E246," hs Esc Esp")</f>
        <v>Hora Cátedra Enseñanza Media 9 hs Esc Esp</v>
      </c>
      <c r="G246" s="103">
        <f t="shared" si="40"/>
        <v>711</v>
      </c>
      <c r="H246" s="110">
        <f>INT((G246*Valores!$C$2*100)+0.5)/100</f>
        <v>3208.53</v>
      </c>
      <c r="I246" s="114">
        <v>0</v>
      </c>
      <c r="J246" s="70">
        <f>INT((I246*Valores!$C$2*100)+0.5)/100</f>
        <v>0</v>
      </c>
      <c r="K246" s="132">
        <v>0</v>
      </c>
      <c r="L246" s="70">
        <f>INT((K246*Valores!$C$2*100)+0.5)/100</f>
        <v>0</v>
      </c>
      <c r="M246" s="100">
        <v>0</v>
      </c>
      <c r="N246" s="70">
        <f>INT((M246*Valores!$C$2*100)+0.5)/100</f>
        <v>0</v>
      </c>
      <c r="O246" s="70">
        <f t="shared" si="34"/>
        <v>0</v>
      </c>
      <c r="P246" s="70">
        <f t="shared" si="35"/>
        <v>4075.308</v>
      </c>
      <c r="Q246" s="75">
        <f>Valores!$C$10*E246</f>
        <v>801</v>
      </c>
      <c r="R246" s="75">
        <f>IF(E246&lt;15,(Valores!$D$9/15*E246),Valores!$D$9)</f>
        <v>1211.1179999999999</v>
      </c>
      <c r="S246" s="70">
        <v>0</v>
      </c>
      <c r="T246" s="72">
        <f>Valores!$C$43*E246</f>
        <v>187.56</v>
      </c>
      <c r="U246" s="75">
        <f>Valores!$C$11*E246</f>
        <v>409.5</v>
      </c>
      <c r="V246" s="70">
        <f t="shared" si="44"/>
        <v>900.90000000000009</v>
      </c>
      <c r="W246" s="70">
        <v>0</v>
      </c>
      <c r="X246" s="70">
        <v>0</v>
      </c>
      <c r="Y246" s="52">
        <v>0</v>
      </c>
      <c r="Z246" s="70">
        <f>Y246*Valores!$C$2</f>
        <v>0</v>
      </c>
      <c r="AA246" s="70">
        <v>0</v>
      </c>
      <c r="AB246" s="80">
        <f t="shared" si="38"/>
        <v>46.53</v>
      </c>
      <c r="AC246" s="70">
        <f t="shared" si="30"/>
        <v>0</v>
      </c>
      <c r="AD246" s="70">
        <f t="shared" si="41"/>
        <v>38.699999999999996</v>
      </c>
      <c r="AE246" s="94">
        <v>94</v>
      </c>
      <c r="AF246" s="70">
        <f>INT(((AE246*Valores!$C$2)*100)+0.5)/100</f>
        <v>424.19</v>
      </c>
      <c r="AG246" s="70">
        <f>Valores!$D$49*E246</f>
        <v>157.5</v>
      </c>
      <c r="AH246" s="70">
        <f>Valores!$D$50*E246</f>
        <v>45</v>
      </c>
      <c r="AI246" s="125">
        <f t="shared" si="33"/>
        <v>11096.336000000001</v>
      </c>
      <c r="AJ246" s="72">
        <f>Valores!$C$13*E246</f>
        <v>150.03000000000003</v>
      </c>
      <c r="AK246" s="126">
        <f t="shared" si="31"/>
        <v>150.03000000000003</v>
      </c>
      <c r="AL246" s="71">
        <f t="shared" si="32"/>
        <v>2702.1872800000001</v>
      </c>
      <c r="AM246" s="80">
        <f t="shared" si="45"/>
        <v>66</v>
      </c>
      <c r="AN246" s="47"/>
      <c r="AO246" s="20">
        <f t="shared" si="39"/>
        <v>36</v>
      </c>
      <c r="AP246" s="43" t="s">
        <v>465</v>
      </c>
    </row>
    <row r="247" spans="1:42" s="9" customFormat="1" ht="11.25" customHeight="1" x14ac:dyDescent="0.15">
      <c r="A247" s="9">
        <v>246</v>
      </c>
      <c r="D247" s="9" t="s">
        <v>356</v>
      </c>
      <c r="E247" s="9">
        <v>10</v>
      </c>
      <c r="F247" s="10" t="str">
        <f>CONCATENATE("Hora Cátedra Enseñanza Media ",E247," hs")</f>
        <v>Hora Cátedra Enseñanza Media 10 hs</v>
      </c>
      <c r="G247" s="102">
        <f t="shared" si="40"/>
        <v>790</v>
      </c>
      <c r="H247" s="7">
        <f>INT((G247*Valores!$C$2*100)+0.5)/100</f>
        <v>3565.03</v>
      </c>
      <c r="I247" s="115">
        <v>0</v>
      </c>
      <c r="J247" s="67">
        <f>INT((I247*Valores!$C$2*100)+0.5)/100</f>
        <v>0</v>
      </c>
      <c r="K247" s="131">
        <v>0</v>
      </c>
      <c r="L247" s="67">
        <f>INT((K247*Valores!$C$2*100)+0.5)/100</f>
        <v>0</v>
      </c>
      <c r="M247" s="99">
        <v>0</v>
      </c>
      <c r="N247" s="67">
        <f>INT((M247*Valores!$C$2*100)+0.5)/100</f>
        <v>0</v>
      </c>
      <c r="O247" s="67">
        <f t="shared" si="34"/>
        <v>0</v>
      </c>
      <c r="P247" s="67">
        <f t="shared" si="35"/>
        <v>4528.116</v>
      </c>
      <c r="Q247" s="53">
        <f>Valores!$C$10*E247</f>
        <v>890</v>
      </c>
      <c r="R247" s="53">
        <f>IF(E247&lt;15,(Valores!$D$9/15*E247),Valores!$D$9)</f>
        <v>1345.6866666666667</v>
      </c>
      <c r="S247" s="67">
        <v>0</v>
      </c>
      <c r="T247" s="69">
        <f>Valores!$C$43*E247</f>
        <v>208.4</v>
      </c>
      <c r="U247" s="53">
        <f>Valores!$C$11*E247</f>
        <v>455</v>
      </c>
      <c r="V247" s="67">
        <f t="shared" si="44"/>
        <v>1001.0000000000001</v>
      </c>
      <c r="W247" s="67">
        <v>0</v>
      </c>
      <c r="X247" s="67">
        <v>0</v>
      </c>
      <c r="Y247" s="33">
        <v>0</v>
      </c>
      <c r="Z247" s="67">
        <f>Y247*Valores!$C$2</f>
        <v>0</v>
      </c>
      <c r="AA247" s="67">
        <v>0</v>
      </c>
      <c r="AB247" s="79">
        <f t="shared" si="38"/>
        <v>51.7</v>
      </c>
      <c r="AC247" s="67">
        <f t="shared" si="30"/>
        <v>0</v>
      </c>
      <c r="AD247" s="67">
        <f t="shared" si="41"/>
        <v>43</v>
      </c>
      <c r="AE247" s="95">
        <v>0</v>
      </c>
      <c r="AF247" s="67">
        <f>INT(((AE247*Valores!$C$2)*100)+0.5)/100</f>
        <v>0</v>
      </c>
      <c r="AG247" s="67">
        <f>Valores!$D$49*E247</f>
        <v>175</v>
      </c>
      <c r="AH247" s="67">
        <f>Valores!$D$50*E247</f>
        <v>50</v>
      </c>
      <c r="AI247" s="123">
        <f t="shared" si="33"/>
        <v>11857.932666666668</v>
      </c>
      <c r="AJ247" s="69">
        <f>Valores!$C$13*E247</f>
        <v>166.70000000000002</v>
      </c>
      <c r="AK247" s="124">
        <f t="shared" si="31"/>
        <v>166.70000000000002</v>
      </c>
      <c r="AL247" s="68">
        <f t="shared" si="32"/>
        <v>2894.0245133333333</v>
      </c>
      <c r="AM247" s="79">
        <f t="shared" si="45"/>
        <v>73.33</v>
      </c>
      <c r="AN247" s="20"/>
      <c r="AO247" s="20">
        <f t="shared" si="39"/>
        <v>40</v>
      </c>
      <c r="AP247" s="9" t="s">
        <v>465</v>
      </c>
    </row>
    <row r="248" spans="1:42" s="9" customFormat="1" ht="11.25" customHeight="1" x14ac:dyDescent="0.15">
      <c r="A248" s="9">
        <v>247</v>
      </c>
      <c r="D248" s="9" t="s">
        <v>356</v>
      </c>
      <c r="E248" s="9">
        <v>10</v>
      </c>
      <c r="F248" s="10" t="str">
        <f>CONCATENATE("Hora Cátedra Enseñanza Media ",E248," hs Esc Esp")</f>
        <v>Hora Cátedra Enseñanza Media 10 hs Esc Esp</v>
      </c>
      <c r="G248" s="102">
        <f t="shared" si="40"/>
        <v>790</v>
      </c>
      <c r="H248" s="7">
        <f>INT((G248*Valores!$C$2*100)+0.5)/100</f>
        <v>3565.03</v>
      </c>
      <c r="I248" s="115">
        <v>0</v>
      </c>
      <c r="J248" s="67">
        <f>INT((I248*Valores!$C$2*100)+0.5)/100</f>
        <v>0</v>
      </c>
      <c r="K248" s="131">
        <v>0</v>
      </c>
      <c r="L248" s="67">
        <f>INT((K248*Valores!$C$2*100)+0.5)/100</f>
        <v>0</v>
      </c>
      <c r="M248" s="99">
        <v>0</v>
      </c>
      <c r="N248" s="67">
        <f>INT((M248*Valores!$C$2*100)+0.5)/100</f>
        <v>0</v>
      </c>
      <c r="O248" s="67">
        <f t="shared" si="34"/>
        <v>0</v>
      </c>
      <c r="P248" s="67">
        <f t="shared" si="35"/>
        <v>4528.116</v>
      </c>
      <c r="Q248" s="53">
        <f>Valores!$C$10*E248</f>
        <v>890</v>
      </c>
      <c r="R248" s="53">
        <f>IF(E248&lt;15,(Valores!$D$9/15*E248),Valores!$D$9)</f>
        <v>1345.6866666666667</v>
      </c>
      <c r="S248" s="67">
        <v>0</v>
      </c>
      <c r="T248" s="69">
        <f>Valores!$C$43*E248</f>
        <v>208.4</v>
      </c>
      <c r="U248" s="53">
        <f>Valores!$C$11*E248</f>
        <v>455</v>
      </c>
      <c r="V248" s="67">
        <f t="shared" si="44"/>
        <v>1001.0000000000001</v>
      </c>
      <c r="W248" s="67">
        <v>0</v>
      </c>
      <c r="X248" s="67">
        <v>0</v>
      </c>
      <c r="Y248" s="33">
        <v>0</v>
      </c>
      <c r="Z248" s="67">
        <f>Y248*Valores!$C$2</f>
        <v>0</v>
      </c>
      <c r="AA248" s="67">
        <v>0</v>
      </c>
      <c r="AB248" s="79">
        <f t="shared" si="38"/>
        <v>51.7</v>
      </c>
      <c r="AC248" s="67">
        <f t="shared" si="30"/>
        <v>0</v>
      </c>
      <c r="AD248" s="67">
        <f t="shared" si="41"/>
        <v>43</v>
      </c>
      <c r="AE248" s="95">
        <v>94</v>
      </c>
      <c r="AF248" s="67">
        <f>INT(((AE248*Valores!$C$2)*100)+0.5)/100</f>
        <v>424.19</v>
      </c>
      <c r="AG248" s="67">
        <f>Valores!$D$49*E248</f>
        <v>175</v>
      </c>
      <c r="AH248" s="67">
        <f>Valores!$D$50*E248</f>
        <v>50</v>
      </c>
      <c r="AI248" s="123">
        <f t="shared" si="33"/>
        <v>12282.122666666668</v>
      </c>
      <c r="AJ248" s="69">
        <f>Valores!$C$13*E248</f>
        <v>166.70000000000002</v>
      </c>
      <c r="AK248" s="124">
        <f t="shared" si="31"/>
        <v>166.70000000000002</v>
      </c>
      <c r="AL248" s="68">
        <f t="shared" si="32"/>
        <v>2991.5882133333334</v>
      </c>
      <c r="AM248" s="79">
        <f t="shared" si="45"/>
        <v>73.33</v>
      </c>
      <c r="AN248" s="20"/>
      <c r="AO248" s="20">
        <f t="shared" si="39"/>
        <v>40</v>
      </c>
      <c r="AP248" s="9" t="s">
        <v>465</v>
      </c>
    </row>
    <row r="249" spans="1:42" s="9" customFormat="1" ht="11.25" customHeight="1" x14ac:dyDescent="0.15">
      <c r="A249" s="9">
        <v>248</v>
      </c>
      <c r="D249" s="9" t="s">
        <v>356</v>
      </c>
      <c r="E249" s="9">
        <v>11</v>
      </c>
      <c r="F249" s="10" t="str">
        <f>CONCATENATE("Hora Cátedra Enseñanza Media ",E249," hs")</f>
        <v>Hora Cátedra Enseñanza Media 11 hs</v>
      </c>
      <c r="G249" s="102">
        <f t="shared" si="40"/>
        <v>869</v>
      </c>
      <c r="H249" s="7">
        <f>INT((G249*Valores!$C$2*100)+0.5)/100</f>
        <v>3921.54</v>
      </c>
      <c r="I249" s="115">
        <v>0</v>
      </c>
      <c r="J249" s="67">
        <f>INT((I249*Valores!$C$2*100)+0.5)/100</f>
        <v>0</v>
      </c>
      <c r="K249" s="131">
        <v>0</v>
      </c>
      <c r="L249" s="67">
        <f>INT((K249*Valores!$C$2*100)+0.5)/100</f>
        <v>0</v>
      </c>
      <c r="M249" s="99">
        <v>0</v>
      </c>
      <c r="N249" s="67">
        <f>INT((M249*Valores!$C$2*100)+0.5)/100</f>
        <v>0</v>
      </c>
      <c r="O249" s="67">
        <f t="shared" si="34"/>
        <v>0</v>
      </c>
      <c r="P249" s="67">
        <f t="shared" si="35"/>
        <v>4980.9359999999997</v>
      </c>
      <c r="Q249" s="53">
        <f>Valores!$C$10*E249</f>
        <v>979</v>
      </c>
      <c r="R249" s="53">
        <f>IF(E249&lt;15,(Valores!$D$9/15*E249),Valores!$D$9)</f>
        <v>1480.2553333333335</v>
      </c>
      <c r="S249" s="67">
        <v>0</v>
      </c>
      <c r="T249" s="69">
        <f>Valores!$C$43*E249</f>
        <v>229.24</v>
      </c>
      <c r="U249" s="53">
        <f>Valores!$C$11*E249</f>
        <v>500.5</v>
      </c>
      <c r="V249" s="67">
        <f t="shared" si="44"/>
        <v>1101.1000000000001</v>
      </c>
      <c r="W249" s="67">
        <v>0</v>
      </c>
      <c r="X249" s="67">
        <v>0</v>
      </c>
      <c r="Y249" s="33">
        <v>0</v>
      </c>
      <c r="Z249" s="67">
        <f>Y249*Valores!$C$2</f>
        <v>0</v>
      </c>
      <c r="AA249" s="67">
        <v>0</v>
      </c>
      <c r="AB249" s="79">
        <f t="shared" si="38"/>
        <v>56.87</v>
      </c>
      <c r="AC249" s="67">
        <f t="shared" si="30"/>
        <v>0</v>
      </c>
      <c r="AD249" s="67">
        <f t="shared" si="41"/>
        <v>47.3</v>
      </c>
      <c r="AE249" s="95">
        <v>0</v>
      </c>
      <c r="AF249" s="67">
        <f>INT(((AE249*Valores!$C$2)*100)+0.5)/100</f>
        <v>0</v>
      </c>
      <c r="AG249" s="67">
        <f>Valores!$D$49*E249</f>
        <v>192.5</v>
      </c>
      <c r="AH249" s="67">
        <f>Valores!$D$50*E249</f>
        <v>55</v>
      </c>
      <c r="AI249" s="123">
        <f t="shared" si="33"/>
        <v>13043.741333333333</v>
      </c>
      <c r="AJ249" s="69">
        <f>Valores!$C$13*E249</f>
        <v>183.37</v>
      </c>
      <c r="AK249" s="124">
        <f t="shared" si="31"/>
        <v>183.37</v>
      </c>
      <c r="AL249" s="68">
        <f t="shared" si="32"/>
        <v>3183.4305066666661</v>
      </c>
      <c r="AM249" s="79">
        <f t="shared" ref="AM249:AM254" si="46">(7.33*E249)+0.04</f>
        <v>80.67</v>
      </c>
      <c r="AN249" s="20"/>
      <c r="AO249" s="47">
        <f t="shared" si="39"/>
        <v>44</v>
      </c>
      <c r="AP249" s="9" t="s">
        <v>465</v>
      </c>
    </row>
    <row r="250" spans="1:42" s="9" customFormat="1" ht="11.25" customHeight="1" x14ac:dyDescent="0.15">
      <c r="A250" s="9">
        <v>249</v>
      </c>
      <c r="D250" s="9" t="s">
        <v>356</v>
      </c>
      <c r="E250" s="9">
        <v>11</v>
      </c>
      <c r="F250" s="10" t="str">
        <f>CONCATENATE("Hora Cátedra Enseñanza Media ",E250," hs Esc Esp")</f>
        <v>Hora Cátedra Enseñanza Media 11 hs Esc Esp</v>
      </c>
      <c r="G250" s="102">
        <f t="shared" si="40"/>
        <v>869</v>
      </c>
      <c r="H250" s="7">
        <f>INT((G250*Valores!$C$2*100)+0.5)/100</f>
        <v>3921.54</v>
      </c>
      <c r="I250" s="115">
        <v>0</v>
      </c>
      <c r="J250" s="67">
        <f>INT((I250*Valores!$C$2*100)+0.5)/100</f>
        <v>0</v>
      </c>
      <c r="K250" s="131">
        <v>0</v>
      </c>
      <c r="L250" s="67">
        <f>INT((K250*Valores!$C$2*100)+0.5)/100</f>
        <v>0</v>
      </c>
      <c r="M250" s="99">
        <v>0</v>
      </c>
      <c r="N250" s="67">
        <f>INT((M250*Valores!$C$2*100)+0.5)/100</f>
        <v>0</v>
      </c>
      <c r="O250" s="67">
        <f t="shared" si="34"/>
        <v>0</v>
      </c>
      <c r="P250" s="67">
        <f t="shared" si="35"/>
        <v>4980.9359999999997</v>
      </c>
      <c r="Q250" s="53">
        <f>Valores!$C$10*E250</f>
        <v>979</v>
      </c>
      <c r="R250" s="53">
        <f>IF(E250&lt;15,(Valores!$D$9/15*E250),Valores!$D$9)</f>
        <v>1480.2553333333335</v>
      </c>
      <c r="S250" s="67">
        <v>0</v>
      </c>
      <c r="T250" s="69">
        <f>Valores!$C$43*E250</f>
        <v>229.24</v>
      </c>
      <c r="U250" s="53">
        <f>Valores!$C$11*E250</f>
        <v>500.5</v>
      </c>
      <c r="V250" s="67">
        <f t="shared" si="44"/>
        <v>1101.1000000000001</v>
      </c>
      <c r="W250" s="67">
        <v>0</v>
      </c>
      <c r="X250" s="67">
        <v>0</v>
      </c>
      <c r="Y250" s="33">
        <v>0</v>
      </c>
      <c r="Z250" s="67">
        <f>Y250*Valores!$C$2</f>
        <v>0</v>
      </c>
      <c r="AA250" s="67">
        <v>0</v>
      </c>
      <c r="AB250" s="79">
        <f t="shared" si="38"/>
        <v>56.87</v>
      </c>
      <c r="AC250" s="67">
        <f t="shared" si="30"/>
        <v>0</v>
      </c>
      <c r="AD250" s="67">
        <f t="shared" si="41"/>
        <v>47.3</v>
      </c>
      <c r="AE250" s="95">
        <v>94</v>
      </c>
      <c r="AF250" s="67">
        <f>INT(((AE250*Valores!$C$2)*100)+0.5)/100</f>
        <v>424.19</v>
      </c>
      <c r="AG250" s="67">
        <f>Valores!$D$49*E250</f>
        <v>192.5</v>
      </c>
      <c r="AH250" s="67">
        <f>Valores!$D$50*E250</f>
        <v>55</v>
      </c>
      <c r="AI250" s="123">
        <f t="shared" si="33"/>
        <v>13467.931333333334</v>
      </c>
      <c r="AJ250" s="69">
        <f>Valores!$C$13*E250</f>
        <v>183.37</v>
      </c>
      <c r="AK250" s="124">
        <f t="shared" si="31"/>
        <v>183.37</v>
      </c>
      <c r="AL250" s="68">
        <f t="shared" si="32"/>
        <v>3280.9942066666663</v>
      </c>
      <c r="AM250" s="79">
        <f t="shared" si="46"/>
        <v>80.67</v>
      </c>
      <c r="AN250" s="20"/>
      <c r="AO250" s="20">
        <f t="shared" si="39"/>
        <v>44</v>
      </c>
      <c r="AP250" s="9" t="s">
        <v>465</v>
      </c>
    </row>
    <row r="251" spans="1:42" s="9" customFormat="1" ht="11.25" customHeight="1" x14ac:dyDescent="0.15">
      <c r="A251" s="43">
        <v>250</v>
      </c>
      <c r="B251" s="43" t="s">
        <v>460</v>
      </c>
      <c r="C251" s="43"/>
      <c r="D251" s="43" t="s">
        <v>356</v>
      </c>
      <c r="E251" s="43">
        <v>12</v>
      </c>
      <c r="F251" s="44" t="str">
        <f>CONCATENATE("Hora Cátedra Enseñanza Media ",E251," hs")</f>
        <v>Hora Cátedra Enseñanza Media 12 hs</v>
      </c>
      <c r="G251" s="103">
        <f t="shared" si="40"/>
        <v>948</v>
      </c>
      <c r="H251" s="110">
        <f>INT((G251*Valores!$C$2*100)+0.5)/100</f>
        <v>4278.04</v>
      </c>
      <c r="I251" s="114">
        <v>0</v>
      </c>
      <c r="J251" s="70">
        <f>INT((I251*Valores!$C$2*100)+0.5)/100</f>
        <v>0</v>
      </c>
      <c r="K251" s="132">
        <v>0</v>
      </c>
      <c r="L251" s="70">
        <f>INT((K251*Valores!$C$2*100)+0.5)/100</f>
        <v>0</v>
      </c>
      <c r="M251" s="100">
        <v>0</v>
      </c>
      <c r="N251" s="70">
        <f>INT((M251*Valores!$C$2*100)+0.5)/100</f>
        <v>0</v>
      </c>
      <c r="O251" s="70">
        <f t="shared" si="34"/>
        <v>0</v>
      </c>
      <c r="P251" s="70">
        <f t="shared" si="35"/>
        <v>5433.7439999999997</v>
      </c>
      <c r="Q251" s="75">
        <f>Valores!$C$10*E251</f>
        <v>1068</v>
      </c>
      <c r="R251" s="75">
        <f>IF(E251&lt;15,(Valores!$D$9/15*E251),Valores!$D$9)</f>
        <v>1614.8240000000001</v>
      </c>
      <c r="S251" s="70">
        <v>0</v>
      </c>
      <c r="T251" s="72">
        <f>Valores!$C$43*E251</f>
        <v>250.07999999999998</v>
      </c>
      <c r="U251" s="75">
        <f>Valores!$C$11*E251</f>
        <v>546</v>
      </c>
      <c r="V251" s="70">
        <f t="shared" si="44"/>
        <v>1201.2</v>
      </c>
      <c r="W251" s="70">
        <v>0</v>
      </c>
      <c r="X251" s="70">
        <v>0</v>
      </c>
      <c r="Y251" s="52">
        <v>0</v>
      </c>
      <c r="Z251" s="70">
        <f>Y251*Valores!$C$2</f>
        <v>0</v>
      </c>
      <c r="AA251" s="70">
        <v>0</v>
      </c>
      <c r="AB251" s="80">
        <f t="shared" si="38"/>
        <v>62.04</v>
      </c>
      <c r="AC251" s="70">
        <f t="shared" si="30"/>
        <v>0</v>
      </c>
      <c r="AD251" s="70">
        <f t="shared" si="41"/>
        <v>51.599999999999994</v>
      </c>
      <c r="AE251" s="94">
        <v>0</v>
      </c>
      <c r="AF251" s="70">
        <f>INT(((AE251*Valores!$C$2)*100)+0.5)/100</f>
        <v>0</v>
      </c>
      <c r="AG251" s="70">
        <f>Valores!$D$49*E251</f>
        <v>210</v>
      </c>
      <c r="AH251" s="70">
        <f>Valores!$D$50*E251</f>
        <v>60</v>
      </c>
      <c r="AI251" s="125">
        <f t="shared" si="33"/>
        <v>14229.528000000002</v>
      </c>
      <c r="AJ251" s="72">
        <f>Valores!$C$13*E251</f>
        <v>200.04000000000002</v>
      </c>
      <c r="AK251" s="126">
        <f t="shared" si="31"/>
        <v>200.04000000000002</v>
      </c>
      <c r="AL251" s="71">
        <f t="shared" si="32"/>
        <v>3472.8314400000004</v>
      </c>
      <c r="AM251" s="80">
        <f t="shared" si="46"/>
        <v>88.000000000000014</v>
      </c>
      <c r="AN251" s="47"/>
      <c r="AO251" s="20">
        <f t="shared" si="39"/>
        <v>48</v>
      </c>
      <c r="AP251" s="43" t="s">
        <v>465</v>
      </c>
    </row>
    <row r="252" spans="1:42" s="9" customFormat="1" ht="11.25" customHeight="1" x14ac:dyDescent="0.15">
      <c r="A252" s="9">
        <v>251</v>
      </c>
      <c r="D252" s="9" t="s">
        <v>356</v>
      </c>
      <c r="E252" s="9">
        <v>12</v>
      </c>
      <c r="F252" s="10" t="str">
        <f>CONCATENATE("Hora Cátedra Enseñanza Media ",E252," hs Esc Esp")</f>
        <v>Hora Cátedra Enseñanza Media 12 hs Esc Esp</v>
      </c>
      <c r="G252" s="102">
        <f t="shared" si="40"/>
        <v>948</v>
      </c>
      <c r="H252" s="7">
        <f>INT((G252*Valores!$C$2*100)+0.5)/100</f>
        <v>4278.04</v>
      </c>
      <c r="I252" s="115">
        <v>0</v>
      </c>
      <c r="J252" s="67">
        <f>INT((I252*Valores!$C$2*100)+0.5)/100</f>
        <v>0</v>
      </c>
      <c r="K252" s="131">
        <v>0</v>
      </c>
      <c r="L252" s="67">
        <f>INT((K252*Valores!$C$2*100)+0.5)/100</f>
        <v>0</v>
      </c>
      <c r="M252" s="99">
        <v>0</v>
      </c>
      <c r="N252" s="67">
        <f>INT((M252*Valores!$C$2*100)+0.5)/100</f>
        <v>0</v>
      </c>
      <c r="O252" s="67">
        <f t="shared" si="34"/>
        <v>0</v>
      </c>
      <c r="P252" s="67">
        <f t="shared" si="35"/>
        <v>5433.7439999999997</v>
      </c>
      <c r="Q252" s="53">
        <f>Valores!$C$10*E252</f>
        <v>1068</v>
      </c>
      <c r="R252" s="53">
        <f>IF(E252&lt;15,(Valores!$D$9/15*E252),Valores!$D$9)</f>
        <v>1614.8240000000001</v>
      </c>
      <c r="S252" s="67">
        <v>0</v>
      </c>
      <c r="T252" s="69">
        <f>Valores!$C$43*E252</f>
        <v>250.07999999999998</v>
      </c>
      <c r="U252" s="53">
        <f>Valores!$C$11*E252</f>
        <v>546</v>
      </c>
      <c r="V252" s="67">
        <f t="shared" si="44"/>
        <v>1201.2</v>
      </c>
      <c r="W252" s="67">
        <v>0</v>
      </c>
      <c r="X252" s="67">
        <v>0</v>
      </c>
      <c r="Y252" s="33">
        <v>0</v>
      </c>
      <c r="Z252" s="67">
        <f>Y252*Valores!$C$2</f>
        <v>0</v>
      </c>
      <c r="AA252" s="67">
        <v>0</v>
      </c>
      <c r="AB252" s="79">
        <f t="shared" si="38"/>
        <v>62.04</v>
      </c>
      <c r="AC252" s="67">
        <f t="shared" si="30"/>
        <v>0</v>
      </c>
      <c r="AD252" s="67">
        <f t="shared" si="41"/>
        <v>51.599999999999994</v>
      </c>
      <c r="AE252" s="95">
        <v>94</v>
      </c>
      <c r="AF252" s="67">
        <f>INT(((AE252*Valores!$C$2)*100)+0.5)/100</f>
        <v>424.19</v>
      </c>
      <c r="AG252" s="67">
        <f>Valores!$D$49*E252</f>
        <v>210</v>
      </c>
      <c r="AH252" s="67">
        <f>Valores!$D$50*E252</f>
        <v>60</v>
      </c>
      <c r="AI252" s="123">
        <f t="shared" si="33"/>
        <v>14653.718000000003</v>
      </c>
      <c r="AJ252" s="69">
        <f>Valores!$C$13*E252</f>
        <v>200.04000000000002</v>
      </c>
      <c r="AK252" s="124">
        <f t="shared" si="31"/>
        <v>200.04000000000002</v>
      </c>
      <c r="AL252" s="68">
        <f t="shared" si="32"/>
        <v>3570.3951400000001</v>
      </c>
      <c r="AM252" s="79">
        <f t="shared" si="46"/>
        <v>88.000000000000014</v>
      </c>
      <c r="AN252" s="20"/>
      <c r="AO252" s="20">
        <f t="shared" si="39"/>
        <v>48</v>
      </c>
      <c r="AP252" s="9" t="s">
        <v>465</v>
      </c>
    </row>
    <row r="253" spans="1:42" s="9" customFormat="1" ht="11.25" customHeight="1" x14ac:dyDescent="0.15">
      <c r="A253" s="9">
        <v>252</v>
      </c>
      <c r="D253" s="9" t="s">
        <v>356</v>
      </c>
      <c r="E253" s="9">
        <v>13</v>
      </c>
      <c r="F253" s="10" t="str">
        <f>CONCATENATE("Hora Cátedra Enseñanza Media ",E253," hs")</f>
        <v>Hora Cátedra Enseñanza Media 13 hs</v>
      </c>
      <c r="G253" s="102">
        <f t="shared" si="40"/>
        <v>1027</v>
      </c>
      <c r="H253" s="7">
        <f>INT((G253*Valores!$C$2*100)+0.5)/100</f>
        <v>4634.54</v>
      </c>
      <c r="I253" s="115">
        <v>0</v>
      </c>
      <c r="J253" s="67">
        <f>INT((I253*Valores!$C$2*100)+0.5)/100</f>
        <v>0</v>
      </c>
      <c r="K253" s="131">
        <v>0</v>
      </c>
      <c r="L253" s="67">
        <f>INT((K253*Valores!$C$2*100)+0.5)/100</f>
        <v>0</v>
      </c>
      <c r="M253" s="99">
        <v>0</v>
      </c>
      <c r="N253" s="67">
        <f>INT((M253*Valores!$C$2*100)+0.5)/100</f>
        <v>0</v>
      </c>
      <c r="O253" s="67">
        <f t="shared" si="34"/>
        <v>0</v>
      </c>
      <c r="P253" s="67">
        <f t="shared" si="35"/>
        <v>5886.5519999999997</v>
      </c>
      <c r="Q253" s="53">
        <f>Valores!$C$10*E253</f>
        <v>1157</v>
      </c>
      <c r="R253" s="53">
        <f>IF(E253&lt;15,(Valores!$D$9/15*E253),Valores!$D$9)</f>
        <v>1749.3926666666666</v>
      </c>
      <c r="S253" s="67">
        <v>0</v>
      </c>
      <c r="T253" s="69">
        <f>Valores!$C$43*E253</f>
        <v>270.92</v>
      </c>
      <c r="U253" s="53">
        <f>Valores!$C$11*E253</f>
        <v>591.5</v>
      </c>
      <c r="V253" s="67">
        <f t="shared" si="44"/>
        <v>1301.3000000000002</v>
      </c>
      <c r="W253" s="67">
        <v>0</v>
      </c>
      <c r="X253" s="67">
        <v>0</v>
      </c>
      <c r="Y253" s="33">
        <v>0</v>
      </c>
      <c r="Z253" s="67">
        <f>Y253*Valores!$C$2</f>
        <v>0</v>
      </c>
      <c r="AA253" s="67">
        <v>0</v>
      </c>
      <c r="AB253" s="79">
        <f t="shared" si="38"/>
        <v>67.209999999999994</v>
      </c>
      <c r="AC253" s="67">
        <f t="shared" si="30"/>
        <v>0</v>
      </c>
      <c r="AD253" s="67">
        <f t="shared" si="41"/>
        <v>55.9</v>
      </c>
      <c r="AE253" s="95">
        <v>0</v>
      </c>
      <c r="AF253" s="67">
        <f>INT(((AE253*Valores!$C$2)*100)+0.5)/100</f>
        <v>0</v>
      </c>
      <c r="AG253" s="67">
        <f>Valores!$D$49*E253</f>
        <v>227.5</v>
      </c>
      <c r="AH253" s="67">
        <f>Valores!$D$50*E253</f>
        <v>65</v>
      </c>
      <c r="AI253" s="123">
        <f t="shared" si="33"/>
        <v>15415.314666666665</v>
      </c>
      <c r="AJ253" s="69">
        <f>Valores!$C$13*E253</f>
        <v>216.71000000000004</v>
      </c>
      <c r="AK253" s="124">
        <f t="shared" si="31"/>
        <v>216.71000000000004</v>
      </c>
      <c r="AL253" s="68">
        <f t="shared" si="32"/>
        <v>3762.2323733333328</v>
      </c>
      <c r="AM253" s="79">
        <f t="shared" si="46"/>
        <v>95.330000000000013</v>
      </c>
      <c r="AN253" s="20"/>
      <c r="AO253" s="20">
        <f t="shared" si="39"/>
        <v>52</v>
      </c>
      <c r="AP253" s="9" t="s">
        <v>465</v>
      </c>
    </row>
    <row r="254" spans="1:42" s="9" customFormat="1" ht="11.25" customHeight="1" x14ac:dyDescent="0.15">
      <c r="A254" s="9">
        <v>253</v>
      </c>
      <c r="D254" s="9" t="s">
        <v>356</v>
      </c>
      <c r="E254" s="9">
        <v>13</v>
      </c>
      <c r="F254" s="10" t="str">
        <f>CONCATENATE("Hora Cátedra Enseñanza Media ",E254," hs Esc Esp")</f>
        <v>Hora Cátedra Enseñanza Media 13 hs Esc Esp</v>
      </c>
      <c r="G254" s="102">
        <f t="shared" si="40"/>
        <v>1027</v>
      </c>
      <c r="H254" s="7">
        <f>INT((G254*Valores!$C$2*100)+0.5)/100</f>
        <v>4634.54</v>
      </c>
      <c r="I254" s="115">
        <v>0</v>
      </c>
      <c r="J254" s="67">
        <f>INT((I254*Valores!$C$2*100)+0.5)/100</f>
        <v>0</v>
      </c>
      <c r="K254" s="131">
        <v>0</v>
      </c>
      <c r="L254" s="67">
        <f>INT((K254*Valores!$C$2*100)+0.5)/100</f>
        <v>0</v>
      </c>
      <c r="M254" s="99">
        <v>0</v>
      </c>
      <c r="N254" s="67">
        <f>INT((M254*Valores!$C$2*100)+0.5)/100</f>
        <v>0</v>
      </c>
      <c r="O254" s="67">
        <f t="shared" si="34"/>
        <v>0</v>
      </c>
      <c r="P254" s="67">
        <f t="shared" si="35"/>
        <v>5886.5519999999997</v>
      </c>
      <c r="Q254" s="53">
        <f>Valores!$C$10*E254</f>
        <v>1157</v>
      </c>
      <c r="R254" s="53">
        <f>IF(E254&lt;15,(Valores!$D$9/15*E254),Valores!$D$9)</f>
        <v>1749.3926666666666</v>
      </c>
      <c r="S254" s="67">
        <v>0</v>
      </c>
      <c r="T254" s="69">
        <f>Valores!$C$43*E254</f>
        <v>270.92</v>
      </c>
      <c r="U254" s="53">
        <f>Valores!$C$11*E254</f>
        <v>591.5</v>
      </c>
      <c r="V254" s="67">
        <f t="shared" si="44"/>
        <v>1301.3000000000002</v>
      </c>
      <c r="W254" s="67">
        <v>0</v>
      </c>
      <c r="X254" s="67">
        <v>0</v>
      </c>
      <c r="Y254" s="33">
        <v>0</v>
      </c>
      <c r="Z254" s="67">
        <f>Y254*Valores!$C$2</f>
        <v>0</v>
      </c>
      <c r="AA254" s="67">
        <v>0</v>
      </c>
      <c r="AB254" s="79">
        <f t="shared" si="38"/>
        <v>67.209999999999994</v>
      </c>
      <c r="AC254" s="67">
        <f t="shared" si="30"/>
        <v>0</v>
      </c>
      <c r="AD254" s="67">
        <f t="shared" si="41"/>
        <v>55.9</v>
      </c>
      <c r="AE254" s="95">
        <v>94</v>
      </c>
      <c r="AF254" s="67">
        <f>INT(((AE254*Valores!$C$2)*100)+0.5)/100</f>
        <v>424.19</v>
      </c>
      <c r="AG254" s="67">
        <f>Valores!$D$49*E254</f>
        <v>227.5</v>
      </c>
      <c r="AH254" s="67">
        <f>Valores!$D$50*E254</f>
        <v>65</v>
      </c>
      <c r="AI254" s="123">
        <f t="shared" si="33"/>
        <v>15839.504666666666</v>
      </c>
      <c r="AJ254" s="69">
        <f>Valores!$C$13*E254</f>
        <v>216.71000000000004</v>
      </c>
      <c r="AK254" s="124">
        <f t="shared" si="31"/>
        <v>216.71000000000004</v>
      </c>
      <c r="AL254" s="68">
        <f t="shared" si="32"/>
        <v>3859.796073333333</v>
      </c>
      <c r="AM254" s="79">
        <f t="shared" si="46"/>
        <v>95.330000000000013</v>
      </c>
      <c r="AN254" s="20"/>
      <c r="AO254" s="47">
        <f t="shared" si="39"/>
        <v>52</v>
      </c>
      <c r="AP254" s="9" t="s">
        <v>465</v>
      </c>
    </row>
    <row r="255" spans="1:42" s="9" customFormat="1" ht="11.25" customHeight="1" x14ac:dyDescent="0.15">
      <c r="A255" s="9">
        <v>254</v>
      </c>
      <c r="D255" s="9" t="s">
        <v>356</v>
      </c>
      <c r="E255" s="9">
        <v>14</v>
      </c>
      <c r="F255" s="10" t="str">
        <f>CONCATENATE("Hora Cátedra Enseñanza Media ",E255," hs")</f>
        <v>Hora Cátedra Enseñanza Media 14 hs</v>
      </c>
      <c r="G255" s="102">
        <f t="shared" si="40"/>
        <v>1106</v>
      </c>
      <c r="H255" s="7">
        <f>INT((G255*Valores!$C$2*100)+0.5)/100</f>
        <v>4991.05</v>
      </c>
      <c r="I255" s="115">
        <v>0</v>
      </c>
      <c r="J255" s="67">
        <f>INT((I255*Valores!$C$2*100)+0.5)/100</f>
        <v>0</v>
      </c>
      <c r="K255" s="131">
        <v>0</v>
      </c>
      <c r="L255" s="67">
        <f>INT((K255*Valores!$C$2*100)+0.5)/100</f>
        <v>0</v>
      </c>
      <c r="M255" s="99">
        <v>0</v>
      </c>
      <c r="N255" s="67">
        <f>INT((M255*Valores!$C$2*100)+0.5)/100</f>
        <v>0</v>
      </c>
      <c r="O255" s="67">
        <f t="shared" si="34"/>
        <v>0</v>
      </c>
      <c r="P255" s="67">
        <f t="shared" si="35"/>
        <v>6339.3720000000003</v>
      </c>
      <c r="Q255" s="53">
        <f>Valores!$C$10*E255</f>
        <v>1246</v>
      </c>
      <c r="R255" s="53">
        <f>IF(E255&lt;15,(Valores!$D$9/15*E255),Valores!$D$9)</f>
        <v>1883.9613333333334</v>
      </c>
      <c r="S255" s="67">
        <v>0</v>
      </c>
      <c r="T255" s="69">
        <f>Valores!$C$43*E255</f>
        <v>291.76</v>
      </c>
      <c r="U255" s="53">
        <f>Valores!$C$11*E255</f>
        <v>637</v>
      </c>
      <c r="V255" s="67">
        <f t="shared" si="44"/>
        <v>1401.4</v>
      </c>
      <c r="W255" s="67">
        <v>0</v>
      </c>
      <c r="X255" s="67">
        <v>0</v>
      </c>
      <c r="Y255" s="33">
        <v>0</v>
      </c>
      <c r="Z255" s="67">
        <f>Y255*Valores!$C$2</f>
        <v>0</v>
      </c>
      <c r="AA255" s="67">
        <v>0</v>
      </c>
      <c r="AB255" s="79">
        <f t="shared" si="38"/>
        <v>72.38</v>
      </c>
      <c r="AC255" s="67">
        <f t="shared" si="30"/>
        <v>0</v>
      </c>
      <c r="AD255" s="67">
        <f t="shared" si="41"/>
        <v>60.199999999999996</v>
      </c>
      <c r="AE255" s="95">
        <v>0</v>
      </c>
      <c r="AF255" s="67">
        <f>INT(((AE255*Valores!$C$2)*100)+0.5)/100</f>
        <v>0</v>
      </c>
      <c r="AG255" s="67">
        <f>Valores!$D$49*E255</f>
        <v>245</v>
      </c>
      <c r="AH255" s="67">
        <f>Valores!$D$50*E255</f>
        <v>70</v>
      </c>
      <c r="AI255" s="123">
        <f t="shared" si="33"/>
        <v>16601.123333333333</v>
      </c>
      <c r="AJ255" s="69">
        <f>Valores!$C$13*E255</f>
        <v>233.38000000000002</v>
      </c>
      <c r="AK255" s="124">
        <f t="shared" si="31"/>
        <v>233.38000000000002</v>
      </c>
      <c r="AL255" s="68">
        <f t="shared" si="32"/>
        <v>4051.6383666666666</v>
      </c>
      <c r="AM255" s="79">
        <f t="shared" ref="AM255:AM260" si="47">(7.33*E255)+0.05</f>
        <v>102.67</v>
      </c>
      <c r="AN255" s="20"/>
      <c r="AO255" s="20">
        <f t="shared" si="39"/>
        <v>56</v>
      </c>
      <c r="AP255" s="9" t="s">
        <v>465</v>
      </c>
    </row>
    <row r="256" spans="1:42" s="9" customFormat="1" ht="11.25" customHeight="1" x14ac:dyDescent="0.15">
      <c r="A256" s="43">
        <v>255</v>
      </c>
      <c r="B256" s="43" t="s">
        <v>460</v>
      </c>
      <c r="C256" s="43"/>
      <c r="D256" s="43" t="s">
        <v>356</v>
      </c>
      <c r="E256" s="43">
        <v>14</v>
      </c>
      <c r="F256" s="44" t="str">
        <f>CONCATENATE("Hora Cátedra Enseñanza Media ",E256," hs Esc Esp")</f>
        <v>Hora Cátedra Enseñanza Media 14 hs Esc Esp</v>
      </c>
      <c r="G256" s="103">
        <f t="shared" si="40"/>
        <v>1106</v>
      </c>
      <c r="H256" s="110">
        <f>INT((G256*Valores!$C$2*100)+0.5)/100</f>
        <v>4991.05</v>
      </c>
      <c r="I256" s="114">
        <v>0</v>
      </c>
      <c r="J256" s="70">
        <f>INT((I256*Valores!$C$2*100)+0.5)/100</f>
        <v>0</v>
      </c>
      <c r="K256" s="132">
        <v>0</v>
      </c>
      <c r="L256" s="70">
        <f>INT((K256*Valores!$C$2*100)+0.5)/100</f>
        <v>0</v>
      </c>
      <c r="M256" s="100">
        <v>0</v>
      </c>
      <c r="N256" s="70">
        <f>INT((M256*Valores!$C$2*100)+0.5)/100</f>
        <v>0</v>
      </c>
      <c r="O256" s="70">
        <f t="shared" si="34"/>
        <v>0</v>
      </c>
      <c r="P256" s="70">
        <f t="shared" si="35"/>
        <v>6339.3720000000003</v>
      </c>
      <c r="Q256" s="75">
        <f>Valores!$C$10*E256</f>
        <v>1246</v>
      </c>
      <c r="R256" s="75">
        <f>IF(E256&lt;15,(Valores!$D$9/15*E256),Valores!$D$9)</f>
        <v>1883.9613333333334</v>
      </c>
      <c r="S256" s="70">
        <v>0</v>
      </c>
      <c r="T256" s="72">
        <f>Valores!$C$43*E256</f>
        <v>291.76</v>
      </c>
      <c r="U256" s="75">
        <f>Valores!$C$11*E256</f>
        <v>637</v>
      </c>
      <c r="V256" s="70">
        <f t="shared" si="44"/>
        <v>1401.4</v>
      </c>
      <c r="W256" s="70">
        <v>0</v>
      </c>
      <c r="X256" s="70">
        <v>0</v>
      </c>
      <c r="Y256" s="52">
        <v>0</v>
      </c>
      <c r="Z256" s="70">
        <f>Y256*Valores!$C$2</f>
        <v>0</v>
      </c>
      <c r="AA256" s="70">
        <v>0</v>
      </c>
      <c r="AB256" s="80">
        <f t="shared" si="38"/>
        <v>72.38</v>
      </c>
      <c r="AC256" s="70">
        <f t="shared" si="30"/>
        <v>0</v>
      </c>
      <c r="AD256" s="70">
        <f t="shared" si="41"/>
        <v>60.199999999999996</v>
      </c>
      <c r="AE256" s="94">
        <v>94</v>
      </c>
      <c r="AF256" s="70">
        <f>INT(((AE256*Valores!$C$2)*100)+0.5)/100</f>
        <v>424.19</v>
      </c>
      <c r="AG256" s="70">
        <f>Valores!$D$49*E256</f>
        <v>245</v>
      </c>
      <c r="AH256" s="70">
        <f>Valores!$D$50*E256</f>
        <v>70</v>
      </c>
      <c r="AI256" s="125">
        <f t="shared" si="33"/>
        <v>17025.313333333332</v>
      </c>
      <c r="AJ256" s="72">
        <f>Valores!$C$13*E256</f>
        <v>233.38000000000002</v>
      </c>
      <c r="AK256" s="126">
        <f t="shared" si="31"/>
        <v>233.38000000000002</v>
      </c>
      <c r="AL256" s="71">
        <f t="shared" si="32"/>
        <v>4149.2020666666658</v>
      </c>
      <c r="AM256" s="80">
        <f t="shared" si="47"/>
        <v>102.67</v>
      </c>
      <c r="AN256" s="47"/>
      <c r="AO256" s="20">
        <f t="shared" si="39"/>
        <v>56</v>
      </c>
      <c r="AP256" s="43" t="s">
        <v>465</v>
      </c>
    </row>
    <row r="257" spans="1:42" s="9" customFormat="1" ht="11.25" customHeight="1" x14ac:dyDescent="0.15">
      <c r="A257" s="9">
        <v>256</v>
      </c>
      <c r="D257" s="9" t="s">
        <v>356</v>
      </c>
      <c r="E257" s="9">
        <v>15</v>
      </c>
      <c r="F257" s="10" t="str">
        <f>CONCATENATE("Hora Cátedra Enseñanza Media ",E257," hs")</f>
        <v>Hora Cátedra Enseñanza Media 15 hs</v>
      </c>
      <c r="G257" s="102">
        <f t="shared" si="40"/>
        <v>1185</v>
      </c>
      <c r="H257" s="7">
        <f>INT((G257*Valores!$C$2*100)+0.5)/100</f>
        <v>5347.55</v>
      </c>
      <c r="I257" s="115">
        <v>0</v>
      </c>
      <c r="J257" s="67">
        <f>INT((I257*Valores!$C$2*100)+0.5)/100</f>
        <v>0</v>
      </c>
      <c r="K257" s="131">
        <v>0</v>
      </c>
      <c r="L257" s="67">
        <f>INT((K257*Valores!$C$2*100)+0.5)/100</f>
        <v>0</v>
      </c>
      <c r="M257" s="99">
        <v>0</v>
      </c>
      <c r="N257" s="67">
        <f>INT((M257*Valores!$C$2*100)+0.5)/100</f>
        <v>0</v>
      </c>
      <c r="O257" s="67">
        <f t="shared" si="34"/>
        <v>0</v>
      </c>
      <c r="P257" s="67">
        <f t="shared" si="35"/>
        <v>6792.18</v>
      </c>
      <c r="Q257" s="53">
        <f>Valores!$C$10*E257</f>
        <v>1335</v>
      </c>
      <c r="R257" s="53">
        <f>IF(E257&lt;15,(Valores!$D$9/15*E257),Valores!$D$9)</f>
        <v>2018.53</v>
      </c>
      <c r="S257" s="67">
        <v>0</v>
      </c>
      <c r="T257" s="69">
        <f>Valores!$C$43*E257</f>
        <v>312.60000000000002</v>
      </c>
      <c r="U257" s="53">
        <f>Valores!$C$11*E257</f>
        <v>682.5</v>
      </c>
      <c r="V257" s="67">
        <f t="shared" si="44"/>
        <v>1501.5000000000002</v>
      </c>
      <c r="W257" s="67">
        <v>0</v>
      </c>
      <c r="X257" s="67">
        <v>0</v>
      </c>
      <c r="Y257" s="33">
        <v>0</v>
      </c>
      <c r="Z257" s="67">
        <f>Y257*Valores!$C$2</f>
        <v>0</v>
      </c>
      <c r="AA257" s="67">
        <v>0</v>
      </c>
      <c r="AB257" s="79">
        <f t="shared" ref="AB257:AB288" si="48">(5.17)*E257</f>
        <v>77.55</v>
      </c>
      <c r="AC257" s="67">
        <f t="shared" si="30"/>
        <v>0</v>
      </c>
      <c r="AD257" s="67">
        <f t="shared" si="41"/>
        <v>64.5</v>
      </c>
      <c r="AE257" s="95">
        <v>0</v>
      </c>
      <c r="AF257" s="67">
        <f>INT(((AE257*Valores!$C$2)*100)+0.5)/100</f>
        <v>0</v>
      </c>
      <c r="AG257" s="67">
        <f>Valores!$D$49*E257</f>
        <v>262.5</v>
      </c>
      <c r="AH257" s="67">
        <f>Valores!$D$50*E257</f>
        <v>75</v>
      </c>
      <c r="AI257" s="123">
        <f t="shared" si="33"/>
        <v>17786.91</v>
      </c>
      <c r="AJ257" s="69">
        <f>Valores!$C$13*E257</f>
        <v>250.05</v>
      </c>
      <c r="AK257" s="124">
        <f t="shared" si="31"/>
        <v>250.05</v>
      </c>
      <c r="AL257" s="68">
        <f t="shared" si="32"/>
        <v>4341.0392999999995</v>
      </c>
      <c r="AM257" s="79">
        <f t="shared" si="47"/>
        <v>110</v>
      </c>
      <c r="AN257" s="20"/>
      <c r="AO257" s="20">
        <f t="shared" ref="AO257:AO288" si="49">4*E257</f>
        <v>60</v>
      </c>
      <c r="AP257" s="9" t="s">
        <v>465</v>
      </c>
    </row>
    <row r="258" spans="1:42" s="9" customFormat="1" ht="11.25" customHeight="1" x14ac:dyDescent="0.15">
      <c r="A258" s="9">
        <v>257</v>
      </c>
      <c r="D258" s="9" t="s">
        <v>356</v>
      </c>
      <c r="E258" s="9">
        <v>15</v>
      </c>
      <c r="F258" s="10" t="str">
        <f>CONCATENATE("Hora Cátedra Enseñanza Media ",E258," hs Esc Esp")</f>
        <v>Hora Cátedra Enseñanza Media 15 hs Esc Esp</v>
      </c>
      <c r="G258" s="102">
        <f t="shared" si="40"/>
        <v>1185</v>
      </c>
      <c r="H258" s="7">
        <f>INT((G258*Valores!$C$2*100)+0.5)/100</f>
        <v>5347.55</v>
      </c>
      <c r="I258" s="115">
        <v>0</v>
      </c>
      <c r="J258" s="67">
        <f>INT((I258*Valores!$C$2*100)+0.5)/100</f>
        <v>0</v>
      </c>
      <c r="K258" s="131">
        <v>0</v>
      </c>
      <c r="L258" s="67">
        <f>INT((K258*Valores!$C$2*100)+0.5)/100</f>
        <v>0</v>
      </c>
      <c r="M258" s="99">
        <v>0</v>
      </c>
      <c r="N258" s="67">
        <f>INT((M258*Valores!$C$2*100)+0.5)/100</f>
        <v>0</v>
      </c>
      <c r="O258" s="67">
        <f t="shared" si="34"/>
        <v>0</v>
      </c>
      <c r="P258" s="67">
        <f t="shared" si="35"/>
        <v>6792.18</v>
      </c>
      <c r="Q258" s="53">
        <f>Valores!$C$10*E258</f>
        <v>1335</v>
      </c>
      <c r="R258" s="53">
        <f>IF(E258&lt;15,(Valores!$D$9/15*E258),Valores!$D$9)</f>
        <v>2018.53</v>
      </c>
      <c r="S258" s="67">
        <v>0</v>
      </c>
      <c r="T258" s="69">
        <f>Valores!$C$43*E258</f>
        <v>312.60000000000002</v>
      </c>
      <c r="U258" s="53">
        <f>Valores!$C$11*E258</f>
        <v>682.5</v>
      </c>
      <c r="V258" s="67">
        <f t="shared" si="44"/>
        <v>1501.5000000000002</v>
      </c>
      <c r="W258" s="67">
        <v>0</v>
      </c>
      <c r="X258" s="67">
        <v>0</v>
      </c>
      <c r="Y258" s="33">
        <v>0</v>
      </c>
      <c r="Z258" s="67">
        <f>Y258*Valores!$C$2</f>
        <v>0</v>
      </c>
      <c r="AA258" s="67">
        <v>0</v>
      </c>
      <c r="AB258" s="79">
        <f t="shared" si="48"/>
        <v>77.55</v>
      </c>
      <c r="AC258" s="67">
        <f t="shared" si="30"/>
        <v>0</v>
      </c>
      <c r="AD258" s="67">
        <f t="shared" si="41"/>
        <v>64.5</v>
      </c>
      <c r="AE258" s="95">
        <v>94</v>
      </c>
      <c r="AF258" s="67">
        <f>INT(((AE258*Valores!$C$2)*100)+0.5)/100</f>
        <v>424.19</v>
      </c>
      <c r="AG258" s="67">
        <f>Valores!$D$49*E258</f>
        <v>262.5</v>
      </c>
      <c r="AH258" s="67">
        <f>Valores!$D$50*E258</f>
        <v>75</v>
      </c>
      <c r="AI258" s="123">
        <f t="shared" si="33"/>
        <v>18211.099999999999</v>
      </c>
      <c r="AJ258" s="69">
        <f>Valores!$C$13*E258</f>
        <v>250.05</v>
      </c>
      <c r="AK258" s="124">
        <f t="shared" si="31"/>
        <v>250.05</v>
      </c>
      <c r="AL258" s="68">
        <f t="shared" si="32"/>
        <v>4438.6029999999992</v>
      </c>
      <c r="AM258" s="79">
        <f t="shared" si="47"/>
        <v>110</v>
      </c>
      <c r="AN258" s="20"/>
      <c r="AO258" s="20">
        <f t="shared" si="49"/>
        <v>60</v>
      </c>
      <c r="AP258" s="9" t="s">
        <v>465</v>
      </c>
    </row>
    <row r="259" spans="1:42" s="9" customFormat="1" ht="11.25" customHeight="1" x14ac:dyDescent="0.15">
      <c r="A259" s="9">
        <v>258</v>
      </c>
      <c r="D259" s="9" t="s">
        <v>356</v>
      </c>
      <c r="E259" s="9">
        <v>16</v>
      </c>
      <c r="F259" s="10" t="str">
        <f>CONCATENATE("Hora Cátedra Enseñanza Media ",E259," hs")</f>
        <v>Hora Cátedra Enseñanza Media 16 hs</v>
      </c>
      <c r="G259" s="102">
        <f t="shared" si="40"/>
        <v>1264</v>
      </c>
      <c r="H259" s="7">
        <f>INT((G259*Valores!$C$2*100)+0.5)/100</f>
        <v>5704.05</v>
      </c>
      <c r="I259" s="115">
        <v>0</v>
      </c>
      <c r="J259" s="67">
        <f>INT((I259*Valores!$C$2*100)+0.5)/100</f>
        <v>0</v>
      </c>
      <c r="K259" s="131">
        <v>0</v>
      </c>
      <c r="L259" s="67">
        <f>INT((K259*Valores!$C$2*100)+0.5)/100</f>
        <v>0</v>
      </c>
      <c r="M259" s="99">
        <v>0</v>
      </c>
      <c r="N259" s="67">
        <f>INT((M259*Valores!$C$2*100)+0.5)/100</f>
        <v>0</v>
      </c>
      <c r="O259" s="67">
        <f t="shared" si="34"/>
        <v>0</v>
      </c>
      <c r="P259" s="67">
        <f t="shared" si="35"/>
        <v>7244.9879999999994</v>
      </c>
      <c r="Q259" s="53">
        <f>Valores!$C$10*E259</f>
        <v>1424</v>
      </c>
      <c r="R259" s="53">
        <f>IF(E259&lt;15,(Valores!$D$9/15*E259),Valores!$D$9)</f>
        <v>2018.53</v>
      </c>
      <c r="S259" s="67">
        <v>0</v>
      </c>
      <c r="T259" s="69">
        <f>Valores!$C$43*E259</f>
        <v>333.44</v>
      </c>
      <c r="U259" s="53">
        <f>Valores!$C$11*E259</f>
        <v>728</v>
      </c>
      <c r="V259" s="67">
        <f t="shared" si="44"/>
        <v>1601.6000000000001</v>
      </c>
      <c r="W259" s="67">
        <v>0</v>
      </c>
      <c r="X259" s="67">
        <v>0</v>
      </c>
      <c r="Y259" s="33">
        <v>0</v>
      </c>
      <c r="Z259" s="67">
        <f>Y259*Valores!$C$2</f>
        <v>0</v>
      </c>
      <c r="AA259" s="67">
        <v>0</v>
      </c>
      <c r="AB259" s="79">
        <f t="shared" si="48"/>
        <v>82.72</v>
      </c>
      <c r="AC259" s="67">
        <f t="shared" si="30"/>
        <v>0</v>
      </c>
      <c r="AD259" s="67">
        <f t="shared" si="41"/>
        <v>68.8</v>
      </c>
      <c r="AE259" s="95">
        <v>0</v>
      </c>
      <c r="AF259" s="67">
        <f>INT(((AE259*Valores!$C$2)*100)+0.5)/100</f>
        <v>0</v>
      </c>
      <c r="AG259" s="67">
        <f>Valores!$D$49*E259</f>
        <v>280</v>
      </c>
      <c r="AH259" s="67">
        <f>Valores!$D$50*E259</f>
        <v>80</v>
      </c>
      <c r="AI259" s="123">
        <f t="shared" si="33"/>
        <v>18838.127999999997</v>
      </c>
      <c r="AJ259" s="69">
        <f>Valores!$C$13*E259</f>
        <v>266.72000000000003</v>
      </c>
      <c r="AK259" s="124">
        <f t="shared" si="31"/>
        <v>266.72000000000003</v>
      </c>
      <c r="AL259" s="68">
        <f t="shared" si="32"/>
        <v>4599.4894399999994</v>
      </c>
      <c r="AM259" s="79">
        <f t="shared" si="47"/>
        <v>117.33</v>
      </c>
      <c r="AN259" s="20"/>
      <c r="AO259" s="47">
        <f t="shared" si="49"/>
        <v>64</v>
      </c>
      <c r="AP259" s="9" t="s">
        <v>465</v>
      </c>
    </row>
    <row r="260" spans="1:42" s="9" customFormat="1" ht="11.25" customHeight="1" x14ac:dyDescent="0.15">
      <c r="A260" s="9">
        <v>259</v>
      </c>
      <c r="D260" s="9" t="s">
        <v>356</v>
      </c>
      <c r="E260" s="9">
        <v>16</v>
      </c>
      <c r="F260" s="10" t="str">
        <f>CONCATENATE("Hora Cátedra Enseñanza Media ",E260," hs Esc Esp")</f>
        <v>Hora Cátedra Enseñanza Media 16 hs Esc Esp</v>
      </c>
      <c r="G260" s="102">
        <f t="shared" si="40"/>
        <v>1264</v>
      </c>
      <c r="H260" s="7">
        <f>INT((G260*Valores!$C$2*100)+0.5)/100</f>
        <v>5704.05</v>
      </c>
      <c r="I260" s="115">
        <v>0</v>
      </c>
      <c r="J260" s="67">
        <f>INT((I260*Valores!$C$2*100)+0.5)/100</f>
        <v>0</v>
      </c>
      <c r="K260" s="131">
        <v>0</v>
      </c>
      <c r="L260" s="67">
        <f>INT((K260*Valores!$C$2*100)+0.5)/100</f>
        <v>0</v>
      </c>
      <c r="M260" s="99">
        <v>0</v>
      </c>
      <c r="N260" s="67">
        <f>INT((M260*Valores!$C$2*100)+0.5)/100</f>
        <v>0</v>
      </c>
      <c r="O260" s="67">
        <f t="shared" si="34"/>
        <v>0</v>
      </c>
      <c r="P260" s="67">
        <f t="shared" si="35"/>
        <v>7244.9879999999994</v>
      </c>
      <c r="Q260" s="53">
        <f>Valores!$C$10*E260</f>
        <v>1424</v>
      </c>
      <c r="R260" s="53">
        <f>IF(E260&lt;15,(Valores!$D$9/15*E260),Valores!$D$9)</f>
        <v>2018.53</v>
      </c>
      <c r="S260" s="67">
        <v>0</v>
      </c>
      <c r="T260" s="69">
        <f>Valores!$C$43*E260</f>
        <v>333.44</v>
      </c>
      <c r="U260" s="53">
        <f>Valores!$C$11*E260</f>
        <v>728</v>
      </c>
      <c r="V260" s="67">
        <f t="shared" si="44"/>
        <v>1601.6000000000001</v>
      </c>
      <c r="W260" s="67">
        <v>0</v>
      </c>
      <c r="X260" s="67">
        <v>0</v>
      </c>
      <c r="Y260" s="33">
        <v>0</v>
      </c>
      <c r="Z260" s="67">
        <f>Y260*Valores!$C$2</f>
        <v>0</v>
      </c>
      <c r="AA260" s="67">
        <v>0</v>
      </c>
      <c r="AB260" s="79">
        <f t="shared" si="48"/>
        <v>82.72</v>
      </c>
      <c r="AC260" s="67">
        <f t="shared" si="30"/>
        <v>0</v>
      </c>
      <c r="AD260" s="67">
        <f t="shared" si="41"/>
        <v>68.8</v>
      </c>
      <c r="AE260" s="95">
        <v>94</v>
      </c>
      <c r="AF260" s="67">
        <f>INT(((AE260*Valores!$C$2)*100)+0.5)/100</f>
        <v>424.19</v>
      </c>
      <c r="AG260" s="67">
        <f>Valores!$D$49*E260</f>
        <v>280</v>
      </c>
      <c r="AH260" s="67">
        <f>Valores!$D$50*E260</f>
        <v>80</v>
      </c>
      <c r="AI260" s="123">
        <f t="shared" si="33"/>
        <v>19262.317999999996</v>
      </c>
      <c r="AJ260" s="69">
        <f>Valores!$C$13*E260</f>
        <v>266.72000000000003</v>
      </c>
      <c r="AK260" s="124">
        <f t="shared" si="31"/>
        <v>266.72000000000003</v>
      </c>
      <c r="AL260" s="68">
        <f t="shared" si="32"/>
        <v>4697.0531399999991</v>
      </c>
      <c r="AM260" s="79">
        <f t="shared" si="47"/>
        <v>117.33</v>
      </c>
      <c r="AN260" s="20"/>
      <c r="AO260" s="20">
        <f t="shared" si="49"/>
        <v>64</v>
      </c>
      <c r="AP260" s="9" t="s">
        <v>465</v>
      </c>
    </row>
    <row r="261" spans="1:42" s="9" customFormat="1" ht="11.25" customHeight="1" x14ac:dyDescent="0.15">
      <c r="A261" s="43">
        <v>260</v>
      </c>
      <c r="B261" s="43" t="s">
        <v>460</v>
      </c>
      <c r="C261" s="43"/>
      <c r="D261" s="43" t="s">
        <v>356</v>
      </c>
      <c r="E261" s="43">
        <v>17</v>
      </c>
      <c r="F261" s="44" t="str">
        <f>CONCATENATE("Hora Cátedra Enseñanza Media ",E261," hs")</f>
        <v>Hora Cátedra Enseñanza Media 17 hs</v>
      </c>
      <c r="G261" s="103">
        <f t="shared" ref="G261:G292" si="50">79*E261</f>
        <v>1343</v>
      </c>
      <c r="H261" s="110">
        <f>INT((G261*Valores!$C$2*100)+0.5)/100</f>
        <v>6060.56</v>
      </c>
      <c r="I261" s="114">
        <v>0</v>
      </c>
      <c r="J261" s="70">
        <f>INT((I261*Valores!$C$2*100)+0.5)/100</f>
        <v>0</v>
      </c>
      <c r="K261" s="132">
        <v>0</v>
      </c>
      <c r="L261" s="70">
        <f>INT((K261*Valores!$C$2*100)+0.5)/100</f>
        <v>0</v>
      </c>
      <c r="M261" s="100">
        <v>0</v>
      </c>
      <c r="N261" s="70">
        <f>INT((M261*Valores!$C$2*100)+0.5)/100</f>
        <v>0</v>
      </c>
      <c r="O261" s="70">
        <f t="shared" si="34"/>
        <v>0</v>
      </c>
      <c r="P261" s="70">
        <f t="shared" si="35"/>
        <v>7697.808</v>
      </c>
      <c r="Q261" s="75">
        <f>Valores!$C$10*E261</f>
        <v>1513</v>
      </c>
      <c r="R261" s="75">
        <f>IF(E261&lt;15,(Valores!$D$9/15*E261),Valores!$D$9)</f>
        <v>2018.53</v>
      </c>
      <c r="S261" s="70">
        <v>0</v>
      </c>
      <c r="T261" s="72">
        <f>Valores!$C$43*E261</f>
        <v>354.28</v>
      </c>
      <c r="U261" s="75">
        <f>Valores!$C$11*E261</f>
        <v>773.5</v>
      </c>
      <c r="V261" s="70">
        <f t="shared" si="44"/>
        <v>1701.7</v>
      </c>
      <c r="W261" s="70">
        <v>0</v>
      </c>
      <c r="X261" s="70">
        <v>0</v>
      </c>
      <c r="Y261" s="52">
        <v>0</v>
      </c>
      <c r="Z261" s="70">
        <f>Y261*Valores!$C$2</f>
        <v>0</v>
      </c>
      <c r="AA261" s="70">
        <v>0</v>
      </c>
      <c r="AB261" s="80">
        <f t="shared" si="48"/>
        <v>87.89</v>
      </c>
      <c r="AC261" s="70">
        <f t="shared" si="30"/>
        <v>0</v>
      </c>
      <c r="AD261" s="70">
        <f t="shared" ref="AD261:AD288" si="51">4.3*E261</f>
        <v>73.099999999999994</v>
      </c>
      <c r="AE261" s="94">
        <v>0</v>
      </c>
      <c r="AF261" s="70">
        <f>INT(((AE261*Valores!$C$2)*100)+0.5)/100</f>
        <v>0</v>
      </c>
      <c r="AG261" s="70">
        <f>Valores!$D$49*E261</f>
        <v>297.5</v>
      </c>
      <c r="AH261" s="70">
        <f>Valores!$D$50*E261</f>
        <v>85</v>
      </c>
      <c r="AI261" s="125">
        <f t="shared" si="33"/>
        <v>19889.367999999999</v>
      </c>
      <c r="AJ261" s="72">
        <f>Valores!$C$13*E261</f>
        <v>283.39000000000004</v>
      </c>
      <c r="AK261" s="126">
        <f t="shared" si="31"/>
        <v>283.39000000000004</v>
      </c>
      <c r="AL261" s="71">
        <f t="shared" si="32"/>
        <v>4857.9446399999997</v>
      </c>
      <c r="AM261" s="80">
        <f t="shared" ref="AM261:AM266" si="52">(7.33*E261)+0.06</f>
        <v>124.67</v>
      </c>
      <c r="AN261" s="47"/>
      <c r="AO261" s="20">
        <f t="shared" si="49"/>
        <v>68</v>
      </c>
      <c r="AP261" s="43" t="s">
        <v>465</v>
      </c>
    </row>
    <row r="262" spans="1:42" s="9" customFormat="1" ht="11.25" customHeight="1" x14ac:dyDescent="0.15">
      <c r="A262" s="9">
        <v>261</v>
      </c>
      <c r="D262" s="9" t="s">
        <v>356</v>
      </c>
      <c r="E262" s="9">
        <v>17</v>
      </c>
      <c r="F262" s="10" t="str">
        <f>CONCATENATE("Hora Cátedra Enseñanza Media ",E262," hs Esc Esp")</f>
        <v>Hora Cátedra Enseñanza Media 17 hs Esc Esp</v>
      </c>
      <c r="G262" s="102">
        <f t="shared" si="50"/>
        <v>1343</v>
      </c>
      <c r="H262" s="7">
        <f>INT((G262*Valores!$C$2*100)+0.5)/100</f>
        <v>6060.56</v>
      </c>
      <c r="I262" s="115">
        <v>0</v>
      </c>
      <c r="J262" s="67">
        <f>INT((I262*Valores!$C$2*100)+0.5)/100</f>
        <v>0</v>
      </c>
      <c r="K262" s="131">
        <v>0</v>
      </c>
      <c r="L262" s="67">
        <f>INT((K262*Valores!$C$2*100)+0.5)/100</f>
        <v>0</v>
      </c>
      <c r="M262" s="99">
        <v>0</v>
      </c>
      <c r="N262" s="67">
        <f>INT((M262*Valores!$C$2*100)+0.5)/100</f>
        <v>0</v>
      </c>
      <c r="O262" s="67">
        <f t="shared" si="34"/>
        <v>0</v>
      </c>
      <c r="P262" s="67">
        <f t="shared" si="35"/>
        <v>7697.808</v>
      </c>
      <c r="Q262" s="53">
        <f>Valores!$C$10*E262</f>
        <v>1513</v>
      </c>
      <c r="R262" s="53">
        <f>IF(E262&lt;15,(Valores!$D$9/15*E262),Valores!$D$9)</f>
        <v>2018.53</v>
      </c>
      <c r="S262" s="67">
        <v>0</v>
      </c>
      <c r="T262" s="69">
        <f>Valores!$C$43*E262</f>
        <v>354.28</v>
      </c>
      <c r="U262" s="53">
        <f>Valores!$C$11*E262</f>
        <v>773.5</v>
      </c>
      <c r="V262" s="67">
        <f t="shared" si="44"/>
        <v>1701.7</v>
      </c>
      <c r="W262" s="67">
        <v>0</v>
      </c>
      <c r="X262" s="67">
        <v>0</v>
      </c>
      <c r="Y262" s="33">
        <v>0</v>
      </c>
      <c r="Z262" s="67">
        <f>Y262*Valores!$C$2</f>
        <v>0</v>
      </c>
      <c r="AA262" s="67">
        <v>0</v>
      </c>
      <c r="AB262" s="79">
        <f t="shared" si="48"/>
        <v>87.89</v>
      </c>
      <c r="AC262" s="67">
        <f t="shared" si="30"/>
        <v>0</v>
      </c>
      <c r="AD262" s="67">
        <f t="shared" si="51"/>
        <v>73.099999999999994</v>
      </c>
      <c r="AE262" s="95">
        <v>94</v>
      </c>
      <c r="AF262" s="67">
        <f>INT(((AE262*Valores!$C$2)*100)+0.5)/100</f>
        <v>424.19</v>
      </c>
      <c r="AG262" s="67">
        <f>Valores!$D$49*E262</f>
        <v>297.5</v>
      </c>
      <c r="AH262" s="67">
        <f>Valores!$D$50*E262</f>
        <v>85</v>
      </c>
      <c r="AI262" s="123">
        <f t="shared" si="33"/>
        <v>20313.557999999997</v>
      </c>
      <c r="AJ262" s="69">
        <f>Valores!$C$13*E262</f>
        <v>283.39000000000004</v>
      </c>
      <c r="AK262" s="124">
        <f t="shared" si="31"/>
        <v>283.39000000000004</v>
      </c>
      <c r="AL262" s="68">
        <f t="shared" si="32"/>
        <v>4955.5083399999994</v>
      </c>
      <c r="AM262" s="79">
        <f t="shared" si="52"/>
        <v>124.67</v>
      </c>
      <c r="AN262" s="20"/>
      <c r="AO262" s="20">
        <f t="shared" si="49"/>
        <v>68</v>
      </c>
      <c r="AP262" s="9" t="s">
        <v>465</v>
      </c>
    </row>
    <row r="263" spans="1:42" s="9" customFormat="1" ht="11.25" customHeight="1" x14ac:dyDescent="0.15">
      <c r="A263" s="9">
        <v>262</v>
      </c>
      <c r="D263" s="9" t="s">
        <v>356</v>
      </c>
      <c r="E263" s="9">
        <v>18</v>
      </c>
      <c r="F263" s="10" t="str">
        <f>CONCATENATE("Hora Cátedra Enseñanza Media ",E263," hs")</f>
        <v>Hora Cátedra Enseñanza Media 18 hs</v>
      </c>
      <c r="G263" s="102">
        <f t="shared" si="50"/>
        <v>1422</v>
      </c>
      <c r="H263" s="7">
        <f>INT((G263*Valores!$C$2*100)+0.5)/100</f>
        <v>6417.06</v>
      </c>
      <c r="I263" s="115">
        <v>0</v>
      </c>
      <c r="J263" s="67">
        <f>INT((I263*Valores!$C$2*100)+0.5)/100</f>
        <v>0</v>
      </c>
      <c r="K263" s="131">
        <v>0</v>
      </c>
      <c r="L263" s="67">
        <f>INT((K263*Valores!$C$2*100)+0.5)/100</f>
        <v>0</v>
      </c>
      <c r="M263" s="99">
        <v>0</v>
      </c>
      <c r="N263" s="67">
        <f>INT((M263*Valores!$C$2*100)+0.5)/100</f>
        <v>0</v>
      </c>
      <c r="O263" s="67">
        <f t="shared" si="34"/>
        <v>0</v>
      </c>
      <c r="P263" s="67">
        <f t="shared" si="35"/>
        <v>8150.616</v>
      </c>
      <c r="Q263" s="53">
        <f>Valores!$C$10*E263</f>
        <v>1602</v>
      </c>
      <c r="R263" s="53">
        <f>IF(E263&lt;15,(Valores!$D$9/15*E263),Valores!$D$9)</f>
        <v>2018.53</v>
      </c>
      <c r="S263" s="67">
        <v>0</v>
      </c>
      <c r="T263" s="69">
        <f>Valores!$C$43*E263</f>
        <v>375.12</v>
      </c>
      <c r="U263" s="53">
        <f>Valores!$C$11*E263</f>
        <v>819</v>
      </c>
      <c r="V263" s="67">
        <f t="shared" si="44"/>
        <v>1801.8000000000002</v>
      </c>
      <c r="W263" s="67">
        <v>0</v>
      </c>
      <c r="X263" s="67">
        <v>0</v>
      </c>
      <c r="Y263" s="33">
        <v>0</v>
      </c>
      <c r="Z263" s="67">
        <f>Y263*Valores!$C$2</f>
        <v>0</v>
      </c>
      <c r="AA263" s="67">
        <v>0</v>
      </c>
      <c r="AB263" s="79">
        <f t="shared" si="48"/>
        <v>93.06</v>
      </c>
      <c r="AC263" s="67">
        <f t="shared" ref="AC263:AC321" si="53">SUM(H263,J263,L263,Z263,T263,N263)*$H$3/100</f>
        <v>0</v>
      </c>
      <c r="AD263" s="67">
        <f t="shared" si="51"/>
        <v>77.399999999999991</v>
      </c>
      <c r="AE263" s="95">
        <v>0</v>
      </c>
      <c r="AF263" s="67">
        <f>INT(((AE263*Valores!$C$2)*100)+0.5)/100</f>
        <v>0</v>
      </c>
      <c r="AG263" s="67">
        <f>Valores!$D$49*E263</f>
        <v>315</v>
      </c>
      <c r="AH263" s="67">
        <f>Valores!$D$50*E263</f>
        <v>90</v>
      </c>
      <c r="AI263" s="123">
        <f t="shared" si="33"/>
        <v>20940.585999999999</v>
      </c>
      <c r="AJ263" s="69">
        <f>Valores!$C$13*E263</f>
        <v>300.06000000000006</v>
      </c>
      <c r="AK263" s="124">
        <f t="shared" ref="AK263:AK321" si="54">SUM(AJ263:AJ263)</f>
        <v>300.06000000000006</v>
      </c>
      <c r="AL263" s="68">
        <f t="shared" ref="AL263:AL321" si="55">(AI263*(0.16+0.025+0.045)+AK263)</f>
        <v>5116.3947799999996</v>
      </c>
      <c r="AM263" s="79">
        <f t="shared" si="52"/>
        <v>132</v>
      </c>
      <c r="AN263" s="20"/>
      <c r="AO263" s="20">
        <f t="shared" si="49"/>
        <v>72</v>
      </c>
      <c r="AP263" s="9" t="s">
        <v>465</v>
      </c>
    </row>
    <row r="264" spans="1:42" s="9" customFormat="1" ht="11.25" customHeight="1" x14ac:dyDescent="0.15">
      <c r="A264" s="9">
        <v>263</v>
      </c>
      <c r="D264" s="9" t="s">
        <v>356</v>
      </c>
      <c r="E264" s="9">
        <v>18</v>
      </c>
      <c r="F264" s="10" t="str">
        <f>CONCATENATE("Hora Cátedra Enseñanza Media ",E264," hs Esc Esp")</f>
        <v>Hora Cátedra Enseñanza Media 18 hs Esc Esp</v>
      </c>
      <c r="G264" s="102">
        <f t="shared" si="50"/>
        <v>1422</v>
      </c>
      <c r="H264" s="7">
        <f>INT((G264*Valores!$C$2*100)+0.5)/100</f>
        <v>6417.06</v>
      </c>
      <c r="I264" s="115">
        <v>0</v>
      </c>
      <c r="J264" s="67">
        <f>INT((I264*Valores!$C$2*100)+0.5)/100</f>
        <v>0</v>
      </c>
      <c r="K264" s="131">
        <v>0</v>
      </c>
      <c r="L264" s="67">
        <f>INT((K264*Valores!$C$2*100)+0.5)/100</f>
        <v>0</v>
      </c>
      <c r="M264" s="99">
        <v>0</v>
      </c>
      <c r="N264" s="67">
        <f>INT((M264*Valores!$C$2*100)+0.5)/100</f>
        <v>0</v>
      </c>
      <c r="O264" s="67">
        <f t="shared" si="34"/>
        <v>0</v>
      </c>
      <c r="P264" s="67">
        <f t="shared" si="35"/>
        <v>8150.616</v>
      </c>
      <c r="Q264" s="53">
        <f>Valores!$C$10*E264</f>
        <v>1602</v>
      </c>
      <c r="R264" s="53">
        <f>IF(E264&lt;15,(Valores!$D$9/15*E264),Valores!$D$9)</f>
        <v>2018.53</v>
      </c>
      <c r="S264" s="67">
        <v>0</v>
      </c>
      <c r="T264" s="69">
        <f>Valores!$C$43*E264</f>
        <v>375.12</v>
      </c>
      <c r="U264" s="53">
        <f>Valores!$C$11*E264</f>
        <v>819</v>
      </c>
      <c r="V264" s="67">
        <f t="shared" si="44"/>
        <v>1801.8000000000002</v>
      </c>
      <c r="W264" s="67">
        <v>0</v>
      </c>
      <c r="X264" s="67">
        <v>0</v>
      </c>
      <c r="Y264" s="33">
        <v>0</v>
      </c>
      <c r="Z264" s="67">
        <f>Y264*Valores!$C$2</f>
        <v>0</v>
      </c>
      <c r="AA264" s="67">
        <v>0</v>
      </c>
      <c r="AB264" s="79">
        <f t="shared" si="48"/>
        <v>93.06</v>
      </c>
      <c r="AC264" s="67">
        <f t="shared" si="53"/>
        <v>0</v>
      </c>
      <c r="AD264" s="67">
        <f t="shared" si="51"/>
        <v>77.399999999999991</v>
      </c>
      <c r="AE264" s="95">
        <v>94</v>
      </c>
      <c r="AF264" s="67">
        <f>INT(((AE264*Valores!$C$2)*100)+0.5)/100</f>
        <v>424.19</v>
      </c>
      <c r="AG264" s="67">
        <f>Valores!$D$49*E264</f>
        <v>315</v>
      </c>
      <c r="AH264" s="67">
        <f>Valores!$D$50*E264</f>
        <v>90</v>
      </c>
      <c r="AI264" s="123">
        <f t="shared" ref="AI264:AI321" si="56">SUM(H264,J264,L264,N264,O264,P264,Q264,R264,S264,V264,W264,X264,Z264,AA264,AB264,AC264,AD264,AF264,T264,AG264,AH264)</f>
        <v>21364.775999999998</v>
      </c>
      <c r="AJ264" s="69">
        <f>Valores!$C$13*E264</f>
        <v>300.06000000000006</v>
      </c>
      <c r="AK264" s="124">
        <f t="shared" si="54"/>
        <v>300.06000000000006</v>
      </c>
      <c r="AL264" s="68">
        <f t="shared" si="55"/>
        <v>5213.9584799999993</v>
      </c>
      <c r="AM264" s="79">
        <f t="shared" si="52"/>
        <v>132</v>
      </c>
      <c r="AN264" s="20"/>
      <c r="AO264" s="47">
        <f t="shared" si="49"/>
        <v>72</v>
      </c>
      <c r="AP264" s="9" t="s">
        <v>465</v>
      </c>
    </row>
    <row r="265" spans="1:42" s="9" customFormat="1" ht="11.25" customHeight="1" x14ac:dyDescent="0.15">
      <c r="A265" s="9">
        <v>264</v>
      </c>
      <c r="D265" s="9" t="s">
        <v>356</v>
      </c>
      <c r="E265" s="9">
        <v>19</v>
      </c>
      <c r="F265" s="10" t="str">
        <f>CONCATENATE("Hora Cátedra Enseñanza Media ",E265," hs")</f>
        <v>Hora Cátedra Enseñanza Media 19 hs</v>
      </c>
      <c r="G265" s="102">
        <f t="shared" si="50"/>
        <v>1501</v>
      </c>
      <c r="H265" s="7">
        <f>INT((G265*Valores!$C$2*100)+0.5)/100</f>
        <v>6773.56</v>
      </c>
      <c r="I265" s="115">
        <v>0</v>
      </c>
      <c r="J265" s="67">
        <f>INT((I265*Valores!$C$2*100)+0.5)/100</f>
        <v>0</v>
      </c>
      <c r="K265" s="131">
        <v>0</v>
      </c>
      <c r="L265" s="67">
        <f>INT((K265*Valores!$C$2*100)+0.5)/100</f>
        <v>0</v>
      </c>
      <c r="M265" s="99">
        <v>0</v>
      </c>
      <c r="N265" s="67">
        <f>INT((M265*Valores!$C$2*100)+0.5)/100</f>
        <v>0</v>
      </c>
      <c r="O265" s="67">
        <f t="shared" si="34"/>
        <v>0</v>
      </c>
      <c r="P265" s="67">
        <f t="shared" si="35"/>
        <v>8603.4240000000009</v>
      </c>
      <c r="Q265" s="53">
        <f>Valores!$C$10*E265</f>
        <v>1691</v>
      </c>
      <c r="R265" s="53">
        <f>IF(E265&lt;15,(Valores!$D$9/15*E265),Valores!$D$9)</f>
        <v>2018.53</v>
      </c>
      <c r="S265" s="67">
        <v>0</v>
      </c>
      <c r="T265" s="69">
        <f>Valores!$C$43*E265</f>
        <v>395.96</v>
      </c>
      <c r="U265" s="53">
        <f>Valores!$C$11*E265</f>
        <v>864.5</v>
      </c>
      <c r="V265" s="67">
        <f t="shared" si="44"/>
        <v>1901.9</v>
      </c>
      <c r="W265" s="67">
        <v>0</v>
      </c>
      <c r="X265" s="67">
        <v>0</v>
      </c>
      <c r="Y265" s="33">
        <v>0</v>
      </c>
      <c r="Z265" s="67">
        <f>Y265*Valores!$C$2</f>
        <v>0</v>
      </c>
      <c r="AA265" s="67">
        <v>0</v>
      </c>
      <c r="AB265" s="79">
        <f t="shared" si="48"/>
        <v>98.23</v>
      </c>
      <c r="AC265" s="67">
        <f t="shared" si="53"/>
        <v>0</v>
      </c>
      <c r="AD265" s="67">
        <f t="shared" si="51"/>
        <v>81.7</v>
      </c>
      <c r="AE265" s="95">
        <v>0</v>
      </c>
      <c r="AF265" s="67">
        <f>INT(((AE265*Valores!$C$2)*100)+0.5)/100</f>
        <v>0</v>
      </c>
      <c r="AG265" s="67">
        <f>Valores!$D$49*E265</f>
        <v>332.5</v>
      </c>
      <c r="AH265" s="67">
        <f>Valores!$D$50*E265</f>
        <v>95</v>
      </c>
      <c r="AI265" s="123">
        <f t="shared" si="56"/>
        <v>21991.804</v>
      </c>
      <c r="AJ265" s="69">
        <f>Valores!$C$13*E265</f>
        <v>316.73</v>
      </c>
      <c r="AK265" s="124">
        <f t="shared" si="54"/>
        <v>316.73</v>
      </c>
      <c r="AL265" s="68">
        <f t="shared" si="55"/>
        <v>5374.8449199999995</v>
      </c>
      <c r="AM265" s="79">
        <f t="shared" si="52"/>
        <v>139.33000000000001</v>
      </c>
      <c r="AN265" s="20"/>
      <c r="AO265" s="20">
        <f t="shared" si="49"/>
        <v>76</v>
      </c>
      <c r="AP265" s="9" t="s">
        <v>465</v>
      </c>
    </row>
    <row r="266" spans="1:42" s="9" customFormat="1" ht="11.25" customHeight="1" x14ac:dyDescent="0.15">
      <c r="A266" s="43">
        <v>265</v>
      </c>
      <c r="B266" s="43" t="s">
        <v>460</v>
      </c>
      <c r="C266" s="43"/>
      <c r="D266" s="43" t="s">
        <v>356</v>
      </c>
      <c r="E266" s="43">
        <v>19</v>
      </c>
      <c r="F266" s="44" t="str">
        <f>CONCATENATE("Hora Cátedra Enseñanza Media ",E266," hs Esc Esp")</f>
        <v>Hora Cátedra Enseñanza Media 19 hs Esc Esp</v>
      </c>
      <c r="G266" s="103">
        <f t="shared" si="50"/>
        <v>1501</v>
      </c>
      <c r="H266" s="110">
        <f>INT((G266*Valores!$C$2*100)+0.5)/100</f>
        <v>6773.56</v>
      </c>
      <c r="I266" s="114">
        <v>0</v>
      </c>
      <c r="J266" s="70">
        <f>INT((I266*Valores!$C$2*100)+0.5)/100</f>
        <v>0</v>
      </c>
      <c r="K266" s="132">
        <v>0</v>
      </c>
      <c r="L266" s="70">
        <f>INT((K266*Valores!$C$2*100)+0.5)/100</f>
        <v>0</v>
      </c>
      <c r="M266" s="100">
        <v>0</v>
      </c>
      <c r="N266" s="70">
        <f>INT((M266*Valores!$C$2*100)+0.5)/100</f>
        <v>0</v>
      </c>
      <c r="O266" s="70">
        <f t="shared" ref="O266:O302" si="57">IF($J$2=0,IF(D266&lt;&gt;"13-930",(SUM(H266,J266,L266,N266,Z266,U266,T266)*$O$2),0),0)</f>
        <v>0</v>
      </c>
      <c r="P266" s="70">
        <f t="shared" ref="P266:P302" si="58">SUM(H266,J266,L266,N266,Z266,T266)*$J$2</f>
        <v>8603.4240000000009</v>
      </c>
      <c r="Q266" s="75">
        <f>Valores!$C$10*E266</f>
        <v>1691</v>
      </c>
      <c r="R266" s="75">
        <f>IF(E266&lt;15,(Valores!$D$9/15*E266),Valores!$D$9)</f>
        <v>2018.53</v>
      </c>
      <c r="S266" s="70">
        <v>0</v>
      </c>
      <c r="T266" s="72">
        <f>Valores!$C$43*E266</f>
        <v>395.96</v>
      </c>
      <c r="U266" s="75">
        <f>Valores!$C$11*E266</f>
        <v>864.5</v>
      </c>
      <c r="V266" s="70">
        <f t="shared" si="44"/>
        <v>1901.9</v>
      </c>
      <c r="W266" s="70">
        <v>0</v>
      </c>
      <c r="X266" s="70">
        <v>0</v>
      </c>
      <c r="Y266" s="52">
        <v>0</v>
      </c>
      <c r="Z266" s="70">
        <f>Y266*Valores!$C$2</f>
        <v>0</v>
      </c>
      <c r="AA266" s="70">
        <v>0</v>
      </c>
      <c r="AB266" s="80">
        <f t="shared" si="48"/>
        <v>98.23</v>
      </c>
      <c r="AC266" s="70">
        <f t="shared" si="53"/>
        <v>0</v>
      </c>
      <c r="AD266" s="70">
        <f t="shared" si="51"/>
        <v>81.7</v>
      </c>
      <c r="AE266" s="94">
        <v>94</v>
      </c>
      <c r="AF266" s="70">
        <f>INT(((AE266*Valores!$C$2)*100)+0.5)/100</f>
        <v>424.19</v>
      </c>
      <c r="AG266" s="70">
        <f>Valores!$D$49*E266</f>
        <v>332.5</v>
      </c>
      <c r="AH266" s="70">
        <f>Valores!$D$50*E266</f>
        <v>95</v>
      </c>
      <c r="AI266" s="125">
        <f t="shared" si="56"/>
        <v>22415.993999999999</v>
      </c>
      <c r="AJ266" s="72">
        <f>Valores!$C$13*E266</f>
        <v>316.73</v>
      </c>
      <c r="AK266" s="126">
        <f t="shared" si="54"/>
        <v>316.73</v>
      </c>
      <c r="AL266" s="71">
        <f t="shared" si="55"/>
        <v>5472.4086200000002</v>
      </c>
      <c r="AM266" s="80">
        <f t="shared" si="52"/>
        <v>139.33000000000001</v>
      </c>
      <c r="AN266" s="47"/>
      <c r="AO266" s="20">
        <f t="shared" si="49"/>
        <v>76</v>
      </c>
      <c r="AP266" s="43" t="s">
        <v>465</v>
      </c>
    </row>
    <row r="267" spans="1:42" s="9" customFormat="1" ht="11.25" customHeight="1" x14ac:dyDescent="0.15">
      <c r="A267" s="9">
        <v>266</v>
      </c>
      <c r="D267" s="9" t="s">
        <v>356</v>
      </c>
      <c r="E267" s="9">
        <v>20</v>
      </c>
      <c r="F267" s="10" t="str">
        <f>CONCATENATE("Hora Cátedra Enseñanza Media ",E267," hs")</f>
        <v>Hora Cátedra Enseñanza Media 20 hs</v>
      </c>
      <c r="G267" s="102">
        <f t="shared" si="50"/>
        <v>1580</v>
      </c>
      <c r="H267" s="7">
        <f>INT((G267*Valores!$C$2*100)+0.5)/100</f>
        <v>7130.07</v>
      </c>
      <c r="I267" s="115">
        <v>0</v>
      </c>
      <c r="J267" s="67">
        <f>INT((I267*Valores!$C$2*100)+0.5)/100</f>
        <v>0</v>
      </c>
      <c r="K267" s="131">
        <v>0</v>
      </c>
      <c r="L267" s="67">
        <f>INT((K267*Valores!$C$2*100)+0.5)/100</f>
        <v>0</v>
      </c>
      <c r="M267" s="99">
        <v>0</v>
      </c>
      <c r="N267" s="67">
        <f>INT((M267*Valores!$C$2*100)+0.5)/100</f>
        <v>0</v>
      </c>
      <c r="O267" s="67">
        <f t="shared" si="57"/>
        <v>0</v>
      </c>
      <c r="P267" s="67">
        <f t="shared" si="58"/>
        <v>9056.2439999999988</v>
      </c>
      <c r="Q267" s="53">
        <f>Valores!$C$10*E267</f>
        <v>1780</v>
      </c>
      <c r="R267" s="53">
        <f>IF(E267&lt;15,(Valores!$D$9/15*E267),Valores!$D$9)</f>
        <v>2018.53</v>
      </c>
      <c r="S267" s="67">
        <v>0</v>
      </c>
      <c r="T267" s="69">
        <f>Valores!$C$43*E267</f>
        <v>416.8</v>
      </c>
      <c r="U267" s="53">
        <f>Valores!$C$11*E267</f>
        <v>910</v>
      </c>
      <c r="V267" s="67">
        <f t="shared" si="44"/>
        <v>2002.0000000000002</v>
      </c>
      <c r="W267" s="67">
        <v>0</v>
      </c>
      <c r="X267" s="67">
        <v>0</v>
      </c>
      <c r="Y267" s="33">
        <v>0</v>
      </c>
      <c r="Z267" s="67">
        <f>Y267*Valores!$C$2</f>
        <v>0</v>
      </c>
      <c r="AA267" s="67">
        <v>0</v>
      </c>
      <c r="AB267" s="79">
        <f t="shared" si="48"/>
        <v>103.4</v>
      </c>
      <c r="AC267" s="67">
        <f t="shared" si="53"/>
        <v>0</v>
      </c>
      <c r="AD267" s="67">
        <f t="shared" si="51"/>
        <v>86</v>
      </c>
      <c r="AE267" s="95">
        <v>0</v>
      </c>
      <c r="AF267" s="67">
        <f>INT(((AE267*Valores!$C$2)*100)+0.5)/100</f>
        <v>0</v>
      </c>
      <c r="AG267" s="67">
        <f>Valores!$D$49*E267</f>
        <v>350</v>
      </c>
      <c r="AH267" s="67">
        <f>Valores!$D$50*E267</f>
        <v>100</v>
      </c>
      <c r="AI267" s="123">
        <f t="shared" si="56"/>
        <v>23043.043999999998</v>
      </c>
      <c r="AJ267" s="69">
        <f>Valores!$C$13*E267</f>
        <v>333.40000000000003</v>
      </c>
      <c r="AK267" s="124">
        <f t="shared" si="54"/>
        <v>333.40000000000003</v>
      </c>
      <c r="AL267" s="68">
        <f t="shared" si="55"/>
        <v>5633.300119999999</v>
      </c>
      <c r="AM267" s="79">
        <f t="shared" ref="AM267:AM282" si="59">(7.33*E267)+0.07</f>
        <v>146.66999999999999</v>
      </c>
      <c r="AN267" s="20"/>
      <c r="AO267" s="20">
        <f t="shared" si="49"/>
        <v>80</v>
      </c>
      <c r="AP267" s="9" t="s">
        <v>465</v>
      </c>
    </row>
    <row r="268" spans="1:42" s="9" customFormat="1" ht="11.25" customHeight="1" x14ac:dyDescent="0.15">
      <c r="A268" s="9">
        <v>267</v>
      </c>
      <c r="D268" s="9" t="s">
        <v>356</v>
      </c>
      <c r="E268" s="9">
        <v>20</v>
      </c>
      <c r="F268" s="10" t="str">
        <f>CONCATENATE("Hora Cátedra Enseñanza Media ",E268," hs Esc Esp")</f>
        <v>Hora Cátedra Enseñanza Media 20 hs Esc Esp</v>
      </c>
      <c r="G268" s="102">
        <f t="shared" si="50"/>
        <v>1580</v>
      </c>
      <c r="H268" s="7">
        <f>INT((G268*Valores!$C$2*100)+0.5)/100</f>
        <v>7130.07</v>
      </c>
      <c r="I268" s="115">
        <v>0</v>
      </c>
      <c r="J268" s="67">
        <f>INT((I268*Valores!$C$2*100)+0.5)/100</f>
        <v>0</v>
      </c>
      <c r="K268" s="131">
        <v>0</v>
      </c>
      <c r="L268" s="67">
        <f>INT((K268*Valores!$C$2*100)+0.5)/100</f>
        <v>0</v>
      </c>
      <c r="M268" s="99">
        <v>0</v>
      </c>
      <c r="N268" s="67">
        <f>INT((M268*Valores!$C$2*100)+0.5)/100</f>
        <v>0</v>
      </c>
      <c r="O268" s="67">
        <f t="shared" si="57"/>
        <v>0</v>
      </c>
      <c r="P268" s="67">
        <f t="shared" si="58"/>
        <v>9056.2439999999988</v>
      </c>
      <c r="Q268" s="53">
        <f>Valores!$C$10*E268</f>
        <v>1780</v>
      </c>
      <c r="R268" s="53">
        <f>IF(E268&lt;15,(Valores!$D$9/15*E268),Valores!$D$9)</f>
        <v>2018.53</v>
      </c>
      <c r="S268" s="67">
        <v>0</v>
      </c>
      <c r="T268" s="69">
        <f>Valores!$C$43*E268</f>
        <v>416.8</v>
      </c>
      <c r="U268" s="53">
        <f>Valores!$C$11*E268</f>
        <v>910</v>
      </c>
      <c r="V268" s="67">
        <f t="shared" si="44"/>
        <v>2002.0000000000002</v>
      </c>
      <c r="W268" s="67">
        <v>0</v>
      </c>
      <c r="X268" s="67">
        <v>0</v>
      </c>
      <c r="Y268" s="33">
        <v>0</v>
      </c>
      <c r="Z268" s="67">
        <f>Y268*Valores!$C$2</f>
        <v>0</v>
      </c>
      <c r="AA268" s="67">
        <v>0</v>
      </c>
      <c r="AB268" s="79">
        <f t="shared" si="48"/>
        <v>103.4</v>
      </c>
      <c r="AC268" s="67">
        <f t="shared" si="53"/>
        <v>0</v>
      </c>
      <c r="AD268" s="67">
        <f t="shared" si="51"/>
        <v>86</v>
      </c>
      <c r="AE268" s="95">
        <v>94</v>
      </c>
      <c r="AF268" s="67">
        <f>INT(((AE268*Valores!$C$2)*100)+0.5)/100</f>
        <v>424.19</v>
      </c>
      <c r="AG268" s="67">
        <f>Valores!$D$49*E268</f>
        <v>350</v>
      </c>
      <c r="AH268" s="67">
        <f>Valores!$D$50*E268</f>
        <v>100</v>
      </c>
      <c r="AI268" s="123">
        <f t="shared" si="56"/>
        <v>23467.233999999997</v>
      </c>
      <c r="AJ268" s="69">
        <f>Valores!$C$13*E268</f>
        <v>333.40000000000003</v>
      </c>
      <c r="AK268" s="124">
        <f t="shared" si="54"/>
        <v>333.40000000000003</v>
      </c>
      <c r="AL268" s="68">
        <f t="shared" si="55"/>
        <v>5730.8638199999987</v>
      </c>
      <c r="AM268" s="79">
        <f t="shared" si="59"/>
        <v>146.66999999999999</v>
      </c>
      <c r="AN268" s="20"/>
      <c r="AO268" s="20">
        <f t="shared" si="49"/>
        <v>80</v>
      </c>
      <c r="AP268" s="9" t="s">
        <v>465</v>
      </c>
    </row>
    <row r="269" spans="1:42" s="9" customFormat="1" ht="11.25" customHeight="1" x14ac:dyDescent="0.15">
      <c r="A269" s="9">
        <v>268</v>
      </c>
      <c r="D269" s="9" t="s">
        <v>356</v>
      </c>
      <c r="E269" s="9">
        <v>21</v>
      </c>
      <c r="F269" s="10" t="str">
        <f>CONCATENATE("Hora Cátedra Enseñanza Media ",E269," hs")</f>
        <v>Hora Cátedra Enseñanza Media 21 hs</v>
      </c>
      <c r="G269" s="102">
        <f t="shared" si="50"/>
        <v>1659</v>
      </c>
      <c r="H269" s="7">
        <f>INT((G269*Valores!$C$2*100)+0.5)/100</f>
        <v>7486.57</v>
      </c>
      <c r="I269" s="115">
        <v>0</v>
      </c>
      <c r="J269" s="67">
        <f>INT((I269*Valores!$C$2*100)+0.5)/100</f>
        <v>0</v>
      </c>
      <c r="K269" s="131">
        <v>0</v>
      </c>
      <c r="L269" s="67">
        <f>INT((K269*Valores!$C$2*100)+0.5)/100</f>
        <v>0</v>
      </c>
      <c r="M269" s="99">
        <v>0</v>
      </c>
      <c r="N269" s="67">
        <f>INT((M269*Valores!$C$2*100)+0.5)/100</f>
        <v>0</v>
      </c>
      <c r="O269" s="67">
        <f t="shared" si="57"/>
        <v>0</v>
      </c>
      <c r="P269" s="67">
        <f t="shared" si="58"/>
        <v>9509.0519999999997</v>
      </c>
      <c r="Q269" s="53">
        <f>Valores!$C$10*E269</f>
        <v>1869</v>
      </c>
      <c r="R269" s="53">
        <f>IF(E269&lt;15,(Valores!$D$9/15*E269),Valores!$D$9)</f>
        <v>2018.53</v>
      </c>
      <c r="S269" s="67">
        <v>0</v>
      </c>
      <c r="T269" s="69">
        <f>Valores!$C$43*E269</f>
        <v>437.64</v>
      </c>
      <c r="U269" s="53">
        <f>Valores!$C$11*E269</f>
        <v>955.5</v>
      </c>
      <c r="V269" s="67">
        <f t="shared" si="44"/>
        <v>2102.1000000000004</v>
      </c>
      <c r="W269" s="67">
        <v>0</v>
      </c>
      <c r="X269" s="67">
        <v>0</v>
      </c>
      <c r="Y269" s="33">
        <v>0</v>
      </c>
      <c r="Z269" s="67">
        <f>Y269*Valores!$C$2</f>
        <v>0</v>
      </c>
      <c r="AA269" s="67">
        <v>0</v>
      </c>
      <c r="AB269" s="79">
        <f t="shared" si="48"/>
        <v>108.57</v>
      </c>
      <c r="AC269" s="67">
        <f t="shared" si="53"/>
        <v>0</v>
      </c>
      <c r="AD269" s="67">
        <f t="shared" si="51"/>
        <v>90.3</v>
      </c>
      <c r="AE269" s="95">
        <v>0</v>
      </c>
      <c r="AF269" s="67">
        <f>INT(((AE269*Valores!$C$2)*100)+0.5)/100</f>
        <v>0</v>
      </c>
      <c r="AG269" s="67">
        <f>Valores!$D$49*E269</f>
        <v>367.5</v>
      </c>
      <c r="AH269" s="67">
        <f>Valores!$D$50*E269</f>
        <v>105</v>
      </c>
      <c r="AI269" s="123">
        <f t="shared" si="56"/>
        <v>24094.261999999999</v>
      </c>
      <c r="AJ269" s="69">
        <f>Valores!$C$13*E269</f>
        <v>350.07000000000005</v>
      </c>
      <c r="AK269" s="124">
        <f t="shared" si="54"/>
        <v>350.07000000000005</v>
      </c>
      <c r="AL269" s="68">
        <f t="shared" si="55"/>
        <v>5891.7502599999989</v>
      </c>
      <c r="AM269" s="79">
        <f t="shared" si="59"/>
        <v>154</v>
      </c>
      <c r="AN269" s="20"/>
      <c r="AO269" s="47">
        <f t="shared" si="49"/>
        <v>84</v>
      </c>
      <c r="AP269" s="9" t="s">
        <v>465</v>
      </c>
    </row>
    <row r="270" spans="1:42" s="9" customFormat="1" ht="11.25" customHeight="1" x14ac:dyDescent="0.15">
      <c r="A270" s="9">
        <v>269</v>
      </c>
      <c r="D270" s="9" t="s">
        <v>356</v>
      </c>
      <c r="E270" s="9">
        <v>21</v>
      </c>
      <c r="F270" s="10" t="str">
        <f>CONCATENATE("Hora Cátedra Enseñanza Media ",E270," hs Esc Esp")</f>
        <v>Hora Cátedra Enseñanza Media 21 hs Esc Esp</v>
      </c>
      <c r="G270" s="102">
        <f t="shared" si="50"/>
        <v>1659</v>
      </c>
      <c r="H270" s="7">
        <f>INT((G270*Valores!$C$2*100)+0.5)/100</f>
        <v>7486.57</v>
      </c>
      <c r="I270" s="115">
        <v>0</v>
      </c>
      <c r="J270" s="67">
        <f>INT((I270*Valores!$C$2*100)+0.5)/100</f>
        <v>0</v>
      </c>
      <c r="K270" s="131">
        <v>0</v>
      </c>
      <c r="L270" s="67">
        <f>INT((K270*Valores!$C$2*100)+0.5)/100</f>
        <v>0</v>
      </c>
      <c r="M270" s="99">
        <v>0</v>
      </c>
      <c r="N270" s="67">
        <f>INT((M270*Valores!$C$2*100)+0.5)/100</f>
        <v>0</v>
      </c>
      <c r="O270" s="67">
        <f t="shared" si="57"/>
        <v>0</v>
      </c>
      <c r="P270" s="67">
        <f t="shared" si="58"/>
        <v>9509.0519999999997</v>
      </c>
      <c r="Q270" s="53">
        <f>Valores!$C$10*E270</f>
        <v>1869</v>
      </c>
      <c r="R270" s="53">
        <f>IF(E270&lt;15,(Valores!$D$9/15*E270),Valores!$D$9)</f>
        <v>2018.53</v>
      </c>
      <c r="S270" s="67">
        <v>0</v>
      </c>
      <c r="T270" s="69">
        <f>Valores!$C$43*E270</f>
        <v>437.64</v>
      </c>
      <c r="U270" s="53">
        <f>Valores!$C$11*E270</f>
        <v>955.5</v>
      </c>
      <c r="V270" s="67">
        <f t="shared" si="44"/>
        <v>2102.1000000000004</v>
      </c>
      <c r="W270" s="67">
        <v>0</v>
      </c>
      <c r="X270" s="67">
        <v>0</v>
      </c>
      <c r="Y270" s="33">
        <v>0</v>
      </c>
      <c r="Z270" s="67">
        <f>Y270*Valores!$C$2</f>
        <v>0</v>
      </c>
      <c r="AA270" s="67">
        <v>0</v>
      </c>
      <c r="AB270" s="79">
        <f t="shared" si="48"/>
        <v>108.57</v>
      </c>
      <c r="AC270" s="67">
        <f t="shared" si="53"/>
        <v>0</v>
      </c>
      <c r="AD270" s="67">
        <f t="shared" si="51"/>
        <v>90.3</v>
      </c>
      <c r="AE270" s="95">
        <v>94</v>
      </c>
      <c r="AF270" s="67">
        <f>INT(((AE270*Valores!$C$2)*100)+0.5)/100</f>
        <v>424.19</v>
      </c>
      <c r="AG270" s="67">
        <f>Valores!$D$49*E270</f>
        <v>367.5</v>
      </c>
      <c r="AH270" s="67">
        <f>Valores!$D$50*E270</f>
        <v>105</v>
      </c>
      <c r="AI270" s="123">
        <f t="shared" si="56"/>
        <v>24518.451999999997</v>
      </c>
      <c r="AJ270" s="69">
        <f>Valores!$C$13*E270</f>
        <v>350.07000000000005</v>
      </c>
      <c r="AK270" s="124">
        <f t="shared" si="54"/>
        <v>350.07000000000005</v>
      </c>
      <c r="AL270" s="68">
        <f t="shared" si="55"/>
        <v>5989.3139599999986</v>
      </c>
      <c r="AM270" s="79">
        <f t="shared" si="59"/>
        <v>154</v>
      </c>
      <c r="AN270" s="20"/>
      <c r="AO270" s="20">
        <f t="shared" si="49"/>
        <v>84</v>
      </c>
      <c r="AP270" s="9" t="s">
        <v>465</v>
      </c>
    </row>
    <row r="271" spans="1:42" s="9" customFormat="1" ht="11.25" customHeight="1" x14ac:dyDescent="0.15">
      <c r="A271" s="43">
        <v>270</v>
      </c>
      <c r="B271" s="43" t="s">
        <v>460</v>
      </c>
      <c r="C271" s="43"/>
      <c r="D271" s="43" t="s">
        <v>356</v>
      </c>
      <c r="E271" s="43">
        <v>22</v>
      </c>
      <c r="F271" s="44" t="str">
        <f>CONCATENATE("Hora Cátedra Enseñanza Media ",E271," hs")</f>
        <v>Hora Cátedra Enseñanza Media 22 hs</v>
      </c>
      <c r="G271" s="103">
        <f t="shared" si="50"/>
        <v>1738</v>
      </c>
      <c r="H271" s="110">
        <f>INT((G271*Valores!$C$2*100)+0.5)/100</f>
        <v>7843.07</v>
      </c>
      <c r="I271" s="114">
        <v>0</v>
      </c>
      <c r="J271" s="70">
        <f>INT((I271*Valores!$C$2*100)+0.5)/100</f>
        <v>0</v>
      </c>
      <c r="K271" s="132">
        <v>0</v>
      </c>
      <c r="L271" s="70">
        <f>INT((K271*Valores!$C$2*100)+0.5)/100</f>
        <v>0</v>
      </c>
      <c r="M271" s="100">
        <v>0</v>
      </c>
      <c r="N271" s="70">
        <f>INT((M271*Valores!$C$2*100)+0.5)/100</f>
        <v>0</v>
      </c>
      <c r="O271" s="70">
        <f t="shared" si="57"/>
        <v>0</v>
      </c>
      <c r="P271" s="70">
        <f t="shared" si="58"/>
        <v>9961.8599999999988</v>
      </c>
      <c r="Q271" s="75">
        <f>Valores!$C$10*E271</f>
        <v>1958</v>
      </c>
      <c r="R271" s="75">
        <f>IF(E271&lt;15,(Valores!$D$9/15*E271),Valores!$D$9)</f>
        <v>2018.53</v>
      </c>
      <c r="S271" s="70">
        <v>0</v>
      </c>
      <c r="T271" s="72">
        <f>Valores!$C$43*E271</f>
        <v>458.48</v>
      </c>
      <c r="U271" s="75">
        <f>Valores!$C$11*E271</f>
        <v>1001</v>
      </c>
      <c r="V271" s="70">
        <f t="shared" si="44"/>
        <v>2202.2000000000003</v>
      </c>
      <c r="W271" s="70">
        <v>0</v>
      </c>
      <c r="X271" s="70">
        <v>0</v>
      </c>
      <c r="Y271" s="52">
        <v>0</v>
      </c>
      <c r="Z271" s="70">
        <f>Y271*Valores!$C$2</f>
        <v>0</v>
      </c>
      <c r="AA271" s="70">
        <v>0</v>
      </c>
      <c r="AB271" s="80">
        <f t="shared" si="48"/>
        <v>113.74</v>
      </c>
      <c r="AC271" s="70">
        <f t="shared" si="53"/>
        <v>0</v>
      </c>
      <c r="AD271" s="70">
        <f t="shared" si="51"/>
        <v>94.6</v>
      </c>
      <c r="AE271" s="94">
        <v>0</v>
      </c>
      <c r="AF271" s="70">
        <f>INT(((AE271*Valores!$C$2)*100)+0.5)/100</f>
        <v>0</v>
      </c>
      <c r="AG271" s="70">
        <f>Valores!$D$49*E271</f>
        <v>385</v>
      </c>
      <c r="AH271" s="70">
        <f>Valores!$D$50*E271</f>
        <v>110</v>
      </c>
      <c r="AI271" s="125">
        <f t="shared" si="56"/>
        <v>25145.48</v>
      </c>
      <c r="AJ271" s="72">
        <f>Valores!$C$13*E271</f>
        <v>366.74</v>
      </c>
      <c r="AK271" s="126">
        <f t="shared" si="54"/>
        <v>366.74</v>
      </c>
      <c r="AL271" s="71">
        <f t="shared" si="55"/>
        <v>6150.2003999999988</v>
      </c>
      <c r="AM271" s="80">
        <f t="shared" si="59"/>
        <v>161.32999999999998</v>
      </c>
      <c r="AN271" s="47"/>
      <c r="AO271" s="20">
        <f t="shared" si="49"/>
        <v>88</v>
      </c>
      <c r="AP271" s="43" t="s">
        <v>465</v>
      </c>
    </row>
    <row r="272" spans="1:42" s="9" customFormat="1" ht="11.25" customHeight="1" x14ac:dyDescent="0.15">
      <c r="A272" s="9">
        <v>271</v>
      </c>
      <c r="D272" s="9" t="s">
        <v>356</v>
      </c>
      <c r="E272" s="9">
        <v>22</v>
      </c>
      <c r="F272" s="10" t="str">
        <f>CONCATENATE("Hora Cátedra Enseñanza Media ",E272," hs Esc Esp")</f>
        <v>Hora Cátedra Enseñanza Media 22 hs Esc Esp</v>
      </c>
      <c r="G272" s="102">
        <f t="shared" si="50"/>
        <v>1738</v>
      </c>
      <c r="H272" s="7">
        <f>INT((G272*Valores!$C$2*100)+0.5)/100</f>
        <v>7843.07</v>
      </c>
      <c r="I272" s="115">
        <v>0</v>
      </c>
      <c r="J272" s="67">
        <f>INT((I272*Valores!$C$2*100)+0.5)/100</f>
        <v>0</v>
      </c>
      <c r="K272" s="131">
        <v>0</v>
      </c>
      <c r="L272" s="67">
        <f>INT((K272*Valores!$C$2*100)+0.5)/100</f>
        <v>0</v>
      </c>
      <c r="M272" s="99">
        <v>0</v>
      </c>
      <c r="N272" s="67">
        <f>INT((M272*Valores!$C$2*100)+0.5)/100</f>
        <v>0</v>
      </c>
      <c r="O272" s="67">
        <f t="shared" si="57"/>
        <v>0</v>
      </c>
      <c r="P272" s="67">
        <f t="shared" si="58"/>
        <v>9961.8599999999988</v>
      </c>
      <c r="Q272" s="53">
        <f>Valores!$C$10*E272</f>
        <v>1958</v>
      </c>
      <c r="R272" s="53">
        <f>IF(E272&lt;15,(Valores!$D$9/15*E272),Valores!$D$9)</f>
        <v>2018.53</v>
      </c>
      <c r="S272" s="67">
        <v>0</v>
      </c>
      <c r="T272" s="69">
        <f>Valores!$C$43*E272</f>
        <v>458.48</v>
      </c>
      <c r="U272" s="53">
        <f>Valores!$C$11*E272</f>
        <v>1001</v>
      </c>
      <c r="V272" s="67">
        <f t="shared" si="44"/>
        <v>2202.2000000000003</v>
      </c>
      <c r="W272" s="67">
        <v>0</v>
      </c>
      <c r="X272" s="67">
        <v>0</v>
      </c>
      <c r="Y272" s="33">
        <v>0</v>
      </c>
      <c r="Z272" s="67">
        <f>Y272*Valores!$C$2</f>
        <v>0</v>
      </c>
      <c r="AA272" s="67">
        <v>0</v>
      </c>
      <c r="AB272" s="79">
        <f t="shared" si="48"/>
        <v>113.74</v>
      </c>
      <c r="AC272" s="67">
        <f t="shared" si="53"/>
        <v>0</v>
      </c>
      <c r="AD272" s="67">
        <f t="shared" si="51"/>
        <v>94.6</v>
      </c>
      <c r="AE272" s="95">
        <v>94</v>
      </c>
      <c r="AF272" s="67">
        <f>INT(((AE272*Valores!$C$2)*100)+0.5)/100</f>
        <v>424.19</v>
      </c>
      <c r="AG272" s="67">
        <f>Valores!$D$49*E272</f>
        <v>385</v>
      </c>
      <c r="AH272" s="67">
        <f>Valores!$D$50*E272</f>
        <v>110</v>
      </c>
      <c r="AI272" s="123">
        <f t="shared" si="56"/>
        <v>25569.67</v>
      </c>
      <c r="AJ272" s="69">
        <f>Valores!$C$13*E272</f>
        <v>366.74</v>
      </c>
      <c r="AK272" s="124">
        <f t="shared" si="54"/>
        <v>366.74</v>
      </c>
      <c r="AL272" s="68">
        <f t="shared" si="55"/>
        <v>6247.7640999999985</v>
      </c>
      <c r="AM272" s="79">
        <f t="shared" si="59"/>
        <v>161.32999999999998</v>
      </c>
      <c r="AN272" s="20"/>
      <c r="AO272" s="20">
        <f t="shared" si="49"/>
        <v>88</v>
      </c>
      <c r="AP272" s="9" t="s">
        <v>465</v>
      </c>
    </row>
    <row r="273" spans="1:42" s="9" customFormat="1" ht="11.25" customHeight="1" x14ac:dyDescent="0.15">
      <c r="A273" s="9">
        <v>272</v>
      </c>
      <c r="D273" s="9" t="s">
        <v>356</v>
      </c>
      <c r="E273" s="9">
        <v>23</v>
      </c>
      <c r="F273" s="10" t="str">
        <f>CONCATENATE("Hora Cátedra Enseñanza Media ",E273," hs")</f>
        <v>Hora Cátedra Enseñanza Media 23 hs</v>
      </c>
      <c r="G273" s="102">
        <f t="shared" si="50"/>
        <v>1817</v>
      </c>
      <c r="H273" s="7">
        <f>INT((G273*Valores!$C$2*100)+0.5)/100</f>
        <v>8199.58</v>
      </c>
      <c r="I273" s="115">
        <v>0</v>
      </c>
      <c r="J273" s="67">
        <f>INT((I273*Valores!$C$2*100)+0.5)/100</f>
        <v>0</v>
      </c>
      <c r="K273" s="131">
        <v>0</v>
      </c>
      <c r="L273" s="67">
        <f>INT((K273*Valores!$C$2*100)+0.5)/100</f>
        <v>0</v>
      </c>
      <c r="M273" s="99">
        <v>0</v>
      </c>
      <c r="N273" s="67">
        <f>INT((M273*Valores!$C$2*100)+0.5)/100</f>
        <v>0</v>
      </c>
      <c r="O273" s="67">
        <f t="shared" si="57"/>
        <v>0</v>
      </c>
      <c r="P273" s="67">
        <f t="shared" si="58"/>
        <v>10414.679999999998</v>
      </c>
      <c r="Q273" s="53">
        <f>Valores!$C$10*E273</f>
        <v>2047</v>
      </c>
      <c r="R273" s="53">
        <f>IF(E273&lt;15,(Valores!$D$9/15*E273),Valores!$D$9)</f>
        <v>2018.53</v>
      </c>
      <c r="S273" s="67">
        <v>0</v>
      </c>
      <c r="T273" s="69">
        <f>Valores!$C$43*E273</f>
        <v>479.32</v>
      </c>
      <c r="U273" s="53">
        <f>Valores!$C$11*E273</f>
        <v>1046.5</v>
      </c>
      <c r="V273" s="67">
        <f t="shared" si="44"/>
        <v>2302.3000000000002</v>
      </c>
      <c r="W273" s="67">
        <v>0</v>
      </c>
      <c r="X273" s="67">
        <v>0</v>
      </c>
      <c r="Y273" s="33">
        <v>0</v>
      </c>
      <c r="Z273" s="67">
        <f>Y273*Valores!$C$2</f>
        <v>0</v>
      </c>
      <c r="AA273" s="67">
        <v>0</v>
      </c>
      <c r="AB273" s="79">
        <f t="shared" si="48"/>
        <v>118.91</v>
      </c>
      <c r="AC273" s="67">
        <f t="shared" si="53"/>
        <v>0</v>
      </c>
      <c r="AD273" s="67">
        <f t="shared" si="51"/>
        <v>98.899999999999991</v>
      </c>
      <c r="AE273" s="95">
        <v>0</v>
      </c>
      <c r="AF273" s="67">
        <f>INT(((AE273*Valores!$C$2)*100)+0.5)/100</f>
        <v>0</v>
      </c>
      <c r="AG273" s="67">
        <f>Valores!$D$49*E273</f>
        <v>402.5</v>
      </c>
      <c r="AH273" s="67">
        <f>Valores!$D$50*E273</f>
        <v>115</v>
      </c>
      <c r="AI273" s="123">
        <f t="shared" si="56"/>
        <v>26196.719999999998</v>
      </c>
      <c r="AJ273" s="69">
        <f>Valores!$C$13*E273</f>
        <v>383.41</v>
      </c>
      <c r="AK273" s="124">
        <f t="shared" si="54"/>
        <v>383.41</v>
      </c>
      <c r="AL273" s="68">
        <f t="shared" si="55"/>
        <v>6408.6555999999991</v>
      </c>
      <c r="AM273" s="79">
        <f t="shared" si="59"/>
        <v>168.66</v>
      </c>
      <c r="AN273" s="20"/>
      <c r="AO273" s="20">
        <f t="shared" si="49"/>
        <v>92</v>
      </c>
      <c r="AP273" s="9" t="s">
        <v>465</v>
      </c>
    </row>
    <row r="274" spans="1:42" s="9" customFormat="1" ht="11.25" customHeight="1" x14ac:dyDescent="0.15">
      <c r="A274" s="9">
        <v>273</v>
      </c>
      <c r="D274" s="9" t="s">
        <v>356</v>
      </c>
      <c r="E274" s="9">
        <v>23</v>
      </c>
      <c r="F274" s="10" t="str">
        <f>CONCATENATE("Hora Cátedra Enseñanza Media ",E274," hs Esc Esp")</f>
        <v>Hora Cátedra Enseñanza Media 23 hs Esc Esp</v>
      </c>
      <c r="G274" s="102">
        <f t="shared" si="50"/>
        <v>1817</v>
      </c>
      <c r="H274" s="7">
        <f>INT((G274*Valores!$C$2*100)+0.5)/100</f>
        <v>8199.58</v>
      </c>
      <c r="I274" s="115">
        <v>0</v>
      </c>
      <c r="J274" s="67">
        <f>INT((I274*Valores!$C$2*100)+0.5)/100</f>
        <v>0</v>
      </c>
      <c r="K274" s="131">
        <v>0</v>
      </c>
      <c r="L274" s="67">
        <f>INT((K274*Valores!$C$2*100)+0.5)/100</f>
        <v>0</v>
      </c>
      <c r="M274" s="99">
        <v>0</v>
      </c>
      <c r="N274" s="67">
        <f>INT((M274*Valores!$C$2*100)+0.5)/100</f>
        <v>0</v>
      </c>
      <c r="O274" s="67">
        <f t="shared" si="57"/>
        <v>0</v>
      </c>
      <c r="P274" s="67">
        <f t="shared" si="58"/>
        <v>10414.679999999998</v>
      </c>
      <c r="Q274" s="53">
        <f>Valores!$C$10*E274</f>
        <v>2047</v>
      </c>
      <c r="R274" s="53">
        <f>IF(E274&lt;15,(Valores!$D$9/15*E274),Valores!$D$9)</f>
        <v>2018.53</v>
      </c>
      <c r="S274" s="67">
        <v>0</v>
      </c>
      <c r="T274" s="69">
        <f>Valores!$C$43*E274</f>
        <v>479.32</v>
      </c>
      <c r="U274" s="53">
        <f>Valores!$C$11*E274</f>
        <v>1046.5</v>
      </c>
      <c r="V274" s="67">
        <f t="shared" si="44"/>
        <v>2302.3000000000002</v>
      </c>
      <c r="W274" s="67">
        <v>0</v>
      </c>
      <c r="X274" s="67">
        <v>0</v>
      </c>
      <c r="Y274" s="33">
        <v>0</v>
      </c>
      <c r="Z274" s="67">
        <f>Y274*Valores!$C$2</f>
        <v>0</v>
      </c>
      <c r="AA274" s="67">
        <v>0</v>
      </c>
      <c r="AB274" s="79">
        <f t="shared" si="48"/>
        <v>118.91</v>
      </c>
      <c r="AC274" s="67">
        <f t="shared" si="53"/>
        <v>0</v>
      </c>
      <c r="AD274" s="67">
        <f t="shared" si="51"/>
        <v>98.899999999999991</v>
      </c>
      <c r="AE274" s="95">
        <v>94</v>
      </c>
      <c r="AF274" s="67">
        <f>INT(((AE274*Valores!$C$2)*100)+0.5)/100</f>
        <v>424.19</v>
      </c>
      <c r="AG274" s="67">
        <f>Valores!$D$49*E274</f>
        <v>402.5</v>
      </c>
      <c r="AH274" s="67">
        <f>Valores!$D$50*E274</f>
        <v>115</v>
      </c>
      <c r="AI274" s="123">
        <f t="shared" si="56"/>
        <v>26620.909999999996</v>
      </c>
      <c r="AJ274" s="69">
        <f>Valores!$C$13*E274</f>
        <v>383.41</v>
      </c>
      <c r="AK274" s="124">
        <f t="shared" si="54"/>
        <v>383.41</v>
      </c>
      <c r="AL274" s="68">
        <f t="shared" si="55"/>
        <v>6506.2192999999988</v>
      </c>
      <c r="AM274" s="79">
        <f t="shared" si="59"/>
        <v>168.66</v>
      </c>
      <c r="AN274" s="20"/>
      <c r="AO274" s="47">
        <f t="shared" si="49"/>
        <v>92</v>
      </c>
      <c r="AP274" s="9" t="s">
        <v>465</v>
      </c>
    </row>
    <row r="275" spans="1:42" s="9" customFormat="1" ht="11.25" customHeight="1" x14ac:dyDescent="0.15">
      <c r="A275" s="9">
        <v>274</v>
      </c>
      <c r="D275" s="9" t="s">
        <v>356</v>
      </c>
      <c r="E275" s="9">
        <v>24</v>
      </c>
      <c r="F275" s="10" t="str">
        <f>CONCATENATE("Hora Cátedra Enseñanza Media ",E275," hs")</f>
        <v>Hora Cátedra Enseñanza Media 24 hs</v>
      </c>
      <c r="G275" s="102">
        <f t="shared" si="50"/>
        <v>1896</v>
      </c>
      <c r="H275" s="7">
        <f>INT((G275*Valores!$C$2*100)+0.5)/100</f>
        <v>8556.08</v>
      </c>
      <c r="I275" s="115">
        <v>0</v>
      </c>
      <c r="J275" s="67">
        <f>INT((I275*Valores!$C$2*100)+0.5)/100</f>
        <v>0</v>
      </c>
      <c r="K275" s="131">
        <v>0</v>
      </c>
      <c r="L275" s="67">
        <f>INT((K275*Valores!$C$2*100)+0.5)/100</f>
        <v>0</v>
      </c>
      <c r="M275" s="99">
        <v>0</v>
      </c>
      <c r="N275" s="67">
        <f>INT((M275*Valores!$C$2*100)+0.5)/100</f>
        <v>0</v>
      </c>
      <c r="O275" s="67">
        <f t="shared" si="57"/>
        <v>0</v>
      </c>
      <c r="P275" s="67">
        <f t="shared" si="58"/>
        <v>10867.487999999999</v>
      </c>
      <c r="Q275" s="53">
        <f>Valores!$C$10*E275</f>
        <v>2136</v>
      </c>
      <c r="R275" s="53">
        <f>IF(E275&lt;15,(Valores!$D$9/15*E275),Valores!$D$9)</f>
        <v>2018.53</v>
      </c>
      <c r="S275" s="67">
        <v>0</v>
      </c>
      <c r="T275" s="69">
        <f>Valores!$C$43*E275</f>
        <v>500.15999999999997</v>
      </c>
      <c r="U275" s="53">
        <f>Valores!$C$11*E275</f>
        <v>1092</v>
      </c>
      <c r="V275" s="67">
        <f t="shared" si="44"/>
        <v>2402.4</v>
      </c>
      <c r="W275" s="67">
        <v>0</v>
      </c>
      <c r="X275" s="67">
        <v>0</v>
      </c>
      <c r="Y275" s="33">
        <v>0</v>
      </c>
      <c r="Z275" s="67">
        <f>Y275*Valores!$C$2</f>
        <v>0</v>
      </c>
      <c r="AA275" s="67">
        <v>0</v>
      </c>
      <c r="AB275" s="79">
        <f t="shared" si="48"/>
        <v>124.08</v>
      </c>
      <c r="AC275" s="67">
        <f t="shared" si="53"/>
        <v>0</v>
      </c>
      <c r="AD275" s="67">
        <f t="shared" si="51"/>
        <v>103.19999999999999</v>
      </c>
      <c r="AE275" s="95">
        <v>0</v>
      </c>
      <c r="AF275" s="67">
        <f>INT(((AE275*Valores!$C$2)*100)+0.5)/100</f>
        <v>0</v>
      </c>
      <c r="AG275" s="67">
        <f>Valores!$D$49*E275</f>
        <v>420</v>
      </c>
      <c r="AH275" s="67">
        <f>Valores!$D$50*E275</f>
        <v>120</v>
      </c>
      <c r="AI275" s="123">
        <f t="shared" si="56"/>
        <v>27247.938000000002</v>
      </c>
      <c r="AJ275" s="69">
        <f>Valores!$C$13*E275</f>
        <v>400.08000000000004</v>
      </c>
      <c r="AK275" s="124">
        <f t="shared" si="54"/>
        <v>400.08000000000004</v>
      </c>
      <c r="AL275" s="68">
        <f t="shared" si="55"/>
        <v>6667.10574</v>
      </c>
      <c r="AM275" s="79">
        <f t="shared" si="59"/>
        <v>175.99</v>
      </c>
      <c r="AN275" s="20"/>
      <c r="AO275" s="20">
        <f t="shared" si="49"/>
        <v>96</v>
      </c>
      <c r="AP275" s="9" t="s">
        <v>465</v>
      </c>
    </row>
    <row r="276" spans="1:42" s="9" customFormat="1" ht="11.25" customHeight="1" x14ac:dyDescent="0.15">
      <c r="A276" s="43">
        <v>275</v>
      </c>
      <c r="B276" s="43" t="s">
        <v>460</v>
      </c>
      <c r="C276" s="43"/>
      <c r="D276" s="43" t="s">
        <v>356</v>
      </c>
      <c r="E276" s="43">
        <v>24</v>
      </c>
      <c r="F276" s="44" t="str">
        <f>CONCATENATE("Hora Cátedra Enseñanza Media ",E276," hs Esc Esp")</f>
        <v>Hora Cátedra Enseñanza Media 24 hs Esc Esp</v>
      </c>
      <c r="G276" s="103">
        <f t="shared" si="50"/>
        <v>1896</v>
      </c>
      <c r="H276" s="110">
        <f>INT((G276*Valores!$C$2*100)+0.5)/100</f>
        <v>8556.08</v>
      </c>
      <c r="I276" s="114">
        <v>0</v>
      </c>
      <c r="J276" s="70">
        <f>INT((I276*Valores!$C$2*100)+0.5)/100</f>
        <v>0</v>
      </c>
      <c r="K276" s="132">
        <v>0</v>
      </c>
      <c r="L276" s="70">
        <f>INT((K276*Valores!$C$2*100)+0.5)/100</f>
        <v>0</v>
      </c>
      <c r="M276" s="100">
        <v>0</v>
      </c>
      <c r="N276" s="70">
        <f>INT((M276*Valores!$C$2*100)+0.5)/100</f>
        <v>0</v>
      </c>
      <c r="O276" s="70">
        <f t="shared" si="57"/>
        <v>0</v>
      </c>
      <c r="P276" s="70">
        <f t="shared" si="58"/>
        <v>10867.487999999999</v>
      </c>
      <c r="Q276" s="75">
        <f>Valores!$C$10*E276</f>
        <v>2136</v>
      </c>
      <c r="R276" s="75">
        <f>IF(E276&lt;15,(Valores!$D$9/15*E276),Valores!$D$9)</f>
        <v>2018.53</v>
      </c>
      <c r="S276" s="70">
        <v>0</v>
      </c>
      <c r="T276" s="72">
        <f>Valores!$C$43*E276</f>
        <v>500.15999999999997</v>
      </c>
      <c r="U276" s="75">
        <f>Valores!$C$11*E276</f>
        <v>1092</v>
      </c>
      <c r="V276" s="70">
        <f t="shared" si="44"/>
        <v>2402.4</v>
      </c>
      <c r="W276" s="70">
        <v>0</v>
      </c>
      <c r="X276" s="70">
        <v>0</v>
      </c>
      <c r="Y276" s="52">
        <v>0</v>
      </c>
      <c r="Z276" s="70">
        <f>Y276*Valores!$C$2</f>
        <v>0</v>
      </c>
      <c r="AA276" s="70">
        <v>0</v>
      </c>
      <c r="AB276" s="80">
        <f t="shared" si="48"/>
        <v>124.08</v>
      </c>
      <c r="AC276" s="70">
        <f t="shared" si="53"/>
        <v>0</v>
      </c>
      <c r="AD276" s="70">
        <f t="shared" si="51"/>
        <v>103.19999999999999</v>
      </c>
      <c r="AE276" s="94">
        <v>94</v>
      </c>
      <c r="AF276" s="70">
        <f>INT(((AE276*Valores!$C$2)*100)+0.5)/100</f>
        <v>424.19</v>
      </c>
      <c r="AG276" s="70">
        <f>Valores!$D$49*E276</f>
        <v>420</v>
      </c>
      <c r="AH276" s="70">
        <f>Valores!$D$50*E276</f>
        <v>120</v>
      </c>
      <c r="AI276" s="125">
        <f t="shared" si="56"/>
        <v>27672.128000000001</v>
      </c>
      <c r="AJ276" s="72">
        <f>Valores!$C$13*E276</f>
        <v>400.08000000000004</v>
      </c>
      <c r="AK276" s="126">
        <f t="shared" si="54"/>
        <v>400.08000000000004</v>
      </c>
      <c r="AL276" s="71">
        <f t="shared" si="55"/>
        <v>6764.6694399999997</v>
      </c>
      <c r="AM276" s="80">
        <f t="shared" si="59"/>
        <v>175.99</v>
      </c>
      <c r="AN276" s="47"/>
      <c r="AO276" s="20">
        <f t="shared" si="49"/>
        <v>96</v>
      </c>
      <c r="AP276" s="43" t="s">
        <v>465</v>
      </c>
    </row>
    <row r="277" spans="1:42" s="9" customFormat="1" ht="11.25" customHeight="1" x14ac:dyDescent="0.15">
      <c r="A277" s="9">
        <v>276</v>
      </c>
      <c r="D277" s="9" t="s">
        <v>356</v>
      </c>
      <c r="E277" s="9">
        <v>25</v>
      </c>
      <c r="F277" s="10" t="str">
        <f>CONCATENATE("Hora Cátedra Enseñanza Media ",E277," hs")</f>
        <v>Hora Cátedra Enseñanza Media 25 hs</v>
      </c>
      <c r="G277" s="102">
        <f t="shared" si="50"/>
        <v>1975</v>
      </c>
      <c r="H277" s="7">
        <f>INT((G277*Valores!$C$2*100)+0.5)/100</f>
        <v>8912.58</v>
      </c>
      <c r="I277" s="115">
        <v>0</v>
      </c>
      <c r="J277" s="67">
        <f>INT((I277*Valores!$C$2*100)+0.5)/100</f>
        <v>0</v>
      </c>
      <c r="K277" s="131">
        <v>0</v>
      </c>
      <c r="L277" s="67">
        <f>INT((K277*Valores!$C$2*100)+0.5)/100</f>
        <v>0</v>
      </c>
      <c r="M277" s="99">
        <v>0</v>
      </c>
      <c r="N277" s="67">
        <f>INT((M277*Valores!$C$2*100)+0.5)/100</f>
        <v>0</v>
      </c>
      <c r="O277" s="67">
        <f t="shared" si="57"/>
        <v>0</v>
      </c>
      <c r="P277" s="67">
        <f t="shared" si="58"/>
        <v>11320.296</v>
      </c>
      <c r="Q277" s="53">
        <f>Valores!$C$10*E277</f>
        <v>2225</v>
      </c>
      <c r="R277" s="53">
        <f>IF(E277&lt;15,(Valores!$D$9/15*E277),Valores!$D$9)</f>
        <v>2018.53</v>
      </c>
      <c r="S277" s="67">
        <v>0</v>
      </c>
      <c r="T277" s="69">
        <f>Valores!$C$43*E277</f>
        <v>521</v>
      </c>
      <c r="U277" s="53">
        <f>Valores!$C$11*E277</f>
        <v>1137.5</v>
      </c>
      <c r="V277" s="67">
        <f t="shared" si="44"/>
        <v>2502.5</v>
      </c>
      <c r="W277" s="67">
        <v>0</v>
      </c>
      <c r="X277" s="67">
        <v>0</v>
      </c>
      <c r="Y277" s="33">
        <v>0</v>
      </c>
      <c r="Z277" s="67">
        <f>Y277*Valores!$C$2</f>
        <v>0</v>
      </c>
      <c r="AA277" s="67">
        <v>0</v>
      </c>
      <c r="AB277" s="79">
        <f t="shared" si="48"/>
        <v>129.25</v>
      </c>
      <c r="AC277" s="67">
        <f t="shared" si="53"/>
        <v>0</v>
      </c>
      <c r="AD277" s="67">
        <f t="shared" si="51"/>
        <v>107.5</v>
      </c>
      <c r="AE277" s="95">
        <v>0</v>
      </c>
      <c r="AF277" s="67">
        <f>INT(((AE277*Valores!$C$2)*100)+0.5)/100</f>
        <v>0</v>
      </c>
      <c r="AG277" s="67">
        <f>Valores!$D$49*E277</f>
        <v>437.5</v>
      </c>
      <c r="AH277" s="67">
        <f>Valores!$D$50*E277</f>
        <v>125</v>
      </c>
      <c r="AI277" s="123">
        <f t="shared" si="56"/>
        <v>28299.155999999999</v>
      </c>
      <c r="AJ277" s="69">
        <f>Valores!$C$13*E277</f>
        <v>416.75000000000006</v>
      </c>
      <c r="AK277" s="124">
        <f t="shared" si="54"/>
        <v>416.75000000000006</v>
      </c>
      <c r="AL277" s="68">
        <f t="shared" si="55"/>
        <v>6925.555879999999</v>
      </c>
      <c r="AM277" s="79">
        <f t="shared" si="59"/>
        <v>183.32</v>
      </c>
      <c r="AN277" s="20"/>
      <c r="AO277" s="20">
        <f t="shared" si="49"/>
        <v>100</v>
      </c>
      <c r="AP277" s="9" t="s">
        <v>465</v>
      </c>
    </row>
    <row r="278" spans="1:42" s="9" customFormat="1" ht="11.25" customHeight="1" x14ac:dyDescent="0.15">
      <c r="A278" s="9">
        <v>277</v>
      </c>
      <c r="D278" s="9" t="s">
        <v>356</v>
      </c>
      <c r="E278" s="9">
        <v>25</v>
      </c>
      <c r="F278" s="10" t="str">
        <f>CONCATENATE("Hora Cátedra Enseñanza Media ",E278," hs Esc Esp")</f>
        <v>Hora Cátedra Enseñanza Media 25 hs Esc Esp</v>
      </c>
      <c r="G278" s="102">
        <f t="shared" si="50"/>
        <v>1975</v>
      </c>
      <c r="H278" s="7">
        <f>INT((G278*Valores!$C$2*100)+0.5)/100</f>
        <v>8912.58</v>
      </c>
      <c r="I278" s="115">
        <v>0</v>
      </c>
      <c r="J278" s="67">
        <f>INT((I278*Valores!$C$2*100)+0.5)/100</f>
        <v>0</v>
      </c>
      <c r="K278" s="131">
        <v>0</v>
      </c>
      <c r="L278" s="67">
        <f>INT((K278*Valores!$C$2*100)+0.5)/100</f>
        <v>0</v>
      </c>
      <c r="M278" s="99">
        <v>0</v>
      </c>
      <c r="N278" s="67">
        <f>INT((M278*Valores!$C$2*100)+0.5)/100</f>
        <v>0</v>
      </c>
      <c r="O278" s="67">
        <f t="shared" si="57"/>
        <v>0</v>
      </c>
      <c r="P278" s="67">
        <f t="shared" si="58"/>
        <v>11320.296</v>
      </c>
      <c r="Q278" s="53">
        <f>Valores!$C$10*E278</f>
        <v>2225</v>
      </c>
      <c r="R278" s="53">
        <f>IF(E278&lt;15,(Valores!$D$9/15*E278),Valores!$D$9)</f>
        <v>2018.53</v>
      </c>
      <c r="S278" s="67">
        <v>0</v>
      </c>
      <c r="T278" s="69">
        <f>Valores!$C$43*E278</f>
        <v>521</v>
      </c>
      <c r="U278" s="53">
        <f>Valores!$C$11*E278</f>
        <v>1137.5</v>
      </c>
      <c r="V278" s="67">
        <f t="shared" si="44"/>
        <v>2502.5</v>
      </c>
      <c r="W278" s="67">
        <v>0</v>
      </c>
      <c r="X278" s="67">
        <v>0</v>
      </c>
      <c r="Y278" s="33">
        <v>0</v>
      </c>
      <c r="Z278" s="67">
        <f>Y278*Valores!$C$2</f>
        <v>0</v>
      </c>
      <c r="AA278" s="67">
        <v>0</v>
      </c>
      <c r="AB278" s="79">
        <f t="shared" si="48"/>
        <v>129.25</v>
      </c>
      <c r="AC278" s="67">
        <f t="shared" si="53"/>
        <v>0</v>
      </c>
      <c r="AD278" s="67">
        <f t="shared" si="51"/>
        <v>107.5</v>
      </c>
      <c r="AE278" s="95">
        <v>94</v>
      </c>
      <c r="AF278" s="67">
        <f>INT(((AE278*Valores!$C$2)*100)+0.5)/100</f>
        <v>424.19</v>
      </c>
      <c r="AG278" s="67">
        <f>Valores!$D$49*E278</f>
        <v>437.5</v>
      </c>
      <c r="AH278" s="67">
        <f>Valores!$D$50*E278</f>
        <v>125</v>
      </c>
      <c r="AI278" s="123">
        <f t="shared" si="56"/>
        <v>28723.345999999998</v>
      </c>
      <c r="AJ278" s="69">
        <f>Valores!$C$13*E278</f>
        <v>416.75000000000006</v>
      </c>
      <c r="AK278" s="124">
        <f t="shared" si="54"/>
        <v>416.75000000000006</v>
      </c>
      <c r="AL278" s="68">
        <f t="shared" si="55"/>
        <v>7023.1195799999987</v>
      </c>
      <c r="AM278" s="79">
        <f t="shared" si="59"/>
        <v>183.32</v>
      </c>
      <c r="AN278" s="20"/>
      <c r="AO278" s="20">
        <f t="shared" si="49"/>
        <v>100</v>
      </c>
      <c r="AP278" s="9" t="s">
        <v>465</v>
      </c>
    </row>
    <row r="279" spans="1:42" s="9" customFormat="1" ht="11.25" customHeight="1" x14ac:dyDescent="0.15">
      <c r="A279" s="9">
        <v>278</v>
      </c>
      <c r="D279" s="9" t="s">
        <v>356</v>
      </c>
      <c r="E279" s="9">
        <v>26</v>
      </c>
      <c r="F279" s="10" t="str">
        <f>CONCATENATE("Hora Cátedra Enseñanza Media ",E279," hs")</f>
        <v>Hora Cátedra Enseñanza Media 26 hs</v>
      </c>
      <c r="G279" s="102">
        <f t="shared" si="50"/>
        <v>2054</v>
      </c>
      <c r="H279" s="7">
        <f>INT((G279*Valores!$C$2*100)+0.5)/100</f>
        <v>9269.09</v>
      </c>
      <c r="I279" s="115">
        <v>0</v>
      </c>
      <c r="J279" s="67">
        <f>INT((I279*Valores!$C$2*100)+0.5)/100</f>
        <v>0</v>
      </c>
      <c r="K279" s="131">
        <v>0</v>
      </c>
      <c r="L279" s="67">
        <f>INT((K279*Valores!$C$2*100)+0.5)/100</f>
        <v>0</v>
      </c>
      <c r="M279" s="99">
        <v>0</v>
      </c>
      <c r="N279" s="67">
        <f>INT((M279*Valores!$C$2*100)+0.5)/100</f>
        <v>0</v>
      </c>
      <c r="O279" s="67">
        <f t="shared" si="57"/>
        <v>0</v>
      </c>
      <c r="P279" s="67">
        <f t="shared" si="58"/>
        <v>11773.116</v>
      </c>
      <c r="Q279" s="53">
        <f>Valores!$C$10*E279</f>
        <v>2314</v>
      </c>
      <c r="R279" s="53">
        <f>IF(E279&lt;15,(Valores!$D$9/15*E279),Valores!$D$9)</f>
        <v>2018.53</v>
      </c>
      <c r="S279" s="67">
        <v>0</v>
      </c>
      <c r="T279" s="69">
        <f>Valores!$C$43*E279</f>
        <v>541.84</v>
      </c>
      <c r="U279" s="53">
        <f>Valores!$C$11*E279</f>
        <v>1183</v>
      </c>
      <c r="V279" s="67">
        <f t="shared" si="44"/>
        <v>2602.6000000000004</v>
      </c>
      <c r="W279" s="67">
        <v>0</v>
      </c>
      <c r="X279" s="67">
        <v>0</v>
      </c>
      <c r="Y279" s="33">
        <v>0</v>
      </c>
      <c r="Z279" s="67">
        <f>Y279*Valores!$C$2</f>
        <v>0</v>
      </c>
      <c r="AA279" s="67">
        <v>0</v>
      </c>
      <c r="AB279" s="79">
        <f t="shared" si="48"/>
        <v>134.41999999999999</v>
      </c>
      <c r="AC279" s="67">
        <f t="shared" si="53"/>
        <v>0</v>
      </c>
      <c r="AD279" s="67">
        <f t="shared" si="51"/>
        <v>111.8</v>
      </c>
      <c r="AE279" s="95">
        <v>0</v>
      </c>
      <c r="AF279" s="67">
        <f>INT(((AE279*Valores!$C$2)*100)+0.5)/100</f>
        <v>0</v>
      </c>
      <c r="AG279" s="67">
        <f>Valores!$D$49*E279</f>
        <v>455</v>
      </c>
      <c r="AH279" s="67">
        <f>Valores!$D$50*E279</f>
        <v>130</v>
      </c>
      <c r="AI279" s="123">
        <f t="shared" si="56"/>
        <v>29350.395999999993</v>
      </c>
      <c r="AJ279" s="69">
        <f>Valores!$C$13*E279</f>
        <v>433.42000000000007</v>
      </c>
      <c r="AK279" s="124">
        <f t="shared" si="54"/>
        <v>433.42000000000007</v>
      </c>
      <c r="AL279" s="68">
        <f t="shared" si="55"/>
        <v>7184.0110799999984</v>
      </c>
      <c r="AM279" s="79">
        <f t="shared" si="59"/>
        <v>190.65</v>
      </c>
      <c r="AN279" s="20"/>
      <c r="AO279" s="47">
        <f t="shared" si="49"/>
        <v>104</v>
      </c>
      <c r="AP279" s="9" t="s">
        <v>465</v>
      </c>
    </row>
    <row r="280" spans="1:42" s="9" customFormat="1" ht="11.25" customHeight="1" x14ac:dyDescent="0.15">
      <c r="A280" s="9">
        <v>279</v>
      </c>
      <c r="D280" s="9" t="s">
        <v>356</v>
      </c>
      <c r="E280" s="9">
        <v>26</v>
      </c>
      <c r="F280" s="10" t="str">
        <f>CONCATENATE("Hora Cátedra Enseñanza Media ",E280," hs Esc Esp")</f>
        <v>Hora Cátedra Enseñanza Media 26 hs Esc Esp</v>
      </c>
      <c r="G280" s="102">
        <f t="shared" si="50"/>
        <v>2054</v>
      </c>
      <c r="H280" s="7">
        <f>INT((G280*Valores!$C$2*100)+0.5)/100</f>
        <v>9269.09</v>
      </c>
      <c r="I280" s="115">
        <v>0</v>
      </c>
      <c r="J280" s="67">
        <f>INT((I280*Valores!$C$2*100)+0.5)/100</f>
        <v>0</v>
      </c>
      <c r="K280" s="131">
        <v>0</v>
      </c>
      <c r="L280" s="67">
        <f>INT((K280*Valores!$C$2*100)+0.5)/100</f>
        <v>0</v>
      </c>
      <c r="M280" s="99">
        <v>0</v>
      </c>
      <c r="N280" s="67">
        <f>INT((M280*Valores!$C$2*100)+0.5)/100</f>
        <v>0</v>
      </c>
      <c r="O280" s="67">
        <f t="shared" si="57"/>
        <v>0</v>
      </c>
      <c r="P280" s="67">
        <f t="shared" si="58"/>
        <v>11773.116</v>
      </c>
      <c r="Q280" s="53">
        <f>Valores!$C$10*E280</f>
        <v>2314</v>
      </c>
      <c r="R280" s="53">
        <f>IF(E280&lt;15,(Valores!$D$9/15*E280),Valores!$D$9)</f>
        <v>2018.53</v>
      </c>
      <c r="S280" s="67">
        <v>0</v>
      </c>
      <c r="T280" s="69">
        <f>Valores!$C$43*E280</f>
        <v>541.84</v>
      </c>
      <c r="U280" s="53">
        <f>Valores!$C$11*E280</f>
        <v>1183</v>
      </c>
      <c r="V280" s="67">
        <f t="shared" si="44"/>
        <v>2602.6000000000004</v>
      </c>
      <c r="W280" s="67">
        <v>0</v>
      </c>
      <c r="X280" s="67">
        <v>0</v>
      </c>
      <c r="Y280" s="33">
        <v>0</v>
      </c>
      <c r="Z280" s="67">
        <f>Y280*Valores!$C$2</f>
        <v>0</v>
      </c>
      <c r="AA280" s="67">
        <v>0</v>
      </c>
      <c r="AB280" s="79">
        <f t="shared" si="48"/>
        <v>134.41999999999999</v>
      </c>
      <c r="AC280" s="67">
        <f t="shared" si="53"/>
        <v>0</v>
      </c>
      <c r="AD280" s="67">
        <f t="shared" si="51"/>
        <v>111.8</v>
      </c>
      <c r="AE280" s="95">
        <v>94</v>
      </c>
      <c r="AF280" s="67">
        <f>INT(((AE280*Valores!$C$2)*100)+0.5)/100</f>
        <v>424.19</v>
      </c>
      <c r="AG280" s="67">
        <f>Valores!$D$49*E280</f>
        <v>455</v>
      </c>
      <c r="AH280" s="67">
        <f>Valores!$D$50*E280</f>
        <v>130</v>
      </c>
      <c r="AI280" s="123">
        <f t="shared" si="56"/>
        <v>29774.585999999992</v>
      </c>
      <c r="AJ280" s="69">
        <f>Valores!$C$13*E280</f>
        <v>433.42000000000007</v>
      </c>
      <c r="AK280" s="124">
        <f t="shared" si="54"/>
        <v>433.42000000000007</v>
      </c>
      <c r="AL280" s="68">
        <f t="shared" si="55"/>
        <v>7281.5747799999981</v>
      </c>
      <c r="AM280" s="79">
        <f t="shared" si="59"/>
        <v>190.65</v>
      </c>
      <c r="AN280" s="20"/>
      <c r="AO280" s="20">
        <f t="shared" si="49"/>
        <v>104</v>
      </c>
      <c r="AP280" s="9" t="s">
        <v>465</v>
      </c>
    </row>
    <row r="281" spans="1:42" s="9" customFormat="1" ht="11.25" customHeight="1" x14ac:dyDescent="0.15">
      <c r="A281" s="43">
        <v>280</v>
      </c>
      <c r="B281" s="43" t="s">
        <v>460</v>
      </c>
      <c r="C281" s="43"/>
      <c r="D281" s="43" t="s">
        <v>356</v>
      </c>
      <c r="E281" s="43">
        <v>27</v>
      </c>
      <c r="F281" s="44" t="str">
        <f>CONCATENATE("Hora Cátedra Enseñanza Media ",E281," hs")</f>
        <v>Hora Cátedra Enseñanza Media 27 hs</v>
      </c>
      <c r="G281" s="103">
        <f t="shared" si="50"/>
        <v>2133</v>
      </c>
      <c r="H281" s="110">
        <f>INT((G281*Valores!$C$2*100)+0.5)/100</f>
        <v>9625.59</v>
      </c>
      <c r="I281" s="114">
        <v>0</v>
      </c>
      <c r="J281" s="70">
        <f>INT((I281*Valores!$C$2*100)+0.5)/100</f>
        <v>0</v>
      </c>
      <c r="K281" s="132">
        <v>0</v>
      </c>
      <c r="L281" s="70">
        <f>INT((K281*Valores!$C$2*100)+0.5)/100</f>
        <v>0</v>
      </c>
      <c r="M281" s="100">
        <v>0</v>
      </c>
      <c r="N281" s="70">
        <f>INT((M281*Valores!$C$2*100)+0.5)/100</f>
        <v>0</v>
      </c>
      <c r="O281" s="70">
        <f t="shared" si="57"/>
        <v>0</v>
      </c>
      <c r="P281" s="70">
        <f t="shared" si="58"/>
        <v>12225.924000000001</v>
      </c>
      <c r="Q281" s="75">
        <f>Valores!$C$10*E281</f>
        <v>2403</v>
      </c>
      <c r="R281" s="75">
        <f>IF(E281&lt;15,(Valores!$D$9/15*E281),Valores!$D$9)</f>
        <v>2018.53</v>
      </c>
      <c r="S281" s="70">
        <v>0</v>
      </c>
      <c r="T281" s="72">
        <f>Valores!$C$43*E281</f>
        <v>562.67999999999995</v>
      </c>
      <c r="U281" s="75">
        <f>Valores!$C$11*E281</f>
        <v>1228.5</v>
      </c>
      <c r="V281" s="70">
        <f t="shared" si="44"/>
        <v>2702.7000000000003</v>
      </c>
      <c r="W281" s="70">
        <v>0</v>
      </c>
      <c r="X281" s="70">
        <v>0</v>
      </c>
      <c r="Y281" s="52">
        <v>0</v>
      </c>
      <c r="Z281" s="70">
        <f>Y281*Valores!$C$2</f>
        <v>0</v>
      </c>
      <c r="AA281" s="70">
        <v>0</v>
      </c>
      <c r="AB281" s="80">
        <f t="shared" si="48"/>
        <v>139.59</v>
      </c>
      <c r="AC281" s="70">
        <f t="shared" si="53"/>
        <v>0</v>
      </c>
      <c r="AD281" s="70">
        <f t="shared" si="51"/>
        <v>116.1</v>
      </c>
      <c r="AE281" s="94">
        <v>0</v>
      </c>
      <c r="AF281" s="70">
        <f>INT(((AE281*Valores!$C$2)*100)+0.5)/100</f>
        <v>0</v>
      </c>
      <c r="AG281" s="70">
        <f>Valores!$D$49*E281</f>
        <v>472.5</v>
      </c>
      <c r="AH281" s="70">
        <f>Valores!$D$50*E281</f>
        <v>135</v>
      </c>
      <c r="AI281" s="125">
        <f t="shared" si="56"/>
        <v>30401.614000000001</v>
      </c>
      <c r="AJ281" s="72">
        <f>Valores!$C$13*E281</f>
        <v>450.09000000000003</v>
      </c>
      <c r="AK281" s="126">
        <f t="shared" si="54"/>
        <v>450.09000000000003</v>
      </c>
      <c r="AL281" s="71">
        <f t="shared" si="55"/>
        <v>7442.4612200000001</v>
      </c>
      <c r="AM281" s="80">
        <f t="shared" si="59"/>
        <v>197.98</v>
      </c>
      <c r="AN281" s="47"/>
      <c r="AO281" s="20">
        <f t="shared" si="49"/>
        <v>108</v>
      </c>
      <c r="AP281" s="43" t="s">
        <v>465</v>
      </c>
    </row>
    <row r="282" spans="1:42" s="9" customFormat="1" ht="11.25" customHeight="1" x14ac:dyDescent="0.15">
      <c r="A282" s="9">
        <v>281</v>
      </c>
      <c r="D282" s="9" t="s">
        <v>356</v>
      </c>
      <c r="E282" s="9">
        <v>27</v>
      </c>
      <c r="F282" s="10" t="str">
        <f>CONCATENATE("Hora Cátedra Enseñanza Media ",E282," hs Esc Esp")</f>
        <v>Hora Cátedra Enseñanza Media 27 hs Esc Esp</v>
      </c>
      <c r="G282" s="102">
        <f t="shared" si="50"/>
        <v>2133</v>
      </c>
      <c r="H282" s="7">
        <f>INT((G282*Valores!$C$2*100)+0.5)/100</f>
        <v>9625.59</v>
      </c>
      <c r="I282" s="115">
        <v>0</v>
      </c>
      <c r="J282" s="67">
        <f>INT((I282*Valores!$C$2*100)+0.5)/100</f>
        <v>0</v>
      </c>
      <c r="K282" s="131">
        <v>0</v>
      </c>
      <c r="L282" s="67">
        <f>INT((K282*Valores!$C$2*100)+0.5)/100</f>
        <v>0</v>
      </c>
      <c r="M282" s="99">
        <v>0</v>
      </c>
      <c r="N282" s="67">
        <f>INT((M282*Valores!$C$2*100)+0.5)/100</f>
        <v>0</v>
      </c>
      <c r="O282" s="67">
        <f t="shared" si="57"/>
        <v>0</v>
      </c>
      <c r="P282" s="67">
        <f t="shared" si="58"/>
        <v>12225.924000000001</v>
      </c>
      <c r="Q282" s="53">
        <f>Valores!$C$10*E282</f>
        <v>2403</v>
      </c>
      <c r="R282" s="53">
        <f>IF(E282&lt;15,(Valores!$D$9/15*E282),Valores!$D$9)</f>
        <v>2018.53</v>
      </c>
      <c r="S282" s="67">
        <v>0</v>
      </c>
      <c r="T282" s="69">
        <f>Valores!$C$43*E282</f>
        <v>562.67999999999995</v>
      </c>
      <c r="U282" s="53">
        <f>Valores!$C$11*E282</f>
        <v>1228.5</v>
      </c>
      <c r="V282" s="67">
        <f t="shared" si="44"/>
        <v>2702.7000000000003</v>
      </c>
      <c r="W282" s="67">
        <v>0</v>
      </c>
      <c r="X282" s="67">
        <v>0</v>
      </c>
      <c r="Y282" s="33">
        <v>0</v>
      </c>
      <c r="Z282" s="67">
        <f>Y282*Valores!$C$2</f>
        <v>0</v>
      </c>
      <c r="AA282" s="67">
        <v>0</v>
      </c>
      <c r="AB282" s="79">
        <f t="shared" si="48"/>
        <v>139.59</v>
      </c>
      <c r="AC282" s="67">
        <f t="shared" si="53"/>
        <v>0</v>
      </c>
      <c r="AD282" s="67">
        <f t="shared" si="51"/>
        <v>116.1</v>
      </c>
      <c r="AE282" s="95">
        <v>94</v>
      </c>
      <c r="AF282" s="67">
        <f>INT(((AE282*Valores!$C$2)*100)+0.5)/100</f>
        <v>424.19</v>
      </c>
      <c r="AG282" s="67">
        <f>Valores!$D$49*E282</f>
        <v>472.5</v>
      </c>
      <c r="AH282" s="67">
        <f>Valores!$D$50*E282</f>
        <v>135</v>
      </c>
      <c r="AI282" s="123">
        <f t="shared" si="56"/>
        <v>30825.804</v>
      </c>
      <c r="AJ282" s="69">
        <f>Valores!$C$13*E282</f>
        <v>450.09000000000003</v>
      </c>
      <c r="AK282" s="124">
        <f t="shared" si="54"/>
        <v>450.09000000000003</v>
      </c>
      <c r="AL282" s="68">
        <f t="shared" si="55"/>
        <v>7540.0249199999998</v>
      </c>
      <c r="AM282" s="79">
        <f t="shared" si="59"/>
        <v>197.98</v>
      </c>
      <c r="AN282" s="20"/>
      <c r="AO282" s="20">
        <f t="shared" si="49"/>
        <v>108</v>
      </c>
      <c r="AP282" s="9" t="s">
        <v>465</v>
      </c>
    </row>
    <row r="283" spans="1:42" s="9" customFormat="1" ht="11.25" customHeight="1" x14ac:dyDescent="0.15">
      <c r="A283" s="9">
        <v>282</v>
      </c>
      <c r="D283" s="9" t="s">
        <v>356</v>
      </c>
      <c r="E283" s="9">
        <v>28</v>
      </c>
      <c r="F283" s="10" t="str">
        <f>CONCATENATE("Hora Cátedra Enseñanza Media ",E283," hs")</f>
        <v>Hora Cátedra Enseñanza Media 28 hs</v>
      </c>
      <c r="G283" s="102">
        <f t="shared" si="50"/>
        <v>2212</v>
      </c>
      <c r="H283" s="7">
        <f>INT((G283*Valores!$C$2*100)+0.5)/100</f>
        <v>9982.09</v>
      </c>
      <c r="I283" s="115">
        <v>0</v>
      </c>
      <c r="J283" s="67">
        <f>INT((I283*Valores!$C$2*100)+0.5)/100</f>
        <v>0</v>
      </c>
      <c r="K283" s="131">
        <v>0</v>
      </c>
      <c r="L283" s="67">
        <f>INT((K283*Valores!$C$2*100)+0.5)/100</f>
        <v>0</v>
      </c>
      <c r="M283" s="99">
        <v>0</v>
      </c>
      <c r="N283" s="67">
        <f>INT((M283*Valores!$C$2*100)+0.5)/100</f>
        <v>0</v>
      </c>
      <c r="O283" s="67">
        <f t="shared" si="57"/>
        <v>0</v>
      </c>
      <c r="P283" s="67">
        <f t="shared" si="58"/>
        <v>12678.732</v>
      </c>
      <c r="Q283" s="53">
        <f>Valores!$C$10*E283</f>
        <v>2492</v>
      </c>
      <c r="R283" s="53">
        <f>IF(E283&lt;15,(Valores!$D$9/15*E283),Valores!$D$9)</f>
        <v>2018.53</v>
      </c>
      <c r="S283" s="67">
        <v>0</v>
      </c>
      <c r="T283" s="69">
        <f>Valores!$C$43*E283</f>
        <v>583.52</v>
      </c>
      <c r="U283" s="53">
        <f>Valores!$C$11*E283</f>
        <v>1274</v>
      </c>
      <c r="V283" s="67">
        <f t="shared" si="44"/>
        <v>2802.8</v>
      </c>
      <c r="W283" s="67">
        <v>0</v>
      </c>
      <c r="X283" s="67">
        <v>0</v>
      </c>
      <c r="Y283" s="33">
        <v>0</v>
      </c>
      <c r="Z283" s="67">
        <f>Y283*Valores!$C$2</f>
        <v>0</v>
      </c>
      <c r="AA283" s="67">
        <v>0</v>
      </c>
      <c r="AB283" s="79">
        <f t="shared" si="48"/>
        <v>144.76</v>
      </c>
      <c r="AC283" s="67">
        <f t="shared" si="53"/>
        <v>0</v>
      </c>
      <c r="AD283" s="67">
        <f t="shared" si="51"/>
        <v>120.39999999999999</v>
      </c>
      <c r="AE283" s="95">
        <v>0</v>
      </c>
      <c r="AF283" s="67">
        <f>INT(((AE283*Valores!$C$2)*100)+0.5)/100</f>
        <v>0</v>
      </c>
      <c r="AG283" s="67">
        <f>Valores!$D$49*E283</f>
        <v>490</v>
      </c>
      <c r="AH283" s="67">
        <f>Valores!$D$50*E283</f>
        <v>140</v>
      </c>
      <c r="AI283" s="123">
        <f t="shared" si="56"/>
        <v>31452.831999999999</v>
      </c>
      <c r="AJ283" s="69">
        <f>Valores!$C$13*E283</f>
        <v>466.76000000000005</v>
      </c>
      <c r="AK283" s="124">
        <f t="shared" si="54"/>
        <v>466.76000000000005</v>
      </c>
      <c r="AL283" s="68">
        <f t="shared" si="55"/>
        <v>7700.9113599999991</v>
      </c>
      <c r="AM283" s="79">
        <f>(7.33*E283)+0.09</f>
        <v>205.33</v>
      </c>
      <c r="AN283" s="20"/>
      <c r="AO283" s="20">
        <f t="shared" si="49"/>
        <v>112</v>
      </c>
      <c r="AP283" s="9" t="s">
        <v>465</v>
      </c>
    </row>
    <row r="284" spans="1:42" s="9" customFormat="1" ht="11.25" customHeight="1" x14ac:dyDescent="0.15">
      <c r="A284" s="9">
        <v>283</v>
      </c>
      <c r="D284" s="9" t="s">
        <v>356</v>
      </c>
      <c r="E284" s="9">
        <v>28</v>
      </c>
      <c r="F284" s="10" t="str">
        <f>CONCATENATE("Hora Cátedra Enseñanza Media ",E284," hs Esc Esp")</f>
        <v>Hora Cátedra Enseñanza Media 28 hs Esc Esp</v>
      </c>
      <c r="G284" s="102">
        <f t="shared" si="50"/>
        <v>2212</v>
      </c>
      <c r="H284" s="7">
        <f>INT((G284*Valores!$C$2*100)+0.5)/100</f>
        <v>9982.09</v>
      </c>
      <c r="I284" s="115">
        <v>0</v>
      </c>
      <c r="J284" s="67">
        <f>INT((I284*Valores!$C$2*100)+0.5)/100</f>
        <v>0</v>
      </c>
      <c r="K284" s="131">
        <v>0</v>
      </c>
      <c r="L284" s="67">
        <f>INT((K284*Valores!$C$2*100)+0.5)/100</f>
        <v>0</v>
      </c>
      <c r="M284" s="99">
        <v>0</v>
      </c>
      <c r="N284" s="67">
        <f>INT((M284*Valores!$C$2*100)+0.5)/100</f>
        <v>0</v>
      </c>
      <c r="O284" s="67">
        <f t="shared" si="57"/>
        <v>0</v>
      </c>
      <c r="P284" s="67">
        <f t="shared" si="58"/>
        <v>12678.732</v>
      </c>
      <c r="Q284" s="53">
        <f>Valores!$C$10*E284</f>
        <v>2492</v>
      </c>
      <c r="R284" s="53">
        <f>IF(E284&lt;15,(Valores!$D$9/15*E284),Valores!$D$9)</f>
        <v>2018.53</v>
      </c>
      <c r="S284" s="67">
        <v>0</v>
      </c>
      <c r="T284" s="69">
        <f>Valores!$C$43*E284</f>
        <v>583.52</v>
      </c>
      <c r="U284" s="53">
        <f>Valores!$C$11*E284</f>
        <v>1274</v>
      </c>
      <c r="V284" s="67">
        <f t="shared" si="44"/>
        <v>2802.8</v>
      </c>
      <c r="W284" s="67">
        <v>0</v>
      </c>
      <c r="X284" s="67">
        <v>0</v>
      </c>
      <c r="Y284" s="33">
        <v>0</v>
      </c>
      <c r="Z284" s="67">
        <f>Y284*Valores!$C$2</f>
        <v>0</v>
      </c>
      <c r="AA284" s="67">
        <v>0</v>
      </c>
      <c r="AB284" s="79">
        <f t="shared" si="48"/>
        <v>144.76</v>
      </c>
      <c r="AC284" s="67">
        <f t="shared" si="53"/>
        <v>0</v>
      </c>
      <c r="AD284" s="67">
        <f t="shared" si="51"/>
        <v>120.39999999999999</v>
      </c>
      <c r="AE284" s="95">
        <v>94</v>
      </c>
      <c r="AF284" s="67">
        <f>INT(((AE284*Valores!$C$2)*100)+0.5)/100</f>
        <v>424.19</v>
      </c>
      <c r="AG284" s="67">
        <f>Valores!$D$49*E284</f>
        <v>490</v>
      </c>
      <c r="AH284" s="67">
        <f>Valores!$D$50*E284</f>
        <v>140</v>
      </c>
      <c r="AI284" s="123">
        <f t="shared" si="56"/>
        <v>31877.021999999997</v>
      </c>
      <c r="AJ284" s="69">
        <f>Valores!$C$13*E284</f>
        <v>466.76000000000005</v>
      </c>
      <c r="AK284" s="124">
        <f t="shared" si="54"/>
        <v>466.76000000000005</v>
      </c>
      <c r="AL284" s="68">
        <f t="shared" si="55"/>
        <v>7798.4750599999988</v>
      </c>
      <c r="AM284" s="79">
        <f>(7.33*E284)+0.09</f>
        <v>205.33</v>
      </c>
      <c r="AN284" s="20"/>
      <c r="AO284" s="47">
        <f t="shared" si="49"/>
        <v>112</v>
      </c>
      <c r="AP284" s="9" t="s">
        <v>465</v>
      </c>
    </row>
    <row r="285" spans="1:42" s="9" customFormat="1" ht="11.25" customHeight="1" x14ac:dyDescent="0.15">
      <c r="A285" s="9">
        <v>284</v>
      </c>
      <c r="D285" s="9" t="s">
        <v>356</v>
      </c>
      <c r="E285" s="9">
        <v>29</v>
      </c>
      <c r="F285" s="10" t="str">
        <f>CONCATENATE("Hora Cátedra Enseñanza Media ",E285," hs")</f>
        <v>Hora Cátedra Enseñanza Media 29 hs</v>
      </c>
      <c r="G285" s="102">
        <f t="shared" si="50"/>
        <v>2291</v>
      </c>
      <c r="H285" s="7">
        <f>INT((G285*Valores!$C$2*100)+0.5)/100</f>
        <v>10338.6</v>
      </c>
      <c r="I285" s="115">
        <v>0</v>
      </c>
      <c r="J285" s="67">
        <f>INT((I285*Valores!$C$2*100)+0.5)/100</f>
        <v>0</v>
      </c>
      <c r="K285" s="131">
        <v>0</v>
      </c>
      <c r="L285" s="67">
        <f>INT((K285*Valores!$C$2*100)+0.5)/100</f>
        <v>0</v>
      </c>
      <c r="M285" s="99">
        <v>0</v>
      </c>
      <c r="N285" s="67">
        <f>INT((M285*Valores!$C$2*100)+0.5)/100</f>
        <v>0</v>
      </c>
      <c r="O285" s="67">
        <f t="shared" si="57"/>
        <v>0</v>
      </c>
      <c r="P285" s="67">
        <f t="shared" si="58"/>
        <v>13131.552000000001</v>
      </c>
      <c r="Q285" s="53">
        <f>Valores!$C$10*E285</f>
        <v>2581</v>
      </c>
      <c r="R285" s="53">
        <f>IF(E285&lt;15,(Valores!$D$9/15*E285),Valores!$D$9)</f>
        <v>2018.53</v>
      </c>
      <c r="S285" s="67">
        <v>0</v>
      </c>
      <c r="T285" s="69">
        <f>Valores!$C$43*E285</f>
        <v>604.36</v>
      </c>
      <c r="U285" s="53">
        <f>Valores!$C$11*E285</f>
        <v>1319.5</v>
      </c>
      <c r="V285" s="67">
        <f t="shared" si="44"/>
        <v>2902.9</v>
      </c>
      <c r="W285" s="67">
        <v>0</v>
      </c>
      <c r="X285" s="67">
        <v>0</v>
      </c>
      <c r="Y285" s="33">
        <v>0</v>
      </c>
      <c r="Z285" s="67">
        <f>Y285*Valores!$C$2</f>
        <v>0</v>
      </c>
      <c r="AA285" s="67">
        <v>0</v>
      </c>
      <c r="AB285" s="79">
        <f t="shared" si="48"/>
        <v>149.93</v>
      </c>
      <c r="AC285" s="67">
        <f t="shared" si="53"/>
        <v>0</v>
      </c>
      <c r="AD285" s="67">
        <f t="shared" si="51"/>
        <v>124.69999999999999</v>
      </c>
      <c r="AE285" s="95">
        <v>0</v>
      </c>
      <c r="AF285" s="67">
        <f>INT(((AE285*Valores!$C$2)*100)+0.5)/100</f>
        <v>0</v>
      </c>
      <c r="AG285" s="67">
        <f>Valores!$D$49*E285</f>
        <v>507.5</v>
      </c>
      <c r="AH285" s="67">
        <f>Valores!$D$50*E285</f>
        <v>145</v>
      </c>
      <c r="AI285" s="123">
        <f t="shared" si="56"/>
        <v>32504.072000000004</v>
      </c>
      <c r="AJ285" s="69">
        <f>Valores!$C$13*E285</f>
        <v>483.43000000000006</v>
      </c>
      <c r="AK285" s="124">
        <f t="shared" si="54"/>
        <v>483.43000000000006</v>
      </c>
      <c r="AL285" s="68">
        <f t="shared" si="55"/>
        <v>7959.3665600000004</v>
      </c>
      <c r="AM285" s="79">
        <f>(7.33*E285)+0.09</f>
        <v>212.66</v>
      </c>
      <c r="AN285" s="20"/>
      <c r="AO285" s="20">
        <f t="shared" si="49"/>
        <v>116</v>
      </c>
      <c r="AP285" s="9" t="s">
        <v>464</v>
      </c>
    </row>
    <row r="286" spans="1:42" s="9" customFormat="1" ht="11.25" customHeight="1" x14ac:dyDescent="0.15">
      <c r="A286" s="43">
        <v>285</v>
      </c>
      <c r="B286" s="43" t="s">
        <v>460</v>
      </c>
      <c r="C286" s="43"/>
      <c r="D286" s="43" t="s">
        <v>356</v>
      </c>
      <c r="E286" s="43">
        <v>29</v>
      </c>
      <c r="F286" s="44" t="str">
        <f>CONCATENATE("Hora Cátedra Enseñanza Media ",E286," hs Esc Esp")</f>
        <v>Hora Cátedra Enseñanza Media 29 hs Esc Esp</v>
      </c>
      <c r="G286" s="103">
        <f t="shared" si="50"/>
        <v>2291</v>
      </c>
      <c r="H286" s="110">
        <f>INT((G286*Valores!$C$2*100)+0.5)/100</f>
        <v>10338.6</v>
      </c>
      <c r="I286" s="114">
        <v>0</v>
      </c>
      <c r="J286" s="70">
        <f>INT((I286*Valores!$C$2*100)+0.5)/100</f>
        <v>0</v>
      </c>
      <c r="K286" s="132">
        <v>0</v>
      </c>
      <c r="L286" s="70">
        <f>INT((K286*Valores!$C$2*100)+0.5)/100</f>
        <v>0</v>
      </c>
      <c r="M286" s="100">
        <v>0</v>
      </c>
      <c r="N286" s="70">
        <f>INT((M286*Valores!$C$2*100)+0.5)/100</f>
        <v>0</v>
      </c>
      <c r="O286" s="70">
        <f t="shared" si="57"/>
        <v>0</v>
      </c>
      <c r="P286" s="70">
        <f t="shared" si="58"/>
        <v>13131.552000000001</v>
      </c>
      <c r="Q286" s="75">
        <f>Valores!$C$10*E286</f>
        <v>2581</v>
      </c>
      <c r="R286" s="75">
        <f>IF(E286&lt;15,(Valores!$D$9/15*E286),Valores!$D$9)</f>
        <v>2018.53</v>
      </c>
      <c r="S286" s="70">
        <v>0</v>
      </c>
      <c r="T286" s="72">
        <f>Valores!$C$43*E286</f>
        <v>604.36</v>
      </c>
      <c r="U286" s="75">
        <f>Valores!$C$11*E286</f>
        <v>1319.5</v>
      </c>
      <c r="V286" s="70">
        <f t="shared" si="44"/>
        <v>2902.9</v>
      </c>
      <c r="W286" s="70">
        <v>0</v>
      </c>
      <c r="X286" s="70">
        <v>0</v>
      </c>
      <c r="Y286" s="52">
        <v>0</v>
      </c>
      <c r="Z286" s="70">
        <f>Y286*Valores!$C$2</f>
        <v>0</v>
      </c>
      <c r="AA286" s="70">
        <v>0</v>
      </c>
      <c r="AB286" s="80">
        <f t="shared" si="48"/>
        <v>149.93</v>
      </c>
      <c r="AC286" s="70">
        <f t="shared" si="53"/>
        <v>0</v>
      </c>
      <c r="AD286" s="70">
        <f t="shared" si="51"/>
        <v>124.69999999999999</v>
      </c>
      <c r="AE286" s="94">
        <v>94</v>
      </c>
      <c r="AF286" s="70">
        <f>INT(((AE286*Valores!$C$2)*100)+0.5)/100</f>
        <v>424.19</v>
      </c>
      <c r="AG286" s="70">
        <f>Valores!$D$49*E286</f>
        <v>507.5</v>
      </c>
      <c r="AH286" s="70">
        <f>Valores!$D$50*E286</f>
        <v>145</v>
      </c>
      <c r="AI286" s="125">
        <f t="shared" si="56"/>
        <v>32928.262000000002</v>
      </c>
      <c r="AJ286" s="72">
        <f>Valores!$C$13*E286</f>
        <v>483.43000000000006</v>
      </c>
      <c r="AK286" s="126">
        <f t="shared" si="54"/>
        <v>483.43000000000006</v>
      </c>
      <c r="AL286" s="71">
        <f t="shared" si="55"/>
        <v>8056.9302600000001</v>
      </c>
      <c r="AM286" s="80">
        <f>(7.33*E286)+0.09</f>
        <v>212.66</v>
      </c>
      <c r="AN286" s="47"/>
      <c r="AO286" s="20">
        <f t="shared" si="49"/>
        <v>116</v>
      </c>
      <c r="AP286" s="43" t="s">
        <v>464</v>
      </c>
    </row>
    <row r="287" spans="1:42" s="9" customFormat="1" ht="11.25" customHeight="1" x14ac:dyDescent="0.15">
      <c r="A287" s="9">
        <v>286</v>
      </c>
      <c r="D287" s="9" t="s">
        <v>356</v>
      </c>
      <c r="E287" s="9">
        <v>30</v>
      </c>
      <c r="F287" s="10" t="str">
        <f>CONCATENATE("Hora Cátedra Enseñanza Media ",E287," hs")</f>
        <v>Hora Cátedra Enseñanza Media 30 hs</v>
      </c>
      <c r="G287" s="102">
        <f t="shared" si="50"/>
        <v>2370</v>
      </c>
      <c r="H287" s="7">
        <f>INT((G287*Valores!$C$2*100)+0.5)/100</f>
        <v>10695.1</v>
      </c>
      <c r="I287" s="115">
        <v>0</v>
      </c>
      <c r="J287" s="67">
        <f>INT((I287*Valores!$C$2*100)+0.5)/100</f>
        <v>0</v>
      </c>
      <c r="K287" s="131">
        <v>0</v>
      </c>
      <c r="L287" s="67">
        <f>INT((K287*Valores!$C$2*100)+0.5)/100</f>
        <v>0</v>
      </c>
      <c r="M287" s="99">
        <v>0</v>
      </c>
      <c r="N287" s="67">
        <f>INT((M287*Valores!$C$2*100)+0.5)/100</f>
        <v>0</v>
      </c>
      <c r="O287" s="67">
        <f t="shared" si="57"/>
        <v>0</v>
      </c>
      <c r="P287" s="67">
        <f t="shared" si="58"/>
        <v>13584.36</v>
      </c>
      <c r="Q287" s="53">
        <f>Valores!$C$10*E287</f>
        <v>2670</v>
      </c>
      <c r="R287" s="53">
        <f>IF(E287&lt;15,(Valores!$D$9/15*E287),Valores!$D$9)</f>
        <v>2018.53</v>
      </c>
      <c r="S287" s="67">
        <v>0</v>
      </c>
      <c r="T287" s="69">
        <f>Valores!$C$43*E287</f>
        <v>625.20000000000005</v>
      </c>
      <c r="U287" s="53">
        <f>Valores!$C$11*E287</f>
        <v>1365</v>
      </c>
      <c r="V287" s="67">
        <f t="shared" si="44"/>
        <v>3003.0000000000005</v>
      </c>
      <c r="W287" s="67">
        <v>0</v>
      </c>
      <c r="X287" s="67">
        <v>0</v>
      </c>
      <c r="Y287" s="33">
        <v>0</v>
      </c>
      <c r="Z287" s="67">
        <f>Y287*Valores!$C$2</f>
        <v>0</v>
      </c>
      <c r="AA287" s="67">
        <v>0</v>
      </c>
      <c r="AB287" s="79">
        <f t="shared" si="48"/>
        <v>155.1</v>
      </c>
      <c r="AC287" s="67">
        <f t="shared" si="53"/>
        <v>0</v>
      </c>
      <c r="AD287" s="67">
        <f t="shared" si="51"/>
        <v>129</v>
      </c>
      <c r="AE287" s="95">
        <v>0</v>
      </c>
      <c r="AF287" s="67">
        <f>INT(((AE287*Valores!$C$2)*100)+0.5)/100</f>
        <v>0</v>
      </c>
      <c r="AG287" s="67">
        <f>Valores!$D$49*E287</f>
        <v>525</v>
      </c>
      <c r="AH287" s="67">
        <f>Valores!$D$50*E287</f>
        <v>150</v>
      </c>
      <c r="AI287" s="123">
        <f t="shared" si="56"/>
        <v>33555.289999999994</v>
      </c>
      <c r="AJ287" s="69">
        <f>Valores!$C$13*E287</f>
        <v>500.1</v>
      </c>
      <c r="AK287" s="124">
        <f t="shared" si="54"/>
        <v>500.1</v>
      </c>
      <c r="AL287" s="68">
        <f t="shared" si="55"/>
        <v>8217.8166999999976</v>
      </c>
      <c r="AM287" s="79">
        <f>(7.33*E287)+0.1</f>
        <v>220</v>
      </c>
      <c r="AN287" s="20"/>
      <c r="AO287" s="20">
        <f t="shared" si="49"/>
        <v>120</v>
      </c>
      <c r="AP287" s="9" t="s">
        <v>465</v>
      </c>
    </row>
    <row r="288" spans="1:42" s="9" customFormat="1" ht="11.25" customHeight="1" x14ac:dyDescent="0.15">
      <c r="A288" s="9">
        <v>287</v>
      </c>
      <c r="D288" s="9" t="s">
        <v>356</v>
      </c>
      <c r="E288" s="9">
        <v>30</v>
      </c>
      <c r="F288" s="10" t="str">
        <f>CONCATENATE("Hora Cátedra Enseñanza Media ",E288," hs Esc Esp")</f>
        <v>Hora Cátedra Enseñanza Media 30 hs Esc Esp</v>
      </c>
      <c r="G288" s="102">
        <f t="shared" si="50"/>
        <v>2370</v>
      </c>
      <c r="H288" s="7">
        <f>INT((G288*Valores!$C$2*100)+0.5)/100</f>
        <v>10695.1</v>
      </c>
      <c r="I288" s="115">
        <v>0</v>
      </c>
      <c r="J288" s="67">
        <f>INT((I288*Valores!$C$2*100)+0.5)/100</f>
        <v>0</v>
      </c>
      <c r="K288" s="131">
        <v>0</v>
      </c>
      <c r="L288" s="67">
        <f>INT((K288*Valores!$C$2*100)+0.5)/100</f>
        <v>0</v>
      </c>
      <c r="M288" s="99">
        <v>0</v>
      </c>
      <c r="N288" s="67">
        <f>INT((M288*Valores!$C$2*100)+0.5)/100</f>
        <v>0</v>
      </c>
      <c r="O288" s="67">
        <f t="shared" si="57"/>
        <v>0</v>
      </c>
      <c r="P288" s="67">
        <f t="shared" si="58"/>
        <v>13584.36</v>
      </c>
      <c r="Q288" s="53">
        <f>Valores!$C$10*E288</f>
        <v>2670</v>
      </c>
      <c r="R288" s="53">
        <f>IF(E288&lt;15,(Valores!$D$9/15*E288),Valores!$D$9)</f>
        <v>2018.53</v>
      </c>
      <c r="S288" s="67">
        <v>0</v>
      </c>
      <c r="T288" s="69">
        <f>Valores!$C$43*E288</f>
        <v>625.20000000000005</v>
      </c>
      <c r="U288" s="53">
        <f>Valores!$C$11*E288</f>
        <v>1365</v>
      </c>
      <c r="V288" s="67">
        <f t="shared" si="44"/>
        <v>3003.0000000000005</v>
      </c>
      <c r="W288" s="67">
        <v>0</v>
      </c>
      <c r="X288" s="67">
        <v>0</v>
      </c>
      <c r="Y288" s="33">
        <v>0</v>
      </c>
      <c r="Z288" s="67">
        <f>Y288*Valores!$C$2</f>
        <v>0</v>
      </c>
      <c r="AA288" s="67">
        <v>0</v>
      </c>
      <c r="AB288" s="79">
        <f t="shared" si="48"/>
        <v>155.1</v>
      </c>
      <c r="AC288" s="67">
        <f t="shared" si="53"/>
        <v>0</v>
      </c>
      <c r="AD288" s="67">
        <f t="shared" si="51"/>
        <v>129</v>
      </c>
      <c r="AE288" s="95">
        <v>94</v>
      </c>
      <c r="AF288" s="67">
        <f>INT(((AE288*Valores!$C$2)*100)+0.5)/100</f>
        <v>424.19</v>
      </c>
      <c r="AG288" s="67">
        <f>Valores!$D$49*E288</f>
        <v>525</v>
      </c>
      <c r="AH288" s="67">
        <f>Valores!$D$50*E288</f>
        <v>150</v>
      </c>
      <c r="AI288" s="123">
        <f t="shared" si="56"/>
        <v>33979.479999999996</v>
      </c>
      <c r="AJ288" s="69">
        <f>Valores!$C$13*E288</f>
        <v>500.1</v>
      </c>
      <c r="AK288" s="124">
        <f t="shared" si="54"/>
        <v>500.1</v>
      </c>
      <c r="AL288" s="68">
        <f t="shared" si="55"/>
        <v>8315.3803999999982</v>
      </c>
      <c r="AM288" s="79">
        <f>(7.33*E288)+0.1</f>
        <v>220</v>
      </c>
      <c r="AN288" s="20"/>
      <c r="AO288" s="20">
        <f t="shared" si="49"/>
        <v>120</v>
      </c>
      <c r="AP288" s="9" t="s">
        <v>465</v>
      </c>
    </row>
    <row r="289" spans="1:42" s="9" customFormat="1" ht="11.25" customHeight="1" x14ac:dyDescent="0.15">
      <c r="A289" s="9">
        <v>288</v>
      </c>
      <c r="D289" s="9" t="s">
        <v>356</v>
      </c>
      <c r="E289" s="9">
        <v>31</v>
      </c>
      <c r="F289" s="10" t="str">
        <f>CONCATENATE("Hora Cátedra Enseñanza Media ",E289," hs")</f>
        <v>Hora Cátedra Enseñanza Media 31 hs</v>
      </c>
      <c r="G289" s="102">
        <f t="shared" si="50"/>
        <v>2449</v>
      </c>
      <c r="H289" s="7">
        <f>INT((G289*Valores!$C$2*100)+0.5)/100</f>
        <v>11051.6</v>
      </c>
      <c r="I289" s="115">
        <v>0</v>
      </c>
      <c r="J289" s="67">
        <f>INT((I289*Valores!$C$2*100)+0.5)/100</f>
        <v>0</v>
      </c>
      <c r="K289" s="131">
        <v>0</v>
      </c>
      <c r="L289" s="67">
        <f>INT((K289*Valores!$C$2*100)+0.5)/100</f>
        <v>0</v>
      </c>
      <c r="M289" s="99">
        <v>0</v>
      </c>
      <c r="N289" s="67">
        <f>INT((M289*Valores!$C$2*100)+0.5)/100</f>
        <v>0</v>
      </c>
      <c r="O289" s="67">
        <f t="shared" si="57"/>
        <v>0</v>
      </c>
      <c r="P289" s="67">
        <f t="shared" si="58"/>
        <v>14037.168</v>
      </c>
      <c r="Q289" s="53">
        <f>Valores!$C$10*E289</f>
        <v>2759</v>
      </c>
      <c r="R289" s="53">
        <f>IF(E289&lt;15,(Valores!$D$9/15*E289),Valores!$D$9)</f>
        <v>2018.53</v>
      </c>
      <c r="S289" s="67">
        <v>0</v>
      </c>
      <c r="T289" s="69">
        <f>Valores!$C$43*E289</f>
        <v>646.04</v>
      </c>
      <c r="U289" s="53">
        <f>Valores!$C$11*E289</f>
        <v>1410.5</v>
      </c>
      <c r="V289" s="67">
        <f t="shared" si="44"/>
        <v>3103.1000000000004</v>
      </c>
      <c r="W289" s="67">
        <v>0</v>
      </c>
      <c r="X289" s="67">
        <v>0</v>
      </c>
      <c r="Y289" s="33">
        <v>0</v>
      </c>
      <c r="Z289" s="67">
        <f>Y289*Valores!$C$2</f>
        <v>0</v>
      </c>
      <c r="AA289" s="67">
        <v>0</v>
      </c>
      <c r="AB289" s="79">
        <f t="shared" ref="AB289:AB301" si="60">(5.17)*E289</f>
        <v>160.27000000000001</v>
      </c>
      <c r="AC289" s="67">
        <f t="shared" si="53"/>
        <v>0</v>
      </c>
      <c r="AD289" s="67">
        <f>129.04/30*$E$288</f>
        <v>129.04</v>
      </c>
      <c r="AE289" s="95">
        <v>0</v>
      </c>
      <c r="AF289" s="67">
        <f>INT(((AE289*Valores!$C$2)*100)+0.5)/100</f>
        <v>0</v>
      </c>
      <c r="AG289" s="67">
        <f>AG288</f>
        <v>525</v>
      </c>
      <c r="AH289" s="67">
        <f>AH288</f>
        <v>150</v>
      </c>
      <c r="AI289" s="123">
        <f t="shared" si="56"/>
        <v>34579.748</v>
      </c>
      <c r="AJ289" s="69">
        <f>Valores!$C$13*E289</f>
        <v>516.7700000000001</v>
      </c>
      <c r="AK289" s="124">
        <f t="shared" si="54"/>
        <v>516.7700000000001</v>
      </c>
      <c r="AL289" s="68">
        <f t="shared" si="55"/>
        <v>8470.11204</v>
      </c>
      <c r="AM289" s="79">
        <v>220</v>
      </c>
      <c r="AN289" s="20"/>
      <c r="AO289" s="47">
        <f t="shared" ref="AO289:AO301" si="61">4*E289</f>
        <v>124</v>
      </c>
      <c r="AP289" s="9" t="s">
        <v>464</v>
      </c>
    </row>
    <row r="290" spans="1:42" s="9" customFormat="1" ht="11.25" customHeight="1" x14ac:dyDescent="0.15">
      <c r="A290" s="9">
        <v>289</v>
      </c>
      <c r="D290" s="9" t="s">
        <v>356</v>
      </c>
      <c r="E290" s="9">
        <v>31</v>
      </c>
      <c r="F290" s="10" t="str">
        <f>CONCATENATE("Hora Cátedra Enseñanza Media ",E290," hs Esc Esp")</f>
        <v>Hora Cátedra Enseñanza Media 31 hs Esc Esp</v>
      </c>
      <c r="G290" s="102">
        <f t="shared" si="50"/>
        <v>2449</v>
      </c>
      <c r="H290" s="7">
        <f>INT((G290*Valores!$C$2*100)+0.5)/100</f>
        <v>11051.6</v>
      </c>
      <c r="I290" s="115">
        <v>0</v>
      </c>
      <c r="J290" s="67">
        <f>INT((I290*Valores!$C$2*100)+0.5)/100</f>
        <v>0</v>
      </c>
      <c r="K290" s="131">
        <v>0</v>
      </c>
      <c r="L290" s="67">
        <f>INT((K290*Valores!$C$2*100)+0.5)/100</f>
        <v>0</v>
      </c>
      <c r="M290" s="99">
        <v>0</v>
      </c>
      <c r="N290" s="67">
        <f>INT((M290*Valores!$C$2*100)+0.5)/100</f>
        <v>0</v>
      </c>
      <c r="O290" s="67">
        <f t="shared" si="57"/>
        <v>0</v>
      </c>
      <c r="P290" s="67">
        <f t="shared" si="58"/>
        <v>14037.168</v>
      </c>
      <c r="Q290" s="53">
        <f>Valores!$C$10*E290</f>
        <v>2759</v>
      </c>
      <c r="R290" s="53">
        <f>IF(E290&lt;15,(Valores!$D$9/15*E290),Valores!$D$9)</f>
        <v>2018.53</v>
      </c>
      <c r="S290" s="67">
        <v>0</v>
      </c>
      <c r="T290" s="69">
        <f>Valores!$C$43*E290</f>
        <v>646.04</v>
      </c>
      <c r="U290" s="53">
        <f>Valores!$C$11*E290</f>
        <v>1410.5</v>
      </c>
      <c r="V290" s="67">
        <f t="shared" si="44"/>
        <v>3103.1000000000004</v>
      </c>
      <c r="W290" s="67">
        <v>0</v>
      </c>
      <c r="X290" s="67">
        <v>0</v>
      </c>
      <c r="Y290" s="33">
        <v>0</v>
      </c>
      <c r="Z290" s="67">
        <f>Y290*Valores!$C$2</f>
        <v>0</v>
      </c>
      <c r="AA290" s="67">
        <v>0</v>
      </c>
      <c r="AB290" s="79">
        <f t="shared" si="60"/>
        <v>160.27000000000001</v>
      </c>
      <c r="AC290" s="67">
        <f t="shared" si="53"/>
        <v>0</v>
      </c>
      <c r="AD290" s="67">
        <f>129.04/30*$E$288</f>
        <v>129.04</v>
      </c>
      <c r="AE290" s="95">
        <v>94</v>
      </c>
      <c r="AF290" s="67">
        <f>INT(((AE290*Valores!$C$2)*100)+0.5)/100</f>
        <v>424.19</v>
      </c>
      <c r="AG290" s="67">
        <f t="shared" ref="AG290:AG300" si="62">AG289</f>
        <v>525</v>
      </c>
      <c r="AH290" s="67">
        <f t="shared" ref="AH290:AH300" si="63">AH289</f>
        <v>150</v>
      </c>
      <c r="AI290" s="123">
        <f t="shared" si="56"/>
        <v>35003.938000000002</v>
      </c>
      <c r="AJ290" s="69">
        <f>Valores!$C$13*E290</f>
        <v>516.7700000000001</v>
      </c>
      <c r="AK290" s="124">
        <f t="shared" si="54"/>
        <v>516.7700000000001</v>
      </c>
      <c r="AL290" s="68">
        <f t="shared" si="55"/>
        <v>8567.6757400000006</v>
      </c>
      <c r="AM290" s="79">
        <v>220</v>
      </c>
      <c r="AN290" s="20"/>
      <c r="AO290" s="20">
        <f t="shared" si="61"/>
        <v>124</v>
      </c>
      <c r="AP290" s="9" t="s">
        <v>464</v>
      </c>
    </row>
    <row r="291" spans="1:42" s="9" customFormat="1" ht="11.25" customHeight="1" x14ac:dyDescent="0.15">
      <c r="A291" s="43">
        <v>290</v>
      </c>
      <c r="B291" s="43" t="s">
        <v>460</v>
      </c>
      <c r="C291" s="43"/>
      <c r="D291" s="43" t="s">
        <v>356</v>
      </c>
      <c r="E291" s="43">
        <v>32</v>
      </c>
      <c r="F291" s="44" t="str">
        <f>CONCATENATE("Hora Cátedra Enseñanza Media ",E291," hs")</f>
        <v>Hora Cátedra Enseñanza Media 32 hs</v>
      </c>
      <c r="G291" s="103">
        <f t="shared" si="50"/>
        <v>2528</v>
      </c>
      <c r="H291" s="110">
        <f>INT((G291*Valores!$C$2*100)+0.5)/100</f>
        <v>11408.11</v>
      </c>
      <c r="I291" s="114">
        <v>0</v>
      </c>
      <c r="J291" s="70">
        <f>INT((I291*Valores!$C$2*100)+0.5)/100</f>
        <v>0</v>
      </c>
      <c r="K291" s="132">
        <v>0</v>
      </c>
      <c r="L291" s="70">
        <f>INT((K291*Valores!$C$2*100)+0.5)/100</f>
        <v>0</v>
      </c>
      <c r="M291" s="100">
        <v>0</v>
      </c>
      <c r="N291" s="70">
        <f>INT((M291*Valores!$C$2*100)+0.5)/100</f>
        <v>0</v>
      </c>
      <c r="O291" s="70">
        <f t="shared" si="57"/>
        <v>0</v>
      </c>
      <c r="P291" s="70">
        <f t="shared" si="58"/>
        <v>14489.987999999999</v>
      </c>
      <c r="Q291" s="75">
        <f>Valores!$C$10*E291</f>
        <v>2848</v>
      </c>
      <c r="R291" s="75">
        <f>IF(E291&lt;15,(Valores!$D$9/15*E291),Valores!$D$9)</f>
        <v>2018.53</v>
      </c>
      <c r="S291" s="70">
        <v>0</v>
      </c>
      <c r="T291" s="72">
        <f>Valores!$C$43*E291</f>
        <v>666.88</v>
      </c>
      <c r="U291" s="75">
        <f>Valores!$C$11*E291</f>
        <v>1456</v>
      </c>
      <c r="V291" s="70">
        <f t="shared" si="44"/>
        <v>3203.2000000000003</v>
      </c>
      <c r="W291" s="70">
        <v>0</v>
      </c>
      <c r="X291" s="70">
        <v>0</v>
      </c>
      <c r="Y291" s="52">
        <v>0</v>
      </c>
      <c r="Z291" s="70">
        <f>Y291*Valores!$C$2</f>
        <v>0</v>
      </c>
      <c r="AA291" s="70">
        <v>0</v>
      </c>
      <c r="AB291" s="80">
        <f t="shared" si="60"/>
        <v>165.44</v>
      </c>
      <c r="AC291" s="70">
        <f t="shared" si="53"/>
        <v>0</v>
      </c>
      <c r="AD291" s="70">
        <f t="shared" ref="AD291:AD300" si="64">129.04/30*$E$288</f>
        <v>129.04</v>
      </c>
      <c r="AE291" s="94">
        <v>0</v>
      </c>
      <c r="AF291" s="70">
        <f>INT(((AE291*Valores!$C$2)*100)+0.5)/100</f>
        <v>0</v>
      </c>
      <c r="AG291" s="70">
        <f t="shared" si="62"/>
        <v>525</v>
      </c>
      <c r="AH291" s="70">
        <f t="shared" si="63"/>
        <v>150</v>
      </c>
      <c r="AI291" s="125">
        <f t="shared" si="56"/>
        <v>35604.187999999995</v>
      </c>
      <c r="AJ291" s="72">
        <f>Valores!$C$13*E291</f>
        <v>533.44000000000005</v>
      </c>
      <c r="AK291" s="126">
        <f t="shared" si="54"/>
        <v>533.44000000000005</v>
      </c>
      <c r="AL291" s="71">
        <f t="shared" si="55"/>
        <v>8722.4032399999978</v>
      </c>
      <c r="AM291" s="80">
        <v>220</v>
      </c>
      <c r="AN291" s="47"/>
      <c r="AO291" s="20">
        <f t="shared" si="61"/>
        <v>128</v>
      </c>
      <c r="AP291" s="43" t="s">
        <v>464</v>
      </c>
    </row>
    <row r="292" spans="1:42" s="9" customFormat="1" ht="11.25" customHeight="1" x14ac:dyDescent="0.15">
      <c r="A292" s="9">
        <v>291</v>
      </c>
      <c r="D292" s="9" t="s">
        <v>356</v>
      </c>
      <c r="E292" s="9">
        <v>32</v>
      </c>
      <c r="F292" s="10" t="str">
        <f>CONCATENATE("Hora Cátedra Enseñanza Media ",E292," hs Esc Esp")</f>
        <v>Hora Cátedra Enseñanza Media 32 hs Esc Esp</v>
      </c>
      <c r="G292" s="102">
        <f t="shared" si="50"/>
        <v>2528</v>
      </c>
      <c r="H292" s="7">
        <f>INT((G292*Valores!$C$2*100)+0.5)/100</f>
        <v>11408.11</v>
      </c>
      <c r="I292" s="115">
        <v>0</v>
      </c>
      <c r="J292" s="67">
        <f>INT((I292*Valores!$C$2*100)+0.5)/100</f>
        <v>0</v>
      </c>
      <c r="K292" s="131">
        <v>0</v>
      </c>
      <c r="L292" s="67">
        <f>INT((K292*Valores!$C$2*100)+0.5)/100</f>
        <v>0</v>
      </c>
      <c r="M292" s="99">
        <v>0</v>
      </c>
      <c r="N292" s="67">
        <f>INT((M292*Valores!$C$2*100)+0.5)/100</f>
        <v>0</v>
      </c>
      <c r="O292" s="67">
        <f t="shared" si="57"/>
        <v>0</v>
      </c>
      <c r="P292" s="67">
        <f t="shared" si="58"/>
        <v>14489.987999999999</v>
      </c>
      <c r="Q292" s="53">
        <f>Valores!$C$10*E292</f>
        <v>2848</v>
      </c>
      <c r="R292" s="53">
        <f>IF(E292&lt;15,(Valores!$D$9/15*E292),Valores!$D$9)</f>
        <v>2018.53</v>
      </c>
      <c r="S292" s="67">
        <v>0</v>
      </c>
      <c r="T292" s="69">
        <f>Valores!$C$43*E292</f>
        <v>666.88</v>
      </c>
      <c r="U292" s="53">
        <f>Valores!$C$11*E292</f>
        <v>1456</v>
      </c>
      <c r="V292" s="67">
        <f t="shared" si="44"/>
        <v>3203.2000000000003</v>
      </c>
      <c r="W292" s="67">
        <v>0</v>
      </c>
      <c r="X292" s="67">
        <v>0</v>
      </c>
      <c r="Y292" s="33">
        <v>0</v>
      </c>
      <c r="Z292" s="67">
        <f>Y292*Valores!$C$2</f>
        <v>0</v>
      </c>
      <c r="AA292" s="67">
        <v>0</v>
      </c>
      <c r="AB292" s="79">
        <f t="shared" si="60"/>
        <v>165.44</v>
      </c>
      <c r="AC292" s="67">
        <f t="shared" si="53"/>
        <v>0</v>
      </c>
      <c r="AD292" s="67">
        <f t="shared" si="64"/>
        <v>129.04</v>
      </c>
      <c r="AE292" s="95">
        <v>94</v>
      </c>
      <c r="AF292" s="67">
        <f>INT(((AE292*Valores!$C$2)*100)+0.5)/100</f>
        <v>424.19</v>
      </c>
      <c r="AG292" s="67">
        <f t="shared" si="62"/>
        <v>525</v>
      </c>
      <c r="AH292" s="67">
        <f t="shared" si="63"/>
        <v>150</v>
      </c>
      <c r="AI292" s="123">
        <f t="shared" si="56"/>
        <v>36028.377999999997</v>
      </c>
      <c r="AJ292" s="69">
        <f>Valores!$C$13*E292</f>
        <v>533.44000000000005</v>
      </c>
      <c r="AK292" s="124">
        <f t="shared" si="54"/>
        <v>533.44000000000005</v>
      </c>
      <c r="AL292" s="68">
        <f t="shared" si="55"/>
        <v>8819.9669399999984</v>
      </c>
      <c r="AM292" s="79">
        <v>220</v>
      </c>
      <c r="AN292" s="20"/>
      <c r="AO292" s="20">
        <f t="shared" si="61"/>
        <v>128</v>
      </c>
      <c r="AP292" s="9" t="s">
        <v>464</v>
      </c>
    </row>
    <row r="293" spans="1:42" s="9" customFormat="1" ht="11.25" customHeight="1" x14ac:dyDescent="0.15">
      <c r="A293" s="9">
        <v>292</v>
      </c>
      <c r="D293" s="9" t="s">
        <v>356</v>
      </c>
      <c r="E293" s="9">
        <v>33</v>
      </c>
      <c r="F293" s="10" t="str">
        <f>CONCATENATE("Hora Cátedra Enseñanza Media ",E293," hs")</f>
        <v>Hora Cátedra Enseñanza Media 33 hs</v>
      </c>
      <c r="G293" s="102">
        <f t="shared" ref="G293:G300" si="65">79*E293</f>
        <v>2607</v>
      </c>
      <c r="H293" s="7">
        <f>INT((G293*Valores!$C$2*100)+0.5)/100</f>
        <v>11764.61</v>
      </c>
      <c r="I293" s="115">
        <v>0</v>
      </c>
      <c r="J293" s="67">
        <f>INT((I293*Valores!$C$2*100)+0.5)/100</f>
        <v>0</v>
      </c>
      <c r="K293" s="131">
        <v>0</v>
      </c>
      <c r="L293" s="67">
        <f>INT((K293*Valores!$C$2*100)+0.5)/100</f>
        <v>0</v>
      </c>
      <c r="M293" s="99">
        <v>0</v>
      </c>
      <c r="N293" s="67">
        <f>INT((M293*Valores!$C$2*100)+0.5)/100</f>
        <v>0</v>
      </c>
      <c r="O293" s="67">
        <f t="shared" si="57"/>
        <v>0</v>
      </c>
      <c r="P293" s="67">
        <f t="shared" si="58"/>
        <v>14942.795999999998</v>
      </c>
      <c r="Q293" s="53">
        <f>Valores!$C$10*E293</f>
        <v>2937</v>
      </c>
      <c r="R293" s="53">
        <f>IF(E293&lt;15,(Valores!$D$9/15*E293),Valores!$D$9)</f>
        <v>2018.53</v>
      </c>
      <c r="S293" s="67">
        <v>0</v>
      </c>
      <c r="T293" s="69">
        <f>Valores!$C$43*E293</f>
        <v>687.72</v>
      </c>
      <c r="U293" s="53">
        <f>Valores!$C$11*E293</f>
        <v>1501.5</v>
      </c>
      <c r="V293" s="67">
        <f t="shared" si="44"/>
        <v>3303.3</v>
      </c>
      <c r="W293" s="67">
        <v>0</v>
      </c>
      <c r="X293" s="67">
        <v>0</v>
      </c>
      <c r="Y293" s="33">
        <v>0</v>
      </c>
      <c r="Z293" s="67">
        <f>Y293*Valores!$C$2</f>
        <v>0</v>
      </c>
      <c r="AA293" s="67">
        <v>0</v>
      </c>
      <c r="AB293" s="79">
        <f t="shared" si="60"/>
        <v>170.60999999999999</v>
      </c>
      <c r="AC293" s="67">
        <f t="shared" si="53"/>
        <v>0</v>
      </c>
      <c r="AD293" s="67">
        <f t="shared" si="64"/>
        <v>129.04</v>
      </c>
      <c r="AE293" s="95">
        <v>0</v>
      </c>
      <c r="AF293" s="67">
        <f>INT(((AE293*Valores!$C$2)*100)+0.5)/100</f>
        <v>0</v>
      </c>
      <c r="AG293" s="67">
        <f t="shared" si="62"/>
        <v>525</v>
      </c>
      <c r="AH293" s="67">
        <f t="shared" si="63"/>
        <v>150</v>
      </c>
      <c r="AI293" s="123">
        <f t="shared" si="56"/>
        <v>36628.606</v>
      </c>
      <c r="AJ293" s="69">
        <f>Valores!$C$13*E293</f>
        <v>550.11</v>
      </c>
      <c r="AK293" s="124">
        <f t="shared" si="54"/>
        <v>550.11</v>
      </c>
      <c r="AL293" s="68">
        <f t="shared" si="55"/>
        <v>8974.6893799999998</v>
      </c>
      <c r="AM293" s="79">
        <v>220</v>
      </c>
      <c r="AN293" s="20"/>
      <c r="AO293" s="20">
        <f t="shared" si="61"/>
        <v>132</v>
      </c>
      <c r="AP293" s="9" t="s">
        <v>464</v>
      </c>
    </row>
    <row r="294" spans="1:42" s="9" customFormat="1" ht="11.25" customHeight="1" x14ac:dyDescent="0.15">
      <c r="A294" s="9">
        <v>293</v>
      </c>
      <c r="D294" s="9" t="s">
        <v>356</v>
      </c>
      <c r="E294" s="9">
        <v>33</v>
      </c>
      <c r="F294" s="9" t="str">
        <f>CONCATENATE("Hora Cátedra Enseñanza Media ",E294," hs Esc Esp")</f>
        <v>Hora Cátedra Enseñanza Media 33 hs Esc Esp</v>
      </c>
      <c r="G294" s="107">
        <f t="shared" si="65"/>
        <v>2607</v>
      </c>
      <c r="H294" s="13">
        <f>INT((G294*Valores!$C$2*100)+0.5)/100</f>
        <v>11764.61</v>
      </c>
      <c r="I294" s="116">
        <v>0</v>
      </c>
      <c r="J294" s="53">
        <f>INT((I294*Valores!$C$2*100)+0.5)/100</f>
        <v>0</v>
      </c>
      <c r="K294" s="133">
        <v>0</v>
      </c>
      <c r="L294" s="53">
        <f>INT((K294*Valores!$C$2*100)+0.5)/100</f>
        <v>0</v>
      </c>
      <c r="M294" s="101">
        <v>0</v>
      </c>
      <c r="N294" s="53">
        <f>INT((M294*Valores!$C$2*100)+0.5)/100</f>
        <v>0</v>
      </c>
      <c r="O294" s="53">
        <f t="shared" si="57"/>
        <v>0</v>
      </c>
      <c r="P294" s="53">
        <f t="shared" si="58"/>
        <v>14942.795999999998</v>
      </c>
      <c r="Q294" s="53">
        <f>Valores!$C$10*E294</f>
        <v>2937</v>
      </c>
      <c r="R294" s="53">
        <f>IF(E294&lt;15,(Valores!$D$9/15*E294),Valores!$D$9)</f>
        <v>2018.53</v>
      </c>
      <c r="S294" s="53">
        <v>0</v>
      </c>
      <c r="T294" s="53">
        <f>Valores!$C$43*E294</f>
        <v>687.72</v>
      </c>
      <c r="U294" s="53">
        <f>Valores!$C$11*E294</f>
        <v>1501.5</v>
      </c>
      <c r="V294" s="53">
        <f t="shared" si="44"/>
        <v>3303.3</v>
      </c>
      <c r="W294" s="53">
        <v>0</v>
      </c>
      <c r="X294" s="53">
        <v>0</v>
      </c>
      <c r="Y294" s="53">
        <v>0</v>
      </c>
      <c r="Z294" s="53">
        <f>Y294*Valores!$C$2</f>
        <v>0</v>
      </c>
      <c r="AA294" s="53">
        <v>0</v>
      </c>
      <c r="AB294" s="53">
        <f t="shared" si="60"/>
        <v>170.60999999999999</v>
      </c>
      <c r="AC294" s="53">
        <f t="shared" si="53"/>
        <v>0</v>
      </c>
      <c r="AD294" s="53">
        <f t="shared" si="64"/>
        <v>129.04</v>
      </c>
      <c r="AE294" s="96">
        <v>94</v>
      </c>
      <c r="AF294" s="53">
        <f>INT(((AE294*Valores!$C$2)*100)+0.5)/100</f>
        <v>424.19</v>
      </c>
      <c r="AG294" s="53">
        <f t="shared" si="62"/>
        <v>525</v>
      </c>
      <c r="AH294" s="53">
        <f t="shared" si="63"/>
        <v>150</v>
      </c>
      <c r="AI294" s="13">
        <f t="shared" si="56"/>
        <v>37052.796000000002</v>
      </c>
      <c r="AJ294" s="69">
        <f>Valores!$C$13*E294</f>
        <v>550.11</v>
      </c>
      <c r="AK294" s="124">
        <f t="shared" si="54"/>
        <v>550.11</v>
      </c>
      <c r="AL294" s="53">
        <f t="shared" si="55"/>
        <v>9072.2530800000004</v>
      </c>
      <c r="AM294" s="53">
        <v>220</v>
      </c>
      <c r="AO294" s="43">
        <f t="shared" si="61"/>
        <v>132</v>
      </c>
      <c r="AP294" s="9" t="s">
        <v>464</v>
      </c>
    </row>
    <row r="295" spans="1:42" s="9" customFormat="1" ht="11.25" customHeight="1" x14ac:dyDescent="0.15">
      <c r="A295" s="9">
        <v>294</v>
      </c>
      <c r="D295" s="9" t="s">
        <v>356</v>
      </c>
      <c r="E295" s="9">
        <v>34</v>
      </c>
      <c r="F295" s="10" t="str">
        <f>CONCATENATE("Hora Cátedra Enseñanza Media ",E295," hs")</f>
        <v>Hora Cátedra Enseñanza Media 34 hs</v>
      </c>
      <c r="G295" s="102">
        <f t="shared" si="65"/>
        <v>2686</v>
      </c>
      <c r="H295" s="7">
        <f>INT((G295*Valores!$C$2*100)+0.5)/100</f>
        <v>12121.11</v>
      </c>
      <c r="I295" s="115">
        <v>0</v>
      </c>
      <c r="J295" s="67">
        <f>INT((I295*Valores!$C$2*100)+0.5)/100</f>
        <v>0</v>
      </c>
      <c r="K295" s="131">
        <v>0</v>
      </c>
      <c r="L295" s="67">
        <f>INT((K295*Valores!$C$2*100)+0.5)/100</f>
        <v>0</v>
      </c>
      <c r="M295" s="99">
        <v>0</v>
      </c>
      <c r="N295" s="67">
        <f>INT((M295*Valores!$C$2*100)+0.5)/100</f>
        <v>0</v>
      </c>
      <c r="O295" s="67">
        <f t="shared" si="57"/>
        <v>0</v>
      </c>
      <c r="P295" s="67">
        <f t="shared" si="58"/>
        <v>15395.603999999999</v>
      </c>
      <c r="Q295" s="53">
        <f>Valores!$C$10*E295</f>
        <v>3026</v>
      </c>
      <c r="R295" s="53">
        <f>IF(E295&lt;15,(Valores!$D$9/15*E295),Valores!$D$9)</f>
        <v>2018.53</v>
      </c>
      <c r="S295" s="67">
        <v>0</v>
      </c>
      <c r="T295" s="69">
        <f>Valores!$C$43*E295</f>
        <v>708.56</v>
      </c>
      <c r="U295" s="53">
        <f>Valores!$C$11*E295</f>
        <v>1547</v>
      </c>
      <c r="V295" s="67">
        <f t="shared" si="44"/>
        <v>3403.4</v>
      </c>
      <c r="W295" s="67">
        <v>0</v>
      </c>
      <c r="X295" s="67">
        <v>0</v>
      </c>
      <c r="Y295" s="33">
        <v>0</v>
      </c>
      <c r="Z295" s="67">
        <f>Y295*Valores!$C$2</f>
        <v>0</v>
      </c>
      <c r="AA295" s="67">
        <v>0</v>
      </c>
      <c r="AB295" s="79">
        <f t="shared" si="60"/>
        <v>175.78</v>
      </c>
      <c r="AC295" s="67">
        <f t="shared" si="53"/>
        <v>0</v>
      </c>
      <c r="AD295" s="67">
        <f t="shared" si="64"/>
        <v>129.04</v>
      </c>
      <c r="AE295" s="95">
        <v>0</v>
      </c>
      <c r="AF295" s="67">
        <f>INT(((AE295*Valores!$C$2)*100)+0.5)/100</f>
        <v>0</v>
      </c>
      <c r="AG295" s="67">
        <f t="shared" si="62"/>
        <v>525</v>
      </c>
      <c r="AH295" s="67">
        <f t="shared" si="63"/>
        <v>150</v>
      </c>
      <c r="AI295" s="123">
        <f t="shared" si="56"/>
        <v>37653.023999999998</v>
      </c>
      <c r="AJ295" s="69">
        <f>Valores!$C$13*E295</f>
        <v>566.78000000000009</v>
      </c>
      <c r="AK295" s="124">
        <f t="shared" si="54"/>
        <v>566.78000000000009</v>
      </c>
      <c r="AL295" s="68">
        <f t="shared" si="55"/>
        <v>9226.97552</v>
      </c>
      <c r="AM295" s="79">
        <v>220</v>
      </c>
      <c r="AN295" s="20"/>
      <c r="AO295" s="20">
        <f t="shared" si="61"/>
        <v>136</v>
      </c>
      <c r="AP295" s="9" t="s">
        <v>464</v>
      </c>
    </row>
    <row r="296" spans="1:42" s="9" customFormat="1" ht="11.25" customHeight="1" x14ac:dyDescent="0.15">
      <c r="A296" s="43">
        <v>295</v>
      </c>
      <c r="B296" s="43" t="s">
        <v>460</v>
      </c>
      <c r="C296" s="43"/>
      <c r="D296" s="43" t="s">
        <v>356</v>
      </c>
      <c r="E296" s="43">
        <v>34</v>
      </c>
      <c r="F296" s="44" t="str">
        <f>CONCATENATE("Hora Cátedra Enseñanza Media ",E296," hs Esc Esp")</f>
        <v>Hora Cátedra Enseñanza Media 34 hs Esc Esp</v>
      </c>
      <c r="G296" s="103">
        <f t="shared" si="65"/>
        <v>2686</v>
      </c>
      <c r="H296" s="110">
        <f>INT((G296*Valores!$C$2*100)+0.5)/100</f>
        <v>12121.11</v>
      </c>
      <c r="I296" s="114">
        <v>0</v>
      </c>
      <c r="J296" s="70">
        <f>INT((I296*Valores!$C$2*100)+0.5)/100</f>
        <v>0</v>
      </c>
      <c r="K296" s="132">
        <v>0</v>
      </c>
      <c r="L296" s="70">
        <f>INT((K296*Valores!$C$2*100)+0.5)/100</f>
        <v>0</v>
      </c>
      <c r="M296" s="100">
        <v>0</v>
      </c>
      <c r="N296" s="70">
        <f>INT((M296*Valores!$C$2*100)+0.5)/100</f>
        <v>0</v>
      </c>
      <c r="O296" s="70">
        <f t="shared" si="57"/>
        <v>0</v>
      </c>
      <c r="P296" s="70">
        <f t="shared" si="58"/>
        <v>15395.603999999999</v>
      </c>
      <c r="Q296" s="75">
        <f>Valores!$C$10*E296</f>
        <v>3026</v>
      </c>
      <c r="R296" s="75">
        <f>IF(E296&lt;15,(Valores!$D$9/15*E296),Valores!$D$9)</f>
        <v>2018.53</v>
      </c>
      <c r="S296" s="70">
        <v>0</v>
      </c>
      <c r="T296" s="72">
        <f>Valores!$C$43*E296</f>
        <v>708.56</v>
      </c>
      <c r="U296" s="75">
        <f>Valores!$C$11*E296</f>
        <v>1547</v>
      </c>
      <c r="V296" s="70">
        <f t="shared" si="44"/>
        <v>3403.4</v>
      </c>
      <c r="W296" s="70">
        <v>0</v>
      </c>
      <c r="X296" s="70">
        <v>0</v>
      </c>
      <c r="Y296" s="52">
        <v>0</v>
      </c>
      <c r="Z296" s="70">
        <f>Y296*Valores!$C$2</f>
        <v>0</v>
      </c>
      <c r="AA296" s="70">
        <v>0</v>
      </c>
      <c r="AB296" s="80">
        <f t="shared" si="60"/>
        <v>175.78</v>
      </c>
      <c r="AC296" s="70">
        <f t="shared" si="53"/>
        <v>0</v>
      </c>
      <c r="AD296" s="70">
        <f t="shared" si="64"/>
        <v>129.04</v>
      </c>
      <c r="AE296" s="94">
        <v>94</v>
      </c>
      <c r="AF296" s="70">
        <f>INT(((AE296*Valores!$C$2)*100)+0.5)/100</f>
        <v>424.19</v>
      </c>
      <c r="AG296" s="70">
        <f t="shared" si="62"/>
        <v>525</v>
      </c>
      <c r="AH296" s="70">
        <f t="shared" si="63"/>
        <v>150</v>
      </c>
      <c r="AI296" s="125">
        <f t="shared" si="56"/>
        <v>38077.214</v>
      </c>
      <c r="AJ296" s="72">
        <f>Valores!$C$13*E296</f>
        <v>566.78000000000009</v>
      </c>
      <c r="AK296" s="126">
        <f t="shared" si="54"/>
        <v>566.78000000000009</v>
      </c>
      <c r="AL296" s="71">
        <f t="shared" si="55"/>
        <v>9324.5392200000006</v>
      </c>
      <c r="AM296" s="80">
        <v>220</v>
      </c>
      <c r="AN296" s="47"/>
      <c r="AO296" s="20">
        <f t="shared" si="61"/>
        <v>136</v>
      </c>
      <c r="AP296" s="43" t="s">
        <v>464</v>
      </c>
    </row>
    <row r="297" spans="1:42" s="9" customFormat="1" ht="11.25" customHeight="1" x14ac:dyDescent="0.15">
      <c r="A297" s="9">
        <v>296</v>
      </c>
      <c r="D297" s="9" t="s">
        <v>356</v>
      </c>
      <c r="E297" s="9">
        <v>35</v>
      </c>
      <c r="F297" s="10" t="str">
        <f>CONCATENATE("Hora Cátedra Enseñanza Media ",E297," hs")</f>
        <v>Hora Cátedra Enseñanza Media 35 hs</v>
      </c>
      <c r="G297" s="102">
        <f t="shared" si="65"/>
        <v>2765</v>
      </c>
      <c r="H297" s="7">
        <f>INT((G297*Valores!$C$2*100)+0.5)/100</f>
        <v>12477.62</v>
      </c>
      <c r="I297" s="115">
        <v>0</v>
      </c>
      <c r="J297" s="67">
        <f>INT((I297*Valores!$C$2*100)+0.5)/100</f>
        <v>0</v>
      </c>
      <c r="K297" s="131">
        <v>0</v>
      </c>
      <c r="L297" s="67">
        <f>INT((K297*Valores!$C$2*100)+0.5)/100</f>
        <v>0</v>
      </c>
      <c r="M297" s="99">
        <v>0</v>
      </c>
      <c r="N297" s="67">
        <f>INT((M297*Valores!$C$2*100)+0.5)/100</f>
        <v>0</v>
      </c>
      <c r="O297" s="67">
        <f t="shared" si="57"/>
        <v>0</v>
      </c>
      <c r="P297" s="67">
        <f t="shared" si="58"/>
        <v>15848.423999999999</v>
      </c>
      <c r="Q297" s="53">
        <f>Valores!$C$10*E297</f>
        <v>3115</v>
      </c>
      <c r="R297" s="53">
        <f>IF(E297&lt;15,(Valores!$D$9/15*E297),Valores!$D$9)</f>
        <v>2018.53</v>
      </c>
      <c r="S297" s="67">
        <v>0</v>
      </c>
      <c r="T297" s="69">
        <f>Valores!$C$43*E297</f>
        <v>729.4</v>
      </c>
      <c r="U297" s="53">
        <f>Valores!$C$11*E297</f>
        <v>1592.5</v>
      </c>
      <c r="V297" s="67">
        <f t="shared" si="44"/>
        <v>3503.5000000000005</v>
      </c>
      <c r="W297" s="67">
        <v>0</v>
      </c>
      <c r="X297" s="67">
        <v>0</v>
      </c>
      <c r="Y297" s="33">
        <v>0</v>
      </c>
      <c r="Z297" s="67">
        <f>Y297*Valores!$C$2</f>
        <v>0</v>
      </c>
      <c r="AA297" s="67">
        <v>0</v>
      </c>
      <c r="AB297" s="79">
        <f t="shared" si="60"/>
        <v>180.95</v>
      </c>
      <c r="AC297" s="67">
        <f t="shared" si="53"/>
        <v>0</v>
      </c>
      <c r="AD297" s="67">
        <f t="shared" si="64"/>
        <v>129.04</v>
      </c>
      <c r="AE297" s="95">
        <v>0</v>
      </c>
      <c r="AF297" s="67">
        <f>INT(((AE297*Valores!$C$2)*100)+0.5)/100</f>
        <v>0</v>
      </c>
      <c r="AG297" s="67">
        <f t="shared" si="62"/>
        <v>525</v>
      </c>
      <c r="AH297" s="67">
        <f t="shared" si="63"/>
        <v>150</v>
      </c>
      <c r="AI297" s="123">
        <f t="shared" si="56"/>
        <v>38677.464</v>
      </c>
      <c r="AJ297" s="69">
        <f>Valores!$C$13*E297</f>
        <v>583.45000000000005</v>
      </c>
      <c r="AK297" s="124">
        <f t="shared" si="54"/>
        <v>583.45000000000005</v>
      </c>
      <c r="AL297" s="68">
        <f t="shared" si="55"/>
        <v>9479.2667199999996</v>
      </c>
      <c r="AM297" s="79">
        <v>220</v>
      </c>
      <c r="AN297" s="20"/>
      <c r="AO297" s="20">
        <f t="shared" si="61"/>
        <v>140</v>
      </c>
      <c r="AP297" s="9" t="s">
        <v>464</v>
      </c>
    </row>
    <row r="298" spans="1:42" s="9" customFormat="1" ht="11.25" customHeight="1" x14ac:dyDescent="0.15">
      <c r="A298" s="9">
        <v>297</v>
      </c>
      <c r="D298" s="9" t="s">
        <v>356</v>
      </c>
      <c r="E298" s="9">
        <v>35</v>
      </c>
      <c r="F298" s="10" t="str">
        <f>CONCATENATE("Hora Cátedra Enseñanza Media ",E298," hs Esc Esp")</f>
        <v>Hora Cátedra Enseñanza Media 35 hs Esc Esp</v>
      </c>
      <c r="G298" s="102">
        <f t="shared" si="65"/>
        <v>2765</v>
      </c>
      <c r="H298" s="7">
        <f>INT((G298*Valores!$C$2*100)+0.5)/100</f>
        <v>12477.62</v>
      </c>
      <c r="I298" s="115">
        <v>0</v>
      </c>
      <c r="J298" s="67">
        <f>INT((I298*Valores!$C$2*100)+0.5)/100</f>
        <v>0</v>
      </c>
      <c r="K298" s="131">
        <v>0</v>
      </c>
      <c r="L298" s="67">
        <f>INT((K298*Valores!$C$2*100)+0.5)/100</f>
        <v>0</v>
      </c>
      <c r="M298" s="99">
        <v>0</v>
      </c>
      <c r="N298" s="67">
        <f>INT((M298*Valores!$C$2*100)+0.5)/100</f>
        <v>0</v>
      </c>
      <c r="O298" s="67">
        <f t="shared" si="57"/>
        <v>0</v>
      </c>
      <c r="P298" s="67">
        <f t="shared" si="58"/>
        <v>15848.423999999999</v>
      </c>
      <c r="Q298" s="53">
        <f>Valores!$C$10*E298</f>
        <v>3115</v>
      </c>
      <c r="R298" s="53">
        <f>IF(E298&lt;15,(Valores!$D$9/15*E298),Valores!$D$9)</f>
        <v>2018.53</v>
      </c>
      <c r="S298" s="67">
        <v>0</v>
      </c>
      <c r="T298" s="69">
        <f>Valores!$C$43*E298</f>
        <v>729.4</v>
      </c>
      <c r="U298" s="53">
        <f>Valores!$C$11*E298</f>
        <v>1592.5</v>
      </c>
      <c r="V298" s="67">
        <f t="shared" si="44"/>
        <v>3503.5000000000005</v>
      </c>
      <c r="W298" s="67">
        <v>0</v>
      </c>
      <c r="X298" s="67">
        <v>0</v>
      </c>
      <c r="Y298" s="33">
        <v>0</v>
      </c>
      <c r="Z298" s="67">
        <f>Y298*Valores!$C$2</f>
        <v>0</v>
      </c>
      <c r="AA298" s="67">
        <v>0</v>
      </c>
      <c r="AB298" s="79">
        <f t="shared" si="60"/>
        <v>180.95</v>
      </c>
      <c r="AC298" s="67">
        <f t="shared" si="53"/>
        <v>0</v>
      </c>
      <c r="AD298" s="67">
        <f t="shared" si="64"/>
        <v>129.04</v>
      </c>
      <c r="AE298" s="95">
        <v>94</v>
      </c>
      <c r="AF298" s="67">
        <f>INT(((AE298*Valores!$C$2)*100)+0.5)/100</f>
        <v>424.19</v>
      </c>
      <c r="AG298" s="67">
        <f t="shared" si="62"/>
        <v>525</v>
      </c>
      <c r="AH298" s="67">
        <f t="shared" si="63"/>
        <v>150</v>
      </c>
      <c r="AI298" s="123">
        <f t="shared" si="56"/>
        <v>39101.654000000002</v>
      </c>
      <c r="AJ298" s="69">
        <f>Valores!$C$13*E298</f>
        <v>583.45000000000005</v>
      </c>
      <c r="AK298" s="124">
        <f t="shared" si="54"/>
        <v>583.45000000000005</v>
      </c>
      <c r="AL298" s="68">
        <f t="shared" si="55"/>
        <v>9576.8304200000002</v>
      </c>
      <c r="AM298" s="79">
        <v>220</v>
      </c>
      <c r="AN298" s="20"/>
      <c r="AO298" s="20">
        <f t="shared" si="61"/>
        <v>140</v>
      </c>
      <c r="AP298" s="9" t="s">
        <v>464</v>
      </c>
    </row>
    <row r="299" spans="1:42" s="9" customFormat="1" ht="11.25" customHeight="1" x14ac:dyDescent="0.15">
      <c r="A299" s="9">
        <v>298</v>
      </c>
      <c r="D299" s="9" t="s">
        <v>356</v>
      </c>
      <c r="E299" s="9">
        <v>36</v>
      </c>
      <c r="F299" s="10" t="str">
        <f>CONCATENATE("Hora Cátedra Enseñanza Media ",E299," hs")</f>
        <v>Hora Cátedra Enseñanza Media 36 hs</v>
      </c>
      <c r="G299" s="102">
        <f t="shared" si="65"/>
        <v>2844</v>
      </c>
      <c r="H299" s="7">
        <f>INT((G299*Valores!$C$2*100)+0.5)/100</f>
        <v>12834.12</v>
      </c>
      <c r="I299" s="115">
        <v>0</v>
      </c>
      <c r="J299" s="67">
        <f>INT((I299*Valores!$C$2*100)+0.5)/100</f>
        <v>0</v>
      </c>
      <c r="K299" s="131">
        <v>0</v>
      </c>
      <c r="L299" s="67">
        <f>INT((K299*Valores!$C$2*100)+0.5)/100</f>
        <v>0</v>
      </c>
      <c r="M299" s="99">
        <v>0</v>
      </c>
      <c r="N299" s="67">
        <f>INT((M299*Valores!$C$2*100)+0.5)/100</f>
        <v>0</v>
      </c>
      <c r="O299" s="67">
        <f t="shared" si="57"/>
        <v>0</v>
      </c>
      <c r="P299" s="67">
        <f t="shared" si="58"/>
        <v>16301.232</v>
      </c>
      <c r="Q299" s="53">
        <f>Valores!$C$10*E299</f>
        <v>3204</v>
      </c>
      <c r="R299" s="53">
        <f>IF(E299&lt;15,(Valores!$D$9/15*E299),Valores!$D$9)</f>
        <v>2018.53</v>
      </c>
      <c r="S299" s="67">
        <v>0</v>
      </c>
      <c r="T299" s="69">
        <f>Valores!$C$43*E299</f>
        <v>750.24</v>
      </c>
      <c r="U299" s="53">
        <f>Valores!$C$11*E299</f>
        <v>1638</v>
      </c>
      <c r="V299" s="67">
        <f t="shared" si="44"/>
        <v>3603.6000000000004</v>
      </c>
      <c r="W299" s="67">
        <v>0</v>
      </c>
      <c r="X299" s="67">
        <v>0</v>
      </c>
      <c r="Y299" s="33">
        <v>0</v>
      </c>
      <c r="Z299" s="67">
        <f>Y299*Valores!$C$2</f>
        <v>0</v>
      </c>
      <c r="AA299" s="67">
        <v>0</v>
      </c>
      <c r="AB299" s="79">
        <f t="shared" si="60"/>
        <v>186.12</v>
      </c>
      <c r="AC299" s="67">
        <f t="shared" si="53"/>
        <v>0</v>
      </c>
      <c r="AD299" s="67">
        <f t="shared" si="64"/>
        <v>129.04</v>
      </c>
      <c r="AE299" s="95">
        <v>0</v>
      </c>
      <c r="AF299" s="67">
        <f>INT(((AE299*Valores!$C$2)*100)+0.5)/100</f>
        <v>0</v>
      </c>
      <c r="AG299" s="67">
        <f t="shared" si="62"/>
        <v>525</v>
      </c>
      <c r="AH299" s="67">
        <f t="shared" si="63"/>
        <v>150</v>
      </c>
      <c r="AI299" s="123">
        <f t="shared" si="56"/>
        <v>39701.881999999998</v>
      </c>
      <c r="AJ299" s="69">
        <f>(Valores!$C$13*E299)-0.12</f>
        <v>600.00000000000011</v>
      </c>
      <c r="AK299" s="124">
        <f t="shared" si="54"/>
        <v>600.00000000000011</v>
      </c>
      <c r="AL299" s="68">
        <f t="shared" si="55"/>
        <v>9731.432859999999</v>
      </c>
      <c r="AM299" s="79">
        <v>220</v>
      </c>
      <c r="AN299" s="20"/>
      <c r="AO299" s="47">
        <f t="shared" si="61"/>
        <v>144</v>
      </c>
      <c r="AP299" s="9" t="s">
        <v>464</v>
      </c>
    </row>
    <row r="300" spans="1:42" s="9" customFormat="1" ht="11.25" customHeight="1" x14ac:dyDescent="0.15">
      <c r="A300" s="9">
        <v>299</v>
      </c>
      <c r="D300" s="9" t="s">
        <v>356</v>
      </c>
      <c r="E300" s="9">
        <v>36</v>
      </c>
      <c r="F300" s="10" t="str">
        <f>CONCATENATE("Hora Cátedra Enseñanza Media ",E300," hs Esc Esp")</f>
        <v>Hora Cátedra Enseñanza Media 36 hs Esc Esp</v>
      </c>
      <c r="G300" s="102">
        <f t="shared" si="65"/>
        <v>2844</v>
      </c>
      <c r="H300" s="7">
        <f>INT((G300*Valores!$C$2*100)+0.5)/100</f>
        <v>12834.12</v>
      </c>
      <c r="I300" s="115">
        <v>0</v>
      </c>
      <c r="J300" s="67">
        <f>INT((I300*Valores!$C$2*100)+0.5)/100</f>
        <v>0</v>
      </c>
      <c r="K300" s="131">
        <v>0</v>
      </c>
      <c r="L300" s="67">
        <f>INT((K300*Valores!$C$2*100)+0.5)/100</f>
        <v>0</v>
      </c>
      <c r="M300" s="99">
        <v>0</v>
      </c>
      <c r="N300" s="67">
        <f>INT((M300*Valores!$C$2*100)+0.5)/100</f>
        <v>0</v>
      </c>
      <c r="O300" s="67">
        <f t="shared" si="57"/>
        <v>0</v>
      </c>
      <c r="P300" s="67">
        <f t="shared" si="58"/>
        <v>16301.232</v>
      </c>
      <c r="Q300" s="53">
        <f>Valores!$C$10*E300</f>
        <v>3204</v>
      </c>
      <c r="R300" s="53">
        <f>IF(E300&lt;15,(Valores!$D$9/15*E300),Valores!$D$9)</f>
        <v>2018.53</v>
      </c>
      <c r="S300" s="67">
        <v>0</v>
      </c>
      <c r="T300" s="69">
        <f>Valores!$C$43*E300</f>
        <v>750.24</v>
      </c>
      <c r="U300" s="53">
        <f>Valores!$C$11*E300</f>
        <v>1638</v>
      </c>
      <c r="V300" s="67">
        <f t="shared" si="44"/>
        <v>3603.6000000000004</v>
      </c>
      <c r="W300" s="67">
        <v>0</v>
      </c>
      <c r="X300" s="67">
        <v>0</v>
      </c>
      <c r="Y300" s="33">
        <v>0</v>
      </c>
      <c r="Z300" s="67">
        <f>Y300*Valores!$C$2</f>
        <v>0</v>
      </c>
      <c r="AA300" s="67">
        <v>0</v>
      </c>
      <c r="AB300" s="79">
        <f t="shared" si="60"/>
        <v>186.12</v>
      </c>
      <c r="AC300" s="67">
        <f t="shared" si="53"/>
        <v>0</v>
      </c>
      <c r="AD300" s="67">
        <f t="shared" si="64"/>
        <v>129.04</v>
      </c>
      <c r="AE300" s="95">
        <v>94</v>
      </c>
      <c r="AF300" s="67">
        <f>INT(((AE300*Valores!$C$2)*100)+0.5)/100</f>
        <v>424.19</v>
      </c>
      <c r="AG300" s="67">
        <f t="shared" si="62"/>
        <v>525</v>
      </c>
      <c r="AH300" s="67">
        <f t="shared" si="63"/>
        <v>150</v>
      </c>
      <c r="AI300" s="123">
        <f t="shared" si="56"/>
        <v>40126.072</v>
      </c>
      <c r="AJ300" s="69">
        <f>(Valores!$C$13*E300)-0.12</f>
        <v>600.00000000000011</v>
      </c>
      <c r="AK300" s="124">
        <f t="shared" si="54"/>
        <v>600.00000000000011</v>
      </c>
      <c r="AL300" s="68">
        <f t="shared" si="55"/>
        <v>9828.9965599999996</v>
      </c>
      <c r="AM300" s="79">
        <v>220</v>
      </c>
      <c r="AN300" s="20"/>
      <c r="AO300" s="20">
        <f t="shared" si="61"/>
        <v>144</v>
      </c>
      <c r="AP300" s="9" t="s">
        <v>464</v>
      </c>
    </row>
    <row r="301" spans="1:42" s="9" customFormat="1" ht="11.25" customHeight="1" x14ac:dyDescent="0.15">
      <c r="A301" s="43">
        <v>300</v>
      </c>
      <c r="B301" s="43" t="s">
        <v>460</v>
      </c>
      <c r="C301" s="43"/>
      <c r="D301" s="43" t="s">
        <v>357</v>
      </c>
      <c r="E301" s="43">
        <v>1</v>
      </c>
      <c r="F301" s="44" t="s">
        <v>358</v>
      </c>
      <c r="G301" s="103">
        <v>79</v>
      </c>
      <c r="H301" s="110">
        <f>INT((G301*Valores!$C$2*100)+0.5)/100</f>
        <v>356.5</v>
      </c>
      <c r="I301" s="114">
        <v>0</v>
      </c>
      <c r="J301" s="70">
        <f>INT((I301*Valores!$C$2*100)+0.5)/100</f>
        <v>0</v>
      </c>
      <c r="K301" s="132">
        <v>0</v>
      </c>
      <c r="L301" s="70">
        <f>INT((K301*Valores!$C$2*100)+0.5)/100</f>
        <v>0</v>
      </c>
      <c r="M301" s="100">
        <v>0</v>
      </c>
      <c r="N301" s="70">
        <f>INT((M301*Valores!$C$2*100)+0.5)/100</f>
        <v>0</v>
      </c>
      <c r="O301" s="70">
        <f t="shared" si="57"/>
        <v>0</v>
      </c>
      <c r="P301" s="70">
        <f t="shared" si="58"/>
        <v>452.80799999999994</v>
      </c>
      <c r="Q301" s="75">
        <f>Valores!$C$10*E301</f>
        <v>89</v>
      </c>
      <c r="R301" s="75">
        <f>IF(E301&lt;15,(Valores!$D$9/15*E301),Valores!$D$9)</f>
        <v>134.56866666666667</v>
      </c>
      <c r="S301" s="70">
        <v>0</v>
      </c>
      <c r="T301" s="72">
        <f>Valores!$C$43*E301</f>
        <v>20.84</v>
      </c>
      <c r="U301" s="75">
        <f>Valores!$C$11*E301</f>
        <v>45.5</v>
      </c>
      <c r="V301" s="70">
        <f t="shared" si="44"/>
        <v>100.10000000000001</v>
      </c>
      <c r="W301" s="70">
        <v>0</v>
      </c>
      <c r="X301" s="70">
        <v>0</v>
      </c>
      <c r="Y301" s="52">
        <v>0</v>
      </c>
      <c r="Z301" s="70">
        <f>Y301*Valores!$C$2</f>
        <v>0</v>
      </c>
      <c r="AA301" s="70">
        <v>0</v>
      </c>
      <c r="AB301" s="80">
        <f t="shared" si="60"/>
        <v>5.17</v>
      </c>
      <c r="AC301" s="70">
        <f t="shared" si="53"/>
        <v>0</v>
      </c>
      <c r="AD301" s="70">
        <f>129.04/30</f>
        <v>4.301333333333333</v>
      </c>
      <c r="AE301" s="94">
        <v>0</v>
      </c>
      <c r="AF301" s="70">
        <f>INT(((AE301*Valores!$C$2)*100)+0.5)/100</f>
        <v>0</v>
      </c>
      <c r="AG301" s="70">
        <f>Valores!$D$49*E301</f>
        <v>17.5</v>
      </c>
      <c r="AH301" s="70">
        <f>Valores!$D$50*E301</f>
        <v>5</v>
      </c>
      <c r="AI301" s="125">
        <f t="shared" si="56"/>
        <v>1185.7879999999998</v>
      </c>
      <c r="AJ301" s="72">
        <f>Valores!$C$13*E301</f>
        <v>16.670000000000002</v>
      </c>
      <c r="AK301" s="126">
        <f t="shared" si="54"/>
        <v>16.670000000000002</v>
      </c>
      <c r="AL301" s="71">
        <f t="shared" si="55"/>
        <v>289.40123999999997</v>
      </c>
      <c r="AM301" s="80">
        <v>7.33</v>
      </c>
      <c r="AN301" s="47"/>
      <c r="AO301" s="20">
        <f t="shared" si="61"/>
        <v>4</v>
      </c>
      <c r="AP301" s="43" t="s">
        <v>465</v>
      </c>
    </row>
    <row r="302" spans="1:42" s="9" customFormat="1" ht="11.25" customHeight="1" x14ac:dyDescent="0.15">
      <c r="A302" s="9">
        <v>301</v>
      </c>
      <c r="D302" s="9" t="s">
        <v>440</v>
      </c>
      <c r="F302" s="10" t="s">
        <v>444</v>
      </c>
      <c r="G302" s="32">
        <v>192</v>
      </c>
      <c r="H302" s="7">
        <f>INT((G302*Valores!$C$2*100)+0.5)/100</f>
        <v>866.44</v>
      </c>
      <c r="I302" s="115">
        <v>0</v>
      </c>
      <c r="J302" s="67">
        <f>INT((I302*Valores!$C$2*100)+0.5)/100</f>
        <v>0</v>
      </c>
      <c r="K302" s="131">
        <v>0</v>
      </c>
      <c r="L302" s="67">
        <f>INT((K302*Valores!$C$2*100)+0.5)/100</f>
        <v>0</v>
      </c>
      <c r="M302" s="99">
        <v>0</v>
      </c>
      <c r="N302" s="67">
        <f>INT((M302*Valores!$C$2*100)+0.5)/100</f>
        <v>0</v>
      </c>
      <c r="O302" s="67">
        <f t="shared" si="57"/>
        <v>0</v>
      </c>
      <c r="P302" s="67">
        <f t="shared" si="58"/>
        <v>1099.7280000000001</v>
      </c>
      <c r="Q302" s="53">
        <v>0</v>
      </c>
      <c r="R302" s="53">
        <v>0</v>
      </c>
      <c r="S302" s="67">
        <v>0</v>
      </c>
      <c r="T302" s="69">
        <f>Valores!C44</f>
        <v>50</v>
      </c>
      <c r="U302" s="53">
        <v>0</v>
      </c>
      <c r="V302" s="67">
        <f t="shared" si="44"/>
        <v>0</v>
      </c>
      <c r="W302" s="67">
        <v>0</v>
      </c>
      <c r="X302" s="67">
        <v>0</v>
      </c>
      <c r="Y302" s="33">
        <v>0</v>
      </c>
      <c r="Z302" s="67">
        <v>0</v>
      </c>
      <c r="AA302" s="67">
        <v>0</v>
      </c>
      <c r="AB302" s="79">
        <v>0</v>
      </c>
      <c r="AC302" s="67">
        <f t="shared" si="53"/>
        <v>0</v>
      </c>
      <c r="AD302" s="67">
        <v>0</v>
      </c>
      <c r="AE302" s="95">
        <v>0</v>
      </c>
      <c r="AF302" s="67">
        <f>INT(((AE302*Valores!$C$2)*100)+0.5)/100</f>
        <v>0</v>
      </c>
      <c r="AG302" s="67">
        <f>Valores!D49</f>
        <v>17.5</v>
      </c>
      <c r="AH302" s="67">
        <f>Valores!D50</f>
        <v>5</v>
      </c>
      <c r="AI302" s="123">
        <f t="shared" si="56"/>
        <v>2038.6680000000001</v>
      </c>
      <c r="AJ302" s="69">
        <f>Valores!C14</f>
        <v>40</v>
      </c>
      <c r="AK302" s="124">
        <f t="shared" si="54"/>
        <v>40</v>
      </c>
      <c r="AL302" s="68">
        <f t="shared" si="55"/>
        <v>508.89364</v>
      </c>
      <c r="AM302" s="79">
        <v>0</v>
      </c>
      <c r="AN302" s="20"/>
      <c r="AO302" s="20"/>
      <c r="AP302" s="9" t="s">
        <v>465</v>
      </c>
    </row>
    <row r="303" spans="1:42" ht="11.25" customHeight="1" x14ac:dyDescent="0.2">
      <c r="A303" s="9">
        <v>302</v>
      </c>
      <c r="B303" s="9"/>
      <c r="C303" s="9"/>
      <c r="D303" s="23"/>
      <c r="E303" s="24">
        <v>1</v>
      </c>
      <c r="F303" s="8" t="s">
        <v>412</v>
      </c>
      <c r="G303" s="32">
        <v>700</v>
      </c>
      <c r="H303" s="7">
        <f>INT((G303*Valores!$C$2*100)+0.5)/100</f>
        <v>3158.89</v>
      </c>
      <c r="I303" s="115">
        <v>0</v>
      </c>
      <c r="J303" s="67">
        <f>INT((I303*Valores!$C$2*100)+0.5)/100</f>
        <v>0</v>
      </c>
      <c r="K303" s="131">
        <v>0</v>
      </c>
      <c r="L303" s="67">
        <f>INT((K303*Valores!$C$2*100)+0.5)/100</f>
        <v>0</v>
      </c>
      <c r="M303" s="99">
        <v>0</v>
      </c>
      <c r="N303" s="67">
        <f>INT((M303*Valores!$C$2*100)+0.5)/100</f>
        <v>0</v>
      </c>
      <c r="O303" s="67">
        <f t="shared" ref="O303:O327" si="66">IF($J$2=0,IF(D303&lt;&gt;"13-930",(SUM(H303,J303,L303,N303,Z303,U303,T303)*$O$2),0),0)</f>
        <v>0</v>
      </c>
      <c r="P303" s="67">
        <f t="shared" ref="P303:P327" si="67">SUM(H303,J303,L303,N303,Z303,T303)*$J$2</f>
        <v>4165.7879999999996</v>
      </c>
      <c r="Q303" s="53">
        <v>0</v>
      </c>
      <c r="R303" s="53">
        <v>0</v>
      </c>
      <c r="S303" s="67">
        <v>0</v>
      </c>
      <c r="T303" s="69">
        <f>Valores!$C$43*15</f>
        <v>312.60000000000002</v>
      </c>
      <c r="U303" s="53">
        <v>0</v>
      </c>
      <c r="V303" s="67">
        <f t="shared" ref="V303:V327" si="68">U303*(1+$J$2)</f>
        <v>0</v>
      </c>
      <c r="W303" s="67">
        <v>0</v>
      </c>
      <c r="X303" s="67">
        <v>0</v>
      </c>
      <c r="Y303" s="33">
        <v>0</v>
      </c>
      <c r="Z303" s="67">
        <v>0</v>
      </c>
      <c r="AA303" s="67">
        <v>0</v>
      </c>
      <c r="AB303" s="79">
        <v>0</v>
      </c>
      <c r="AC303" s="67">
        <f t="shared" si="53"/>
        <v>0</v>
      </c>
      <c r="AD303" s="67">
        <v>0</v>
      </c>
      <c r="AE303" s="95">
        <v>0</v>
      </c>
      <c r="AF303" s="67">
        <f>INT(((AE303*Valores!$C$2)*100)+0.5)/100</f>
        <v>0</v>
      </c>
      <c r="AG303" s="67"/>
      <c r="AH303" s="67"/>
      <c r="AI303" s="123">
        <f t="shared" si="56"/>
        <v>7637.2780000000002</v>
      </c>
      <c r="AJ303" s="69">
        <f>Valores!$C$13*15</f>
        <v>250.05</v>
      </c>
      <c r="AK303" s="124">
        <f t="shared" si="54"/>
        <v>250.05</v>
      </c>
      <c r="AL303" s="68">
        <f t="shared" si="55"/>
        <v>2006.6239399999999</v>
      </c>
      <c r="AM303" s="79">
        <v>0</v>
      </c>
      <c r="AP303" s="9" t="s">
        <v>465</v>
      </c>
    </row>
    <row r="304" spans="1:42" ht="11.25" customHeight="1" x14ac:dyDescent="0.2">
      <c r="A304" s="9">
        <v>303</v>
      </c>
      <c r="B304" s="9"/>
      <c r="C304" s="9"/>
      <c r="D304" s="11"/>
      <c r="E304" s="24">
        <v>1</v>
      </c>
      <c r="F304" s="8" t="s">
        <v>413</v>
      </c>
      <c r="G304" s="32">
        <v>500</v>
      </c>
      <c r="H304" s="7">
        <f>INT((G304*Valores!$C$2*100)+0.5)/100</f>
        <v>2256.35</v>
      </c>
      <c r="I304" s="115">
        <v>0</v>
      </c>
      <c r="J304" s="67">
        <f>INT((I304*Valores!$C$2*100)+0.5)/100</f>
        <v>0</v>
      </c>
      <c r="K304" s="131">
        <v>0</v>
      </c>
      <c r="L304" s="67">
        <f>INT((K304*Valores!$C$2*100)+0.5)/100</f>
        <v>0</v>
      </c>
      <c r="M304" s="99">
        <v>0</v>
      </c>
      <c r="N304" s="67">
        <f>INT((M304*Valores!$C$2*100)+0.5)/100</f>
        <v>0</v>
      </c>
      <c r="O304" s="67">
        <f t="shared" si="66"/>
        <v>0</v>
      </c>
      <c r="P304" s="67">
        <f t="shared" si="67"/>
        <v>2957.7</v>
      </c>
      <c r="Q304" s="53">
        <v>0</v>
      </c>
      <c r="R304" s="53">
        <v>0</v>
      </c>
      <c r="S304" s="67">
        <v>0</v>
      </c>
      <c r="T304" s="69">
        <f>Valores!$C$43*10</f>
        <v>208.4</v>
      </c>
      <c r="U304" s="69">
        <v>0</v>
      </c>
      <c r="V304" s="67">
        <f t="shared" si="68"/>
        <v>0</v>
      </c>
      <c r="W304" s="67">
        <v>0</v>
      </c>
      <c r="X304" s="67">
        <v>0</v>
      </c>
      <c r="Y304" s="33">
        <v>0</v>
      </c>
      <c r="Z304" s="67">
        <v>0</v>
      </c>
      <c r="AA304" s="67">
        <v>0</v>
      </c>
      <c r="AB304" s="79">
        <v>0</v>
      </c>
      <c r="AC304" s="67">
        <f t="shared" si="53"/>
        <v>0</v>
      </c>
      <c r="AD304" s="67">
        <v>0</v>
      </c>
      <c r="AE304" s="95">
        <v>0</v>
      </c>
      <c r="AF304" s="67">
        <f>INT(((AE304*Valores!$C$2)*100)+0.5)/100</f>
        <v>0</v>
      </c>
      <c r="AG304" s="67"/>
      <c r="AH304" s="67"/>
      <c r="AI304" s="123">
        <f t="shared" si="56"/>
        <v>5422.4499999999989</v>
      </c>
      <c r="AJ304" s="69">
        <f>Valores!$C$13*10</f>
        <v>166.70000000000002</v>
      </c>
      <c r="AK304" s="124">
        <f t="shared" si="54"/>
        <v>166.70000000000002</v>
      </c>
      <c r="AL304" s="68">
        <f t="shared" si="55"/>
        <v>1413.8634999999997</v>
      </c>
      <c r="AM304" s="79">
        <v>0</v>
      </c>
      <c r="AO304" s="48"/>
      <c r="AP304" s="9" t="s">
        <v>465</v>
      </c>
    </row>
    <row r="305" spans="1:42" ht="11.25" customHeight="1" x14ac:dyDescent="0.2">
      <c r="A305" s="9">
        <v>304</v>
      </c>
      <c r="B305" s="9"/>
      <c r="C305" s="9"/>
      <c r="E305" s="24">
        <v>1</v>
      </c>
      <c r="F305" s="8" t="s">
        <v>414</v>
      </c>
      <c r="G305" s="32">
        <v>300</v>
      </c>
      <c r="H305" s="7">
        <f>INT((G305*Valores!$C$2*100)+0.5)/100</f>
        <v>1353.81</v>
      </c>
      <c r="I305" s="115">
        <v>0</v>
      </c>
      <c r="J305" s="67">
        <f>INT((I305*Valores!$C$2*100)+0.5)/100</f>
        <v>0</v>
      </c>
      <c r="K305" s="131">
        <v>0</v>
      </c>
      <c r="L305" s="67">
        <f>INT((K305*Valores!$C$2*100)+0.5)/100</f>
        <v>0</v>
      </c>
      <c r="M305" s="99">
        <v>0</v>
      </c>
      <c r="N305" s="67">
        <f>INT((M305*Valores!$C$2*100)+0.5)/100</f>
        <v>0</v>
      </c>
      <c r="O305" s="67">
        <f t="shared" si="66"/>
        <v>0</v>
      </c>
      <c r="P305" s="67">
        <f t="shared" si="67"/>
        <v>1749.6119999999999</v>
      </c>
      <c r="Q305" s="53">
        <v>0</v>
      </c>
      <c r="R305" s="53">
        <v>0</v>
      </c>
      <c r="S305" s="67">
        <v>0</v>
      </c>
      <c r="T305" s="69">
        <f>Valores!$C$43*5</f>
        <v>104.2</v>
      </c>
      <c r="U305" s="53">
        <v>0</v>
      </c>
      <c r="V305" s="67">
        <f t="shared" si="68"/>
        <v>0</v>
      </c>
      <c r="W305" s="67">
        <v>0</v>
      </c>
      <c r="X305" s="67">
        <v>0</v>
      </c>
      <c r="Y305" s="33">
        <v>0</v>
      </c>
      <c r="Z305" s="67">
        <v>0</v>
      </c>
      <c r="AA305" s="67">
        <v>0</v>
      </c>
      <c r="AB305" s="79">
        <v>0</v>
      </c>
      <c r="AC305" s="67">
        <f t="shared" si="53"/>
        <v>0</v>
      </c>
      <c r="AD305" s="67">
        <v>0</v>
      </c>
      <c r="AE305" s="95">
        <v>0</v>
      </c>
      <c r="AF305" s="67">
        <f>INT(((AE305*Valores!$C$2)*100)+0.5)/100</f>
        <v>0</v>
      </c>
      <c r="AG305" s="67"/>
      <c r="AH305" s="67"/>
      <c r="AI305" s="123">
        <f t="shared" si="56"/>
        <v>3207.6219999999994</v>
      </c>
      <c r="AJ305" s="69">
        <f>Valores!$C$13*5</f>
        <v>83.350000000000009</v>
      </c>
      <c r="AK305" s="124">
        <f t="shared" si="54"/>
        <v>83.350000000000009</v>
      </c>
      <c r="AL305" s="68">
        <f t="shared" si="55"/>
        <v>821.1030599999998</v>
      </c>
      <c r="AM305" s="79">
        <v>0</v>
      </c>
      <c r="AP305" s="9" t="s">
        <v>465</v>
      </c>
    </row>
    <row r="306" spans="1:42" ht="11.25" customHeight="1" x14ac:dyDescent="0.2">
      <c r="A306" s="43">
        <v>305</v>
      </c>
      <c r="B306" s="43" t="s">
        <v>460</v>
      </c>
      <c r="C306" s="43"/>
      <c r="D306" s="48"/>
      <c r="E306" s="49">
        <v>1</v>
      </c>
      <c r="F306" s="50" t="s">
        <v>415</v>
      </c>
      <c r="G306" s="56">
        <v>155</v>
      </c>
      <c r="H306" s="110">
        <f>INT((G306*Valores!$C$2*100)+0.5)/100</f>
        <v>699.47</v>
      </c>
      <c r="I306" s="114">
        <v>0</v>
      </c>
      <c r="J306" s="70">
        <f>INT((I306*Valores!$C$2*100)+0.5)/100</f>
        <v>0</v>
      </c>
      <c r="K306" s="132">
        <v>0</v>
      </c>
      <c r="L306" s="70">
        <f>INT((K306*Valores!$C$2*100)+0.5)/100</f>
        <v>0</v>
      </c>
      <c r="M306" s="100">
        <v>0</v>
      </c>
      <c r="N306" s="70">
        <f>INT((M306*Valores!$C$2*100)+0.5)/100</f>
        <v>0</v>
      </c>
      <c r="O306" s="70">
        <f t="shared" si="66"/>
        <v>0</v>
      </c>
      <c r="P306" s="70">
        <f t="shared" si="67"/>
        <v>864.37200000000007</v>
      </c>
      <c r="Q306" s="75">
        <v>0</v>
      </c>
      <c r="R306" s="75">
        <v>0</v>
      </c>
      <c r="S306" s="70">
        <v>0</v>
      </c>
      <c r="T306" s="72">
        <f>Valores!$C$43</f>
        <v>20.84</v>
      </c>
      <c r="U306" s="75">
        <v>0</v>
      </c>
      <c r="V306" s="70">
        <f t="shared" si="68"/>
        <v>0</v>
      </c>
      <c r="W306" s="70">
        <v>0</v>
      </c>
      <c r="X306" s="70">
        <v>0</v>
      </c>
      <c r="Y306" s="52">
        <v>0</v>
      </c>
      <c r="Z306" s="70">
        <v>0</v>
      </c>
      <c r="AA306" s="70">
        <v>0</v>
      </c>
      <c r="AB306" s="80">
        <v>0</v>
      </c>
      <c r="AC306" s="70">
        <f t="shared" si="53"/>
        <v>0</v>
      </c>
      <c r="AD306" s="70">
        <v>0</v>
      </c>
      <c r="AE306" s="94">
        <v>0</v>
      </c>
      <c r="AF306" s="70">
        <f>INT(((AE306*Valores!$C$2)*100)+0.5)/100</f>
        <v>0</v>
      </c>
      <c r="AG306" s="70"/>
      <c r="AH306" s="70"/>
      <c r="AI306" s="125">
        <f t="shared" si="56"/>
        <v>1584.682</v>
      </c>
      <c r="AJ306" s="72">
        <f>Valores!$C$13*1</f>
        <v>16.670000000000002</v>
      </c>
      <c r="AK306" s="126">
        <f t="shared" si="54"/>
        <v>16.670000000000002</v>
      </c>
      <c r="AL306" s="71">
        <f t="shared" si="55"/>
        <v>381.14686</v>
      </c>
      <c r="AM306" s="80">
        <v>0</v>
      </c>
      <c r="AN306" s="48"/>
      <c r="AP306" s="43"/>
    </row>
    <row r="307" spans="1:42" ht="11.25" customHeight="1" x14ac:dyDescent="0.2">
      <c r="A307" s="9">
        <v>306</v>
      </c>
      <c r="B307" s="9"/>
      <c r="C307" s="9"/>
      <c r="E307" s="24">
        <v>1</v>
      </c>
      <c r="F307" s="8" t="s">
        <v>416</v>
      </c>
      <c r="G307" s="32">
        <f>155+G306</f>
        <v>310</v>
      </c>
      <c r="H307" s="7">
        <f>INT((G307*Valores!$C$2*100)+0.5)/100</f>
        <v>1398.94</v>
      </c>
      <c r="I307" s="115">
        <v>0</v>
      </c>
      <c r="J307" s="67">
        <f>INT((I307*Valores!$C$2*100)+0.5)/100</f>
        <v>0</v>
      </c>
      <c r="K307" s="131">
        <v>0</v>
      </c>
      <c r="L307" s="67">
        <f>INT((K307*Valores!$C$2*100)+0.5)/100</f>
        <v>0</v>
      </c>
      <c r="M307" s="99">
        <v>0</v>
      </c>
      <c r="N307" s="67">
        <f>INT((M307*Valores!$C$2*100)+0.5)/100</f>
        <v>0</v>
      </c>
      <c r="O307" s="67">
        <f t="shared" si="66"/>
        <v>0</v>
      </c>
      <c r="P307" s="67">
        <f t="shared" si="67"/>
        <v>1728.7440000000001</v>
      </c>
      <c r="Q307" s="53">
        <v>0</v>
      </c>
      <c r="R307" s="53">
        <v>0</v>
      </c>
      <c r="S307" s="67">
        <v>0</v>
      </c>
      <c r="T307" s="69">
        <f>Valores!$C$43+T306</f>
        <v>41.68</v>
      </c>
      <c r="U307" s="53">
        <v>0</v>
      </c>
      <c r="V307" s="67">
        <f t="shared" si="68"/>
        <v>0</v>
      </c>
      <c r="W307" s="67">
        <v>0</v>
      </c>
      <c r="X307" s="67">
        <v>0</v>
      </c>
      <c r="Y307" s="33">
        <v>0</v>
      </c>
      <c r="Z307" s="67">
        <v>0</v>
      </c>
      <c r="AA307" s="67">
        <v>0</v>
      </c>
      <c r="AB307" s="79">
        <v>0</v>
      </c>
      <c r="AC307" s="67">
        <f t="shared" si="53"/>
        <v>0</v>
      </c>
      <c r="AD307" s="67">
        <v>0</v>
      </c>
      <c r="AE307" s="95">
        <v>0</v>
      </c>
      <c r="AF307" s="67">
        <f>INT(((AE307*Valores!$C$2)*100)+0.5)/100</f>
        <v>0</v>
      </c>
      <c r="AG307" s="67"/>
      <c r="AH307" s="67"/>
      <c r="AI307" s="123">
        <f t="shared" si="56"/>
        <v>3169.364</v>
      </c>
      <c r="AJ307" s="69">
        <f>Valores!$C$13+AJ306</f>
        <v>33.340000000000003</v>
      </c>
      <c r="AK307" s="124">
        <f t="shared" si="54"/>
        <v>33.340000000000003</v>
      </c>
      <c r="AL307" s="68">
        <f t="shared" si="55"/>
        <v>762.29372000000001</v>
      </c>
      <c r="AM307" s="79">
        <v>0</v>
      </c>
    </row>
    <row r="308" spans="1:42" ht="11.25" customHeight="1" x14ac:dyDescent="0.2">
      <c r="A308" s="9">
        <v>307</v>
      </c>
      <c r="B308" s="9"/>
      <c r="C308" s="9"/>
      <c r="E308" s="24">
        <v>1</v>
      </c>
      <c r="F308" s="8" t="s">
        <v>417</v>
      </c>
      <c r="G308" s="32">
        <f>155+G307</f>
        <v>465</v>
      </c>
      <c r="H308" s="7">
        <f>INT((G308*Valores!$C$2*100)+0.5)/100</f>
        <v>2098.41</v>
      </c>
      <c r="I308" s="115">
        <v>0</v>
      </c>
      <c r="J308" s="67">
        <f>INT((I308*Valores!$C$2*100)+0.5)/100</f>
        <v>0</v>
      </c>
      <c r="K308" s="131">
        <v>0</v>
      </c>
      <c r="L308" s="67">
        <f>INT((K308*Valores!$C$2*100)+0.5)/100</f>
        <v>0</v>
      </c>
      <c r="M308" s="99">
        <v>0</v>
      </c>
      <c r="N308" s="67">
        <f>INT((M308*Valores!$C$2*100)+0.5)/100</f>
        <v>0</v>
      </c>
      <c r="O308" s="67">
        <f t="shared" si="66"/>
        <v>0</v>
      </c>
      <c r="P308" s="67">
        <f t="shared" si="67"/>
        <v>2593.1159999999995</v>
      </c>
      <c r="Q308" s="53">
        <v>0</v>
      </c>
      <c r="R308" s="53">
        <v>0</v>
      </c>
      <c r="S308" s="67">
        <v>0</v>
      </c>
      <c r="T308" s="69">
        <f>Valores!$C$43+T307</f>
        <v>62.519999999999996</v>
      </c>
      <c r="U308" s="53">
        <v>0</v>
      </c>
      <c r="V308" s="67">
        <f t="shared" si="68"/>
        <v>0</v>
      </c>
      <c r="W308" s="67">
        <v>0</v>
      </c>
      <c r="X308" s="67">
        <v>0</v>
      </c>
      <c r="Y308" s="33">
        <v>0</v>
      </c>
      <c r="Z308" s="67">
        <v>0</v>
      </c>
      <c r="AA308" s="67">
        <v>0</v>
      </c>
      <c r="AB308" s="79">
        <v>0</v>
      </c>
      <c r="AC308" s="67">
        <f t="shared" si="53"/>
        <v>0</v>
      </c>
      <c r="AD308" s="67">
        <v>0</v>
      </c>
      <c r="AE308" s="95">
        <v>0</v>
      </c>
      <c r="AF308" s="67">
        <f>INT(((AE308*Valores!$C$2)*100)+0.5)/100</f>
        <v>0</v>
      </c>
      <c r="AG308" s="67"/>
      <c r="AH308" s="67"/>
      <c r="AI308" s="123">
        <f t="shared" si="56"/>
        <v>4754.0460000000003</v>
      </c>
      <c r="AJ308" s="69">
        <f>Valores!$C$13+AJ307</f>
        <v>50.010000000000005</v>
      </c>
      <c r="AK308" s="124">
        <f t="shared" si="54"/>
        <v>50.010000000000005</v>
      </c>
      <c r="AL308" s="68">
        <f t="shared" si="55"/>
        <v>1143.44058</v>
      </c>
      <c r="AM308" s="79">
        <v>0</v>
      </c>
    </row>
    <row r="309" spans="1:42" ht="11.25" customHeight="1" x14ac:dyDescent="0.2">
      <c r="A309" s="9">
        <v>308</v>
      </c>
      <c r="B309" s="9"/>
      <c r="C309" s="9"/>
      <c r="E309" s="24">
        <v>1</v>
      </c>
      <c r="F309" s="8" t="s">
        <v>418</v>
      </c>
      <c r="G309" s="32">
        <f t="shared" ref="G309:G320" si="69">155+G308</f>
        <v>620</v>
      </c>
      <c r="H309" s="7">
        <f>INT((G309*Valores!$C$2*100)+0.5)/100</f>
        <v>2797.87</v>
      </c>
      <c r="I309" s="115">
        <v>0</v>
      </c>
      <c r="J309" s="67">
        <f>INT((I309*Valores!$C$2*100)+0.5)/100</f>
        <v>0</v>
      </c>
      <c r="K309" s="131">
        <v>0</v>
      </c>
      <c r="L309" s="67">
        <f>INT((K309*Valores!$C$2*100)+0.5)/100</f>
        <v>0</v>
      </c>
      <c r="M309" s="99">
        <v>0</v>
      </c>
      <c r="N309" s="67">
        <f>INT((M309*Valores!$C$2*100)+0.5)/100</f>
        <v>0</v>
      </c>
      <c r="O309" s="67">
        <f t="shared" si="66"/>
        <v>0</v>
      </c>
      <c r="P309" s="67">
        <f t="shared" si="67"/>
        <v>3457.4760000000001</v>
      </c>
      <c r="Q309" s="53">
        <v>0</v>
      </c>
      <c r="R309" s="53">
        <v>0</v>
      </c>
      <c r="S309" s="67">
        <v>0</v>
      </c>
      <c r="T309" s="69">
        <f>Valores!$C$43+T308</f>
        <v>83.36</v>
      </c>
      <c r="U309" s="69">
        <v>0</v>
      </c>
      <c r="V309" s="67">
        <f t="shared" si="68"/>
        <v>0</v>
      </c>
      <c r="W309" s="67">
        <v>0</v>
      </c>
      <c r="X309" s="67">
        <v>0</v>
      </c>
      <c r="Y309" s="33">
        <v>0</v>
      </c>
      <c r="Z309" s="67">
        <v>0</v>
      </c>
      <c r="AA309" s="67">
        <v>0</v>
      </c>
      <c r="AB309" s="79">
        <v>0</v>
      </c>
      <c r="AC309" s="67">
        <f t="shared" si="53"/>
        <v>0</v>
      </c>
      <c r="AD309" s="67">
        <v>0</v>
      </c>
      <c r="AE309" s="95">
        <v>0</v>
      </c>
      <c r="AF309" s="67">
        <f>INT(((AE309*Valores!$C$2)*100)+0.5)/100</f>
        <v>0</v>
      </c>
      <c r="AG309" s="67"/>
      <c r="AH309" s="67"/>
      <c r="AI309" s="123">
        <f t="shared" si="56"/>
        <v>6338.7059999999992</v>
      </c>
      <c r="AJ309" s="69">
        <f>Valores!$C$13+AJ308</f>
        <v>66.680000000000007</v>
      </c>
      <c r="AK309" s="124">
        <f t="shared" si="54"/>
        <v>66.680000000000007</v>
      </c>
      <c r="AL309" s="68">
        <f t="shared" si="55"/>
        <v>1524.5823799999998</v>
      </c>
      <c r="AM309" s="79">
        <v>0</v>
      </c>
      <c r="AO309" s="48"/>
    </row>
    <row r="310" spans="1:42" ht="11.25" customHeight="1" x14ac:dyDescent="0.2">
      <c r="A310" s="9">
        <v>309</v>
      </c>
      <c r="B310" s="9"/>
      <c r="C310" s="9"/>
      <c r="E310" s="24">
        <v>1</v>
      </c>
      <c r="F310" s="8" t="s">
        <v>419</v>
      </c>
      <c r="G310" s="32">
        <f t="shared" si="69"/>
        <v>775</v>
      </c>
      <c r="H310" s="7">
        <f>INT((G310*Valores!$C$2*100)+0.5)/100</f>
        <v>3497.34</v>
      </c>
      <c r="I310" s="115">
        <v>0</v>
      </c>
      <c r="J310" s="67">
        <f>INT((I310*Valores!$C$2*100)+0.5)/100</f>
        <v>0</v>
      </c>
      <c r="K310" s="131">
        <v>0</v>
      </c>
      <c r="L310" s="67">
        <f>INT((K310*Valores!$C$2*100)+0.5)/100</f>
        <v>0</v>
      </c>
      <c r="M310" s="99">
        <v>0</v>
      </c>
      <c r="N310" s="67">
        <f>INT((M310*Valores!$C$2*100)+0.5)/100</f>
        <v>0</v>
      </c>
      <c r="O310" s="67">
        <f t="shared" si="66"/>
        <v>0</v>
      </c>
      <c r="P310" s="67">
        <f t="shared" si="67"/>
        <v>4321.848</v>
      </c>
      <c r="Q310" s="53">
        <v>0</v>
      </c>
      <c r="R310" s="53">
        <v>0</v>
      </c>
      <c r="S310" s="67">
        <v>0</v>
      </c>
      <c r="T310" s="69">
        <f>Valores!$C$43+T309</f>
        <v>104.2</v>
      </c>
      <c r="U310" s="53">
        <v>0</v>
      </c>
      <c r="V310" s="67">
        <f t="shared" si="68"/>
        <v>0</v>
      </c>
      <c r="W310" s="67">
        <v>0</v>
      </c>
      <c r="X310" s="67">
        <v>0</v>
      </c>
      <c r="Y310" s="33">
        <v>0</v>
      </c>
      <c r="Z310" s="67">
        <v>0</v>
      </c>
      <c r="AA310" s="67">
        <v>0</v>
      </c>
      <c r="AB310" s="79">
        <v>0</v>
      </c>
      <c r="AC310" s="67">
        <f t="shared" si="53"/>
        <v>0</v>
      </c>
      <c r="AD310" s="67">
        <v>0</v>
      </c>
      <c r="AE310" s="95">
        <v>0</v>
      </c>
      <c r="AF310" s="67">
        <f>INT(((AE310*Valores!$C$2)*100)+0.5)/100</f>
        <v>0</v>
      </c>
      <c r="AG310" s="67"/>
      <c r="AH310" s="67"/>
      <c r="AI310" s="123">
        <f t="shared" si="56"/>
        <v>7923.3879999999999</v>
      </c>
      <c r="AJ310" s="69">
        <f>Valores!$C$13+AJ309</f>
        <v>83.350000000000009</v>
      </c>
      <c r="AK310" s="124">
        <f t="shared" si="54"/>
        <v>83.350000000000009</v>
      </c>
      <c r="AL310" s="68">
        <f t="shared" si="55"/>
        <v>1905.7292399999997</v>
      </c>
      <c r="AM310" s="79">
        <v>0</v>
      </c>
    </row>
    <row r="311" spans="1:42" ht="11.25" customHeight="1" x14ac:dyDescent="0.2">
      <c r="A311" s="43">
        <v>310</v>
      </c>
      <c r="B311" s="43" t="s">
        <v>460</v>
      </c>
      <c r="C311" s="43"/>
      <c r="D311" s="51"/>
      <c r="E311" s="49">
        <v>1</v>
      </c>
      <c r="F311" s="50" t="s">
        <v>420</v>
      </c>
      <c r="G311" s="56">
        <f t="shared" si="69"/>
        <v>930</v>
      </c>
      <c r="H311" s="110">
        <f>INT((G311*Valores!$C$2*100)+0.5)/100</f>
        <v>4196.8100000000004</v>
      </c>
      <c r="I311" s="114">
        <v>0</v>
      </c>
      <c r="J311" s="70">
        <f>INT((I311*Valores!$C$2*100)+0.5)/100</f>
        <v>0</v>
      </c>
      <c r="K311" s="132">
        <v>0</v>
      </c>
      <c r="L311" s="70">
        <f>INT((K311*Valores!$C$2*100)+0.5)/100</f>
        <v>0</v>
      </c>
      <c r="M311" s="100">
        <v>0</v>
      </c>
      <c r="N311" s="70">
        <f>INT((M311*Valores!$C$2*100)+0.5)/100</f>
        <v>0</v>
      </c>
      <c r="O311" s="70">
        <f t="shared" si="66"/>
        <v>0</v>
      </c>
      <c r="P311" s="70">
        <f t="shared" si="67"/>
        <v>5186.22</v>
      </c>
      <c r="Q311" s="75">
        <v>0</v>
      </c>
      <c r="R311" s="75">
        <v>0</v>
      </c>
      <c r="S311" s="70">
        <v>0</v>
      </c>
      <c r="T311" s="72">
        <f>Valores!$C$43+T310</f>
        <v>125.04</v>
      </c>
      <c r="U311" s="75">
        <v>0</v>
      </c>
      <c r="V311" s="70">
        <f t="shared" si="68"/>
        <v>0</v>
      </c>
      <c r="W311" s="70">
        <v>0</v>
      </c>
      <c r="X311" s="70">
        <v>0</v>
      </c>
      <c r="Y311" s="52">
        <v>0</v>
      </c>
      <c r="Z311" s="70">
        <v>0</v>
      </c>
      <c r="AA311" s="70">
        <v>0</v>
      </c>
      <c r="AB311" s="80">
        <v>0</v>
      </c>
      <c r="AC311" s="70">
        <f t="shared" si="53"/>
        <v>0</v>
      </c>
      <c r="AD311" s="70">
        <v>0</v>
      </c>
      <c r="AE311" s="94">
        <v>0</v>
      </c>
      <c r="AF311" s="70">
        <f>INT(((AE311*Valores!$C$2)*100)+0.5)/100</f>
        <v>0</v>
      </c>
      <c r="AG311" s="70"/>
      <c r="AH311" s="70"/>
      <c r="AI311" s="125">
        <f t="shared" si="56"/>
        <v>9508.0700000000015</v>
      </c>
      <c r="AJ311" s="72">
        <f>Valores!$C$13+AJ310</f>
        <v>100.02000000000001</v>
      </c>
      <c r="AK311" s="126">
        <f t="shared" si="54"/>
        <v>100.02000000000001</v>
      </c>
      <c r="AL311" s="71">
        <f t="shared" si="55"/>
        <v>2286.8761</v>
      </c>
      <c r="AM311" s="80">
        <v>0</v>
      </c>
      <c r="AN311" s="48"/>
      <c r="AP311" s="43"/>
    </row>
    <row r="312" spans="1:42" ht="11.25" customHeight="1" x14ac:dyDescent="0.2">
      <c r="A312" s="9">
        <v>311</v>
      </c>
      <c r="B312" s="9"/>
      <c r="C312" s="9"/>
      <c r="E312" s="24">
        <v>1</v>
      </c>
      <c r="F312" s="8" t="s">
        <v>421</v>
      </c>
      <c r="G312" s="32">
        <f t="shared" si="69"/>
        <v>1085</v>
      </c>
      <c r="H312" s="7">
        <f>INT((G312*Valores!$C$2*100)+0.5)/100</f>
        <v>4896.28</v>
      </c>
      <c r="I312" s="115">
        <v>0</v>
      </c>
      <c r="J312" s="67">
        <f>INT((I312*Valores!$C$2*100)+0.5)/100</f>
        <v>0</v>
      </c>
      <c r="K312" s="131">
        <v>0</v>
      </c>
      <c r="L312" s="67">
        <f>INT((K312*Valores!$C$2*100)+0.5)/100</f>
        <v>0</v>
      </c>
      <c r="M312" s="99">
        <v>0</v>
      </c>
      <c r="N312" s="67">
        <f>INT((M312*Valores!$C$2*100)+0.5)/100</f>
        <v>0</v>
      </c>
      <c r="O312" s="67">
        <f t="shared" si="66"/>
        <v>0</v>
      </c>
      <c r="P312" s="67">
        <f t="shared" si="67"/>
        <v>6050.5919999999996</v>
      </c>
      <c r="Q312" s="53">
        <v>0</v>
      </c>
      <c r="R312" s="53">
        <v>0</v>
      </c>
      <c r="S312" s="67">
        <v>0</v>
      </c>
      <c r="T312" s="69">
        <f>Valores!$C$43+T311</f>
        <v>145.88</v>
      </c>
      <c r="U312" s="53">
        <v>0</v>
      </c>
      <c r="V312" s="67">
        <f t="shared" si="68"/>
        <v>0</v>
      </c>
      <c r="W312" s="67">
        <v>0</v>
      </c>
      <c r="X312" s="67">
        <v>0</v>
      </c>
      <c r="Y312" s="33">
        <v>0</v>
      </c>
      <c r="Z312" s="67">
        <v>0</v>
      </c>
      <c r="AA312" s="67">
        <v>0</v>
      </c>
      <c r="AB312" s="79">
        <v>0</v>
      </c>
      <c r="AC312" s="67">
        <f t="shared" si="53"/>
        <v>0</v>
      </c>
      <c r="AD312" s="67">
        <v>0</v>
      </c>
      <c r="AE312" s="95">
        <v>0</v>
      </c>
      <c r="AF312" s="67">
        <f>INT(((AE312*Valores!$C$2)*100)+0.5)/100</f>
        <v>0</v>
      </c>
      <c r="AG312" s="67"/>
      <c r="AH312" s="67"/>
      <c r="AI312" s="123">
        <f t="shared" si="56"/>
        <v>11092.751999999999</v>
      </c>
      <c r="AJ312" s="69">
        <f>Valores!$C$13+AJ311</f>
        <v>116.69000000000001</v>
      </c>
      <c r="AK312" s="124">
        <f t="shared" si="54"/>
        <v>116.69000000000001</v>
      </c>
      <c r="AL312" s="68">
        <f t="shared" si="55"/>
        <v>2668.0229599999993</v>
      </c>
      <c r="AM312" s="79">
        <v>0</v>
      </c>
    </row>
    <row r="313" spans="1:42" ht="11.25" customHeight="1" x14ac:dyDescent="0.2">
      <c r="A313" s="9">
        <v>312</v>
      </c>
      <c r="B313" s="9"/>
      <c r="C313" s="9"/>
      <c r="E313" s="24">
        <v>1</v>
      </c>
      <c r="F313" s="8" t="s">
        <v>422</v>
      </c>
      <c r="G313" s="32">
        <f t="shared" si="69"/>
        <v>1240</v>
      </c>
      <c r="H313" s="7">
        <f>INT((G313*Valores!$C$2*100)+0.5)/100</f>
        <v>5595.75</v>
      </c>
      <c r="I313" s="115">
        <v>0</v>
      </c>
      <c r="J313" s="67">
        <f>INT((I313*Valores!$C$2*100)+0.5)/100</f>
        <v>0</v>
      </c>
      <c r="K313" s="131">
        <v>0</v>
      </c>
      <c r="L313" s="67">
        <f>INT((K313*Valores!$C$2*100)+0.5)/100</f>
        <v>0</v>
      </c>
      <c r="M313" s="99">
        <v>0</v>
      </c>
      <c r="N313" s="67">
        <f>INT((M313*Valores!$C$2*100)+0.5)/100</f>
        <v>0</v>
      </c>
      <c r="O313" s="67">
        <f t="shared" si="66"/>
        <v>0</v>
      </c>
      <c r="P313" s="67">
        <f t="shared" si="67"/>
        <v>6914.9639999999999</v>
      </c>
      <c r="Q313" s="53">
        <v>0</v>
      </c>
      <c r="R313" s="53">
        <v>0</v>
      </c>
      <c r="S313" s="67">
        <v>0</v>
      </c>
      <c r="T313" s="69">
        <f>Valores!$C$43+T312</f>
        <v>166.72</v>
      </c>
      <c r="U313" s="53">
        <v>0</v>
      </c>
      <c r="V313" s="67">
        <f t="shared" si="68"/>
        <v>0</v>
      </c>
      <c r="W313" s="67">
        <v>0</v>
      </c>
      <c r="X313" s="67">
        <v>0</v>
      </c>
      <c r="Y313" s="33">
        <v>0</v>
      </c>
      <c r="Z313" s="67">
        <v>0</v>
      </c>
      <c r="AA313" s="67">
        <v>0</v>
      </c>
      <c r="AB313" s="79">
        <v>0</v>
      </c>
      <c r="AC313" s="67">
        <f t="shared" si="53"/>
        <v>0</v>
      </c>
      <c r="AD313" s="67">
        <v>0</v>
      </c>
      <c r="AE313" s="95">
        <v>0</v>
      </c>
      <c r="AF313" s="67">
        <f>INT(((AE313*Valores!$C$2)*100)+0.5)/100</f>
        <v>0</v>
      </c>
      <c r="AG313" s="67"/>
      <c r="AH313" s="67"/>
      <c r="AI313" s="123">
        <f t="shared" si="56"/>
        <v>12677.433999999999</v>
      </c>
      <c r="AJ313" s="69">
        <f>Valores!$C$13+AJ312</f>
        <v>133.36000000000001</v>
      </c>
      <c r="AK313" s="124">
        <f t="shared" si="54"/>
        <v>133.36000000000001</v>
      </c>
      <c r="AL313" s="68">
        <f t="shared" si="55"/>
        <v>3049.1698199999996</v>
      </c>
      <c r="AM313" s="79">
        <v>0</v>
      </c>
    </row>
    <row r="314" spans="1:42" ht="11.25" customHeight="1" x14ac:dyDescent="0.2">
      <c r="A314" s="9">
        <v>313</v>
      </c>
      <c r="B314" s="9"/>
      <c r="C314" s="9"/>
      <c r="E314" s="24">
        <v>1</v>
      </c>
      <c r="F314" s="8" t="s">
        <v>423</v>
      </c>
      <c r="G314" s="32">
        <f t="shared" si="69"/>
        <v>1395</v>
      </c>
      <c r="H314" s="7">
        <f>INT((G314*Valores!$C$2*100)+0.5)/100</f>
        <v>6295.22</v>
      </c>
      <c r="I314" s="115">
        <v>0</v>
      </c>
      <c r="J314" s="67">
        <f>INT((I314*Valores!$C$2*100)+0.5)/100</f>
        <v>0</v>
      </c>
      <c r="K314" s="131">
        <v>0</v>
      </c>
      <c r="L314" s="67">
        <f>INT((K314*Valores!$C$2*100)+0.5)/100</f>
        <v>0</v>
      </c>
      <c r="M314" s="99">
        <v>0</v>
      </c>
      <c r="N314" s="67">
        <f>INT((M314*Valores!$C$2*100)+0.5)/100</f>
        <v>0</v>
      </c>
      <c r="O314" s="67">
        <f t="shared" si="66"/>
        <v>0</v>
      </c>
      <c r="P314" s="67">
        <f t="shared" si="67"/>
        <v>7779.3360000000002</v>
      </c>
      <c r="Q314" s="53">
        <v>0</v>
      </c>
      <c r="R314" s="53">
        <v>0</v>
      </c>
      <c r="S314" s="67">
        <v>0</v>
      </c>
      <c r="T314" s="69">
        <f>Valores!$C$43+T313</f>
        <v>187.56</v>
      </c>
      <c r="U314" s="69">
        <v>0</v>
      </c>
      <c r="V314" s="67">
        <f t="shared" si="68"/>
        <v>0</v>
      </c>
      <c r="W314" s="67">
        <v>0</v>
      </c>
      <c r="X314" s="67">
        <v>0</v>
      </c>
      <c r="Y314" s="33">
        <v>0</v>
      </c>
      <c r="Z314" s="67">
        <v>0</v>
      </c>
      <c r="AA314" s="67">
        <v>0</v>
      </c>
      <c r="AB314" s="79">
        <v>0</v>
      </c>
      <c r="AC314" s="67">
        <f t="shared" si="53"/>
        <v>0</v>
      </c>
      <c r="AD314" s="67">
        <v>0</v>
      </c>
      <c r="AE314" s="95">
        <v>0</v>
      </c>
      <c r="AF314" s="67">
        <f>INT(((AE314*Valores!$C$2)*100)+0.5)/100</f>
        <v>0</v>
      </c>
      <c r="AG314" s="67"/>
      <c r="AH314" s="67"/>
      <c r="AI314" s="123">
        <f t="shared" si="56"/>
        <v>14262.116</v>
      </c>
      <c r="AJ314" s="69">
        <f>Valores!$C$13+AJ313</f>
        <v>150.03000000000003</v>
      </c>
      <c r="AK314" s="124">
        <f t="shared" si="54"/>
        <v>150.03000000000003</v>
      </c>
      <c r="AL314" s="68">
        <f t="shared" si="55"/>
        <v>3430.3166799999999</v>
      </c>
      <c r="AM314" s="79">
        <v>0</v>
      </c>
      <c r="AO314" s="48"/>
    </row>
    <row r="315" spans="1:42" ht="11.25" customHeight="1" x14ac:dyDescent="0.2">
      <c r="A315" s="9">
        <v>314</v>
      </c>
      <c r="B315" s="9"/>
      <c r="C315" s="9"/>
      <c r="E315" s="24">
        <v>1</v>
      </c>
      <c r="F315" s="8" t="s">
        <v>424</v>
      </c>
      <c r="G315" s="32">
        <f t="shared" si="69"/>
        <v>1550</v>
      </c>
      <c r="H315" s="7">
        <f>INT((G315*Valores!$C$2*100)+0.5)/100</f>
        <v>6994.69</v>
      </c>
      <c r="I315" s="115">
        <v>0</v>
      </c>
      <c r="J315" s="67">
        <f>INT((I315*Valores!$C$2*100)+0.5)/100</f>
        <v>0</v>
      </c>
      <c r="K315" s="131">
        <v>0</v>
      </c>
      <c r="L315" s="67">
        <f>INT((K315*Valores!$C$2*100)+0.5)/100</f>
        <v>0</v>
      </c>
      <c r="M315" s="99">
        <v>0</v>
      </c>
      <c r="N315" s="67">
        <f>INT((M315*Valores!$C$2*100)+0.5)/100</f>
        <v>0</v>
      </c>
      <c r="O315" s="67">
        <f t="shared" si="66"/>
        <v>0</v>
      </c>
      <c r="P315" s="67">
        <f t="shared" si="67"/>
        <v>8643.7079999999987</v>
      </c>
      <c r="Q315" s="53">
        <v>0</v>
      </c>
      <c r="R315" s="53">
        <v>0</v>
      </c>
      <c r="S315" s="67">
        <v>0</v>
      </c>
      <c r="T315" s="69">
        <f>Valores!$C$43+T314</f>
        <v>208.4</v>
      </c>
      <c r="U315" s="53">
        <v>0</v>
      </c>
      <c r="V315" s="67">
        <f t="shared" si="68"/>
        <v>0</v>
      </c>
      <c r="W315" s="67">
        <v>0</v>
      </c>
      <c r="X315" s="67">
        <v>0</v>
      </c>
      <c r="Y315" s="33">
        <v>0</v>
      </c>
      <c r="Z315" s="67">
        <v>0</v>
      </c>
      <c r="AA315" s="67">
        <v>0</v>
      </c>
      <c r="AB315" s="79">
        <v>0</v>
      </c>
      <c r="AC315" s="67">
        <f t="shared" si="53"/>
        <v>0</v>
      </c>
      <c r="AD315" s="67">
        <v>0</v>
      </c>
      <c r="AE315" s="95">
        <v>0</v>
      </c>
      <c r="AF315" s="67">
        <f>INT(((AE315*Valores!$C$2)*100)+0.5)/100</f>
        <v>0</v>
      </c>
      <c r="AG315" s="67"/>
      <c r="AH315" s="67"/>
      <c r="AI315" s="123">
        <f t="shared" si="56"/>
        <v>15846.797999999997</v>
      </c>
      <c r="AJ315" s="69">
        <f>Valores!$C$13+AJ314</f>
        <v>166.70000000000005</v>
      </c>
      <c r="AK315" s="124">
        <f t="shared" si="54"/>
        <v>166.70000000000005</v>
      </c>
      <c r="AL315" s="68">
        <f t="shared" si="55"/>
        <v>3811.4635399999988</v>
      </c>
      <c r="AM315" s="79">
        <v>0</v>
      </c>
    </row>
    <row r="316" spans="1:42" ht="11.25" customHeight="1" x14ac:dyDescent="0.2">
      <c r="A316" s="43">
        <v>315</v>
      </c>
      <c r="B316" s="43" t="s">
        <v>460</v>
      </c>
      <c r="C316" s="43"/>
      <c r="D316" s="51"/>
      <c r="E316" s="49">
        <v>1</v>
      </c>
      <c r="F316" s="50" t="s">
        <v>425</v>
      </c>
      <c r="G316" s="56">
        <f t="shared" si="69"/>
        <v>1705</v>
      </c>
      <c r="H316" s="110">
        <f>INT((G316*Valores!$C$2*100)+0.5)/100</f>
        <v>7694.15</v>
      </c>
      <c r="I316" s="114">
        <v>0</v>
      </c>
      <c r="J316" s="70">
        <f>INT((I316*Valores!$C$2*100)+0.5)/100</f>
        <v>0</v>
      </c>
      <c r="K316" s="132">
        <v>0</v>
      </c>
      <c r="L316" s="70">
        <f>INT((K316*Valores!$C$2*100)+0.5)/100</f>
        <v>0</v>
      </c>
      <c r="M316" s="100">
        <v>0</v>
      </c>
      <c r="N316" s="70">
        <f>INT((M316*Valores!$C$2*100)+0.5)/100</f>
        <v>0</v>
      </c>
      <c r="O316" s="70">
        <f t="shared" si="66"/>
        <v>0</v>
      </c>
      <c r="P316" s="70">
        <f t="shared" si="67"/>
        <v>9508.0679999999993</v>
      </c>
      <c r="Q316" s="75">
        <v>0</v>
      </c>
      <c r="R316" s="75">
        <v>0</v>
      </c>
      <c r="S316" s="70">
        <v>0</v>
      </c>
      <c r="T316" s="72">
        <f>Valores!$C$43+T315</f>
        <v>229.24</v>
      </c>
      <c r="U316" s="75">
        <v>0</v>
      </c>
      <c r="V316" s="70">
        <f t="shared" si="68"/>
        <v>0</v>
      </c>
      <c r="W316" s="70">
        <v>0</v>
      </c>
      <c r="X316" s="70">
        <v>0</v>
      </c>
      <c r="Y316" s="52">
        <v>0</v>
      </c>
      <c r="Z316" s="70">
        <v>0</v>
      </c>
      <c r="AA316" s="70">
        <v>0</v>
      </c>
      <c r="AB316" s="80">
        <v>0</v>
      </c>
      <c r="AC316" s="70">
        <f t="shared" si="53"/>
        <v>0</v>
      </c>
      <c r="AD316" s="70">
        <v>0</v>
      </c>
      <c r="AE316" s="94">
        <v>0</v>
      </c>
      <c r="AF316" s="70">
        <f>INT(((AE316*Valores!$C$2)*100)+0.5)/100</f>
        <v>0</v>
      </c>
      <c r="AG316" s="70"/>
      <c r="AH316" s="70"/>
      <c r="AI316" s="125">
        <f t="shared" si="56"/>
        <v>17431.458000000002</v>
      </c>
      <c r="AJ316" s="72">
        <f>Valores!$C$13+AJ315</f>
        <v>183.37000000000006</v>
      </c>
      <c r="AK316" s="126">
        <f t="shared" si="54"/>
        <v>183.37000000000006</v>
      </c>
      <c r="AL316" s="71">
        <f t="shared" si="55"/>
        <v>4192.6053400000001</v>
      </c>
      <c r="AM316" s="80">
        <v>0</v>
      </c>
      <c r="AN316" s="48"/>
      <c r="AP316" s="43"/>
    </row>
    <row r="317" spans="1:42" ht="11.25" customHeight="1" x14ac:dyDescent="0.2">
      <c r="A317" s="9">
        <v>316</v>
      </c>
      <c r="B317" s="9"/>
      <c r="C317" s="9"/>
      <c r="E317" s="24">
        <v>1</v>
      </c>
      <c r="F317" s="8" t="s">
        <v>426</v>
      </c>
      <c r="G317" s="32">
        <f t="shared" si="69"/>
        <v>1860</v>
      </c>
      <c r="H317" s="7">
        <f>INT((G317*Valores!$C$2*100)+0.5)/100</f>
        <v>8393.6200000000008</v>
      </c>
      <c r="I317" s="115">
        <v>0</v>
      </c>
      <c r="J317" s="67">
        <f>INT((I317*Valores!$C$2*100)+0.5)/100</f>
        <v>0</v>
      </c>
      <c r="K317" s="131">
        <v>0</v>
      </c>
      <c r="L317" s="67">
        <f>INT((K317*Valores!$C$2*100)+0.5)/100</f>
        <v>0</v>
      </c>
      <c r="M317" s="99">
        <v>0</v>
      </c>
      <c r="N317" s="67">
        <f>INT((M317*Valores!$C$2*100)+0.5)/100</f>
        <v>0</v>
      </c>
      <c r="O317" s="67">
        <f t="shared" si="66"/>
        <v>0</v>
      </c>
      <c r="P317" s="67">
        <f t="shared" si="67"/>
        <v>10372.44</v>
      </c>
      <c r="Q317" s="53">
        <v>0</v>
      </c>
      <c r="R317" s="53">
        <v>0</v>
      </c>
      <c r="S317" s="67">
        <v>0</v>
      </c>
      <c r="T317" s="69">
        <f>Valores!$C$43+T316</f>
        <v>250.08</v>
      </c>
      <c r="U317" s="53">
        <v>0</v>
      </c>
      <c r="V317" s="67">
        <f t="shared" si="68"/>
        <v>0</v>
      </c>
      <c r="W317" s="67">
        <v>0</v>
      </c>
      <c r="X317" s="67">
        <v>0</v>
      </c>
      <c r="Y317" s="33">
        <v>0</v>
      </c>
      <c r="Z317" s="67">
        <v>0</v>
      </c>
      <c r="AA317" s="67">
        <v>0</v>
      </c>
      <c r="AB317" s="79">
        <v>0</v>
      </c>
      <c r="AC317" s="67">
        <f t="shared" si="53"/>
        <v>0</v>
      </c>
      <c r="AD317" s="67">
        <v>0</v>
      </c>
      <c r="AE317" s="95">
        <v>0</v>
      </c>
      <c r="AF317" s="67">
        <f>INT(((AE317*Valores!$C$2)*100)+0.5)/100</f>
        <v>0</v>
      </c>
      <c r="AG317" s="67"/>
      <c r="AH317" s="67"/>
      <c r="AI317" s="123">
        <f t="shared" si="56"/>
        <v>19016.140000000003</v>
      </c>
      <c r="AJ317" s="69">
        <f>Valores!$C$13+AJ316</f>
        <v>200.04000000000008</v>
      </c>
      <c r="AK317" s="124">
        <f t="shared" si="54"/>
        <v>200.04000000000008</v>
      </c>
      <c r="AL317" s="68">
        <f t="shared" si="55"/>
        <v>4573.7521999999999</v>
      </c>
      <c r="AM317" s="79">
        <v>0</v>
      </c>
    </row>
    <row r="318" spans="1:42" ht="11.25" customHeight="1" x14ac:dyDescent="0.2">
      <c r="A318" s="9">
        <v>317</v>
      </c>
      <c r="B318" s="9"/>
      <c r="C318" s="9"/>
      <c r="E318" s="24">
        <v>1</v>
      </c>
      <c r="F318" s="8" t="s">
        <v>427</v>
      </c>
      <c r="G318" s="32">
        <f t="shared" si="69"/>
        <v>2015</v>
      </c>
      <c r="H318" s="7">
        <f>INT((G318*Valores!$C$2*100)+0.5)/100</f>
        <v>9093.09</v>
      </c>
      <c r="I318" s="115">
        <v>0</v>
      </c>
      <c r="J318" s="67">
        <f>INT((I318*Valores!$C$2*100)+0.5)/100</f>
        <v>0</v>
      </c>
      <c r="K318" s="131">
        <v>0</v>
      </c>
      <c r="L318" s="67">
        <f>INT((K318*Valores!$C$2*100)+0.5)/100</f>
        <v>0</v>
      </c>
      <c r="M318" s="99">
        <v>0</v>
      </c>
      <c r="N318" s="67">
        <f>INT((M318*Valores!$C$2*100)+0.5)/100</f>
        <v>0</v>
      </c>
      <c r="O318" s="67">
        <f t="shared" si="66"/>
        <v>0</v>
      </c>
      <c r="P318" s="67">
        <f t="shared" si="67"/>
        <v>11236.812</v>
      </c>
      <c r="Q318" s="53">
        <v>0</v>
      </c>
      <c r="R318" s="53">
        <v>0</v>
      </c>
      <c r="S318" s="67">
        <v>0</v>
      </c>
      <c r="T318" s="69">
        <f>Valores!$C$43+T317</f>
        <v>270.92</v>
      </c>
      <c r="U318" s="53">
        <v>0</v>
      </c>
      <c r="V318" s="67">
        <f t="shared" si="68"/>
        <v>0</v>
      </c>
      <c r="W318" s="67">
        <v>0</v>
      </c>
      <c r="X318" s="67">
        <v>0</v>
      </c>
      <c r="Y318" s="33">
        <v>0</v>
      </c>
      <c r="Z318" s="67">
        <v>0</v>
      </c>
      <c r="AA318" s="67">
        <v>0</v>
      </c>
      <c r="AB318" s="79">
        <v>0</v>
      </c>
      <c r="AC318" s="67">
        <f t="shared" si="53"/>
        <v>0</v>
      </c>
      <c r="AD318" s="67">
        <v>0</v>
      </c>
      <c r="AE318" s="95">
        <v>0</v>
      </c>
      <c r="AF318" s="67">
        <f>INT(((AE318*Valores!$C$2)*100)+0.5)/100</f>
        <v>0</v>
      </c>
      <c r="AG318" s="67"/>
      <c r="AH318" s="67"/>
      <c r="AI318" s="123">
        <f t="shared" si="56"/>
        <v>20600.822</v>
      </c>
      <c r="AJ318" s="69">
        <f>Valores!$C$13+AJ317</f>
        <v>216.71000000000009</v>
      </c>
      <c r="AK318" s="124">
        <f t="shared" si="54"/>
        <v>216.71000000000009</v>
      </c>
      <c r="AL318" s="68">
        <f t="shared" si="55"/>
        <v>4954.8990599999997</v>
      </c>
      <c r="AM318" s="79">
        <v>0</v>
      </c>
    </row>
    <row r="319" spans="1:42" ht="11.25" customHeight="1" x14ac:dyDescent="0.2">
      <c r="A319" s="9">
        <v>318</v>
      </c>
      <c r="B319" s="9"/>
      <c r="C319" s="9"/>
      <c r="E319" s="24">
        <v>1</v>
      </c>
      <c r="F319" s="8" t="s">
        <v>428</v>
      </c>
      <c r="G319" s="32">
        <f t="shared" si="69"/>
        <v>2170</v>
      </c>
      <c r="H319" s="7">
        <f>INT((G319*Valores!$C$2*100)+0.5)/100</f>
        <v>9792.56</v>
      </c>
      <c r="I319" s="115">
        <v>0</v>
      </c>
      <c r="J319" s="67">
        <f>INT((I319*Valores!$C$2*100)+0.5)/100</f>
        <v>0</v>
      </c>
      <c r="K319" s="131">
        <v>0</v>
      </c>
      <c r="L319" s="67">
        <f>INT((K319*Valores!$C$2*100)+0.5)/100</f>
        <v>0</v>
      </c>
      <c r="M319" s="99">
        <v>0</v>
      </c>
      <c r="N319" s="67">
        <f>INT((M319*Valores!$C$2*100)+0.5)/100</f>
        <v>0</v>
      </c>
      <c r="O319" s="67">
        <f t="shared" si="66"/>
        <v>0</v>
      </c>
      <c r="P319" s="67">
        <f t="shared" si="67"/>
        <v>12101.183999999999</v>
      </c>
      <c r="Q319" s="53">
        <v>0</v>
      </c>
      <c r="R319" s="53">
        <v>0</v>
      </c>
      <c r="S319" s="67">
        <v>0</v>
      </c>
      <c r="T319" s="69">
        <f>Valores!$C$43+T318</f>
        <v>291.76</v>
      </c>
      <c r="U319" s="69">
        <v>0</v>
      </c>
      <c r="V319" s="67">
        <f t="shared" si="68"/>
        <v>0</v>
      </c>
      <c r="W319" s="67">
        <v>0</v>
      </c>
      <c r="X319" s="67">
        <v>0</v>
      </c>
      <c r="Y319" s="33">
        <v>0</v>
      </c>
      <c r="Z319" s="67">
        <v>0</v>
      </c>
      <c r="AA319" s="67">
        <v>0</v>
      </c>
      <c r="AB319" s="79">
        <v>0</v>
      </c>
      <c r="AC319" s="67">
        <f t="shared" si="53"/>
        <v>0</v>
      </c>
      <c r="AD319" s="67">
        <v>0</v>
      </c>
      <c r="AE319" s="95">
        <v>0</v>
      </c>
      <c r="AF319" s="67">
        <f>INT(((AE319*Valores!$C$2)*100)+0.5)/100</f>
        <v>0</v>
      </c>
      <c r="AG319" s="67"/>
      <c r="AH319" s="67"/>
      <c r="AI319" s="123">
        <f t="shared" si="56"/>
        <v>22185.503999999997</v>
      </c>
      <c r="AJ319" s="69">
        <f>Valores!$C$13+AJ318</f>
        <v>233.38000000000011</v>
      </c>
      <c r="AK319" s="124">
        <f t="shared" si="54"/>
        <v>233.38000000000011</v>
      </c>
      <c r="AL319" s="68">
        <f t="shared" si="55"/>
        <v>5336.0459199999987</v>
      </c>
      <c r="AM319" s="79">
        <v>0</v>
      </c>
      <c r="AO319" s="48"/>
    </row>
    <row r="320" spans="1:42" ht="11.25" customHeight="1" x14ac:dyDescent="0.2">
      <c r="A320" s="9">
        <v>319</v>
      </c>
      <c r="B320" s="9"/>
      <c r="C320" s="9"/>
      <c r="E320" s="24">
        <v>1</v>
      </c>
      <c r="F320" s="8" t="s">
        <v>429</v>
      </c>
      <c r="G320" s="32">
        <f t="shared" si="69"/>
        <v>2325</v>
      </c>
      <c r="H320" s="7">
        <f>INT((G320*Valores!$C$2*100)+0.5)/100</f>
        <v>10492.03</v>
      </c>
      <c r="I320" s="115">
        <v>0</v>
      </c>
      <c r="J320" s="67">
        <f>INT((I320*Valores!$C$2*100)+0.5)/100</f>
        <v>0</v>
      </c>
      <c r="K320" s="131">
        <v>0</v>
      </c>
      <c r="L320" s="67">
        <f>INT((K320*Valores!$C$2*100)+0.5)/100</f>
        <v>0</v>
      </c>
      <c r="M320" s="99">
        <v>0</v>
      </c>
      <c r="N320" s="67">
        <f>INT((M320*Valores!$C$2*100)+0.5)/100</f>
        <v>0</v>
      </c>
      <c r="O320" s="67">
        <f t="shared" si="66"/>
        <v>0</v>
      </c>
      <c r="P320" s="67">
        <f t="shared" si="67"/>
        <v>12965.556</v>
      </c>
      <c r="Q320" s="53">
        <v>0</v>
      </c>
      <c r="R320" s="53">
        <v>0</v>
      </c>
      <c r="S320" s="67">
        <v>0</v>
      </c>
      <c r="T320" s="69">
        <f>Valores!$C$43+T319</f>
        <v>312.59999999999997</v>
      </c>
      <c r="U320" s="53">
        <v>0</v>
      </c>
      <c r="V320" s="67">
        <f t="shared" si="68"/>
        <v>0</v>
      </c>
      <c r="W320" s="67">
        <v>0</v>
      </c>
      <c r="X320" s="67">
        <v>0</v>
      </c>
      <c r="Y320" s="33">
        <v>0</v>
      </c>
      <c r="Z320" s="67">
        <v>0</v>
      </c>
      <c r="AA320" s="67">
        <v>0</v>
      </c>
      <c r="AB320" s="79">
        <v>0</v>
      </c>
      <c r="AC320" s="67">
        <f t="shared" si="53"/>
        <v>0</v>
      </c>
      <c r="AD320" s="67">
        <v>0</v>
      </c>
      <c r="AE320" s="95">
        <v>0</v>
      </c>
      <c r="AF320" s="67">
        <f>INT(((AE320*Valores!$C$2)*100)+0.5)/100</f>
        <v>0</v>
      </c>
      <c r="AG320" s="67"/>
      <c r="AH320" s="67"/>
      <c r="AI320" s="123">
        <f t="shared" si="56"/>
        <v>23770.186000000002</v>
      </c>
      <c r="AJ320" s="69">
        <f>Valores!$C$13+AJ319</f>
        <v>250.05000000000013</v>
      </c>
      <c r="AK320" s="124">
        <f t="shared" si="54"/>
        <v>250.05000000000013</v>
      </c>
      <c r="AL320" s="68">
        <f t="shared" si="55"/>
        <v>5717.1927800000003</v>
      </c>
      <c r="AM320" s="79">
        <v>0</v>
      </c>
    </row>
    <row r="321" spans="1:42" ht="11.25" customHeight="1" x14ac:dyDescent="0.2">
      <c r="A321" s="9">
        <v>320</v>
      </c>
      <c r="B321" s="9" t="s">
        <v>460</v>
      </c>
      <c r="C321" s="9"/>
      <c r="E321" s="24">
        <v>1</v>
      </c>
      <c r="F321" s="8" t="s">
        <v>430</v>
      </c>
      <c r="G321" s="32">
        <f>155+G320</f>
        <v>2480</v>
      </c>
      <c r="H321" s="7">
        <f>INT((G321*Valores!$C$2*100)+0.5)/100</f>
        <v>11191.5</v>
      </c>
      <c r="I321" s="115">
        <v>0</v>
      </c>
      <c r="J321" s="67">
        <f>INT((I321*Valores!$C$2*100)+0.5)/100</f>
        <v>0</v>
      </c>
      <c r="K321" s="131">
        <v>0</v>
      </c>
      <c r="L321" s="67">
        <f>INT((K321*Valores!$C$2*100)+0.5)/100</f>
        <v>0</v>
      </c>
      <c r="M321" s="99">
        <v>0</v>
      </c>
      <c r="N321" s="67">
        <f>INT((M321*Valores!$C$2*100)+0.5)/100</f>
        <v>0</v>
      </c>
      <c r="O321" s="67">
        <f t="shared" si="66"/>
        <v>0</v>
      </c>
      <c r="P321" s="67">
        <f t="shared" si="67"/>
        <v>13829.928</v>
      </c>
      <c r="Q321" s="53">
        <v>0</v>
      </c>
      <c r="R321" s="53">
        <v>0</v>
      </c>
      <c r="S321" s="67">
        <v>0</v>
      </c>
      <c r="T321" s="69">
        <f>Valores!$C$43+T320</f>
        <v>333.43999999999994</v>
      </c>
      <c r="U321" s="53">
        <v>0</v>
      </c>
      <c r="V321" s="67">
        <f t="shared" si="68"/>
        <v>0</v>
      </c>
      <c r="W321" s="67">
        <v>0</v>
      </c>
      <c r="X321" s="67">
        <v>0</v>
      </c>
      <c r="Y321" s="33">
        <v>0</v>
      </c>
      <c r="Z321" s="67">
        <v>0</v>
      </c>
      <c r="AA321" s="67">
        <v>0</v>
      </c>
      <c r="AB321" s="79">
        <v>0</v>
      </c>
      <c r="AC321" s="67">
        <f t="shared" si="53"/>
        <v>0</v>
      </c>
      <c r="AD321" s="67">
        <v>0</v>
      </c>
      <c r="AE321" s="95">
        <v>0</v>
      </c>
      <c r="AF321" s="67">
        <f>INT(((AE321*Valores!$C$2)*100)+0.5)/100</f>
        <v>0</v>
      </c>
      <c r="AG321" s="67"/>
      <c r="AH321" s="67"/>
      <c r="AI321" s="123">
        <f t="shared" si="56"/>
        <v>25354.867999999999</v>
      </c>
      <c r="AJ321" s="69">
        <f>Valores!$C$13+AJ320</f>
        <v>266.72000000000014</v>
      </c>
      <c r="AK321" s="124">
        <f t="shared" si="54"/>
        <v>266.72000000000014</v>
      </c>
      <c r="AL321" s="68">
        <f t="shared" si="55"/>
        <v>6098.3396399999992</v>
      </c>
      <c r="AM321" s="79">
        <v>0</v>
      </c>
    </row>
    <row r="322" spans="1:42" ht="11.25" customHeight="1" x14ac:dyDescent="0.2">
      <c r="A322" s="9">
        <v>321</v>
      </c>
      <c r="B322" s="9"/>
      <c r="C322" s="9"/>
      <c r="D322" s="26" t="s">
        <v>440</v>
      </c>
      <c r="E322" s="24">
        <v>1</v>
      </c>
      <c r="F322" s="8" t="s">
        <v>431</v>
      </c>
      <c r="G322" s="32">
        <f>232+8</f>
        <v>240</v>
      </c>
      <c r="H322" s="7">
        <f>INT((G322*Valores!$C$2*100)+0.5)/100</f>
        <v>1083.05</v>
      </c>
      <c r="I322" s="115">
        <v>0</v>
      </c>
      <c r="J322" s="67">
        <f>INT((I322*Valores!$C$2*100)+0.5)/100</f>
        <v>0</v>
      </c>
      <c r="K322" s="131">
        <v>0</v>
      </c>
      <c r="L322" s="67">
        <f>INT((K322*Valores!$C$2*100)+0.5)/100</f>
        <v>0</v>
      </c>
      <c r="M322" s="99">
        <v>0</v>
      </c>
      <c r="N322" s="67">
        <f>INT((M322*Valores!$C$2*100)+0.5)/100</f>
        <v>0</v>
      </c>
      <c r="O322" s="67">
        <f t="shared" si="66"/>
        <v>0</v>
      </c>
      <c r="P322" s="67">
        <f t="shared" si="67"/>
        <v>1359.6599999999999</v>
      </c>
      <c r="Q322" s="53">
        <v>0</v>
      </c>
      <c r="R322" s="53">
        <v>0</v>
      </c>
      <c r="S322" s="67">
        <v>0</v>
      </c>
      <c r="T322" s="69">
        <f>Valores!$C$44</f>
        <v>50</v>
      </c>
      <c r="U322" s="53">
        <v>0</v>
      </c>
      <c r="V322" s="67">
        <f t="shared" si="68"/>
        <v>0</v>
      </c>
      <c r="W322" s="67">
        <v>0</v>
      </c>
      <c r="X322" s="67">
        <v>0</v>
      </c>
      <c r="Y322" s="33">
        <v>0</v>
      </c>
      <c r="Z322" s="67">
        <v>0</v>
      </c>
      <c r="AA322" s="67">
        <v>0</v>
      </c>
      <c r="AB322" s="79">
        <v>0</v>
      </c>
      <c r="AC322" s="67">
        <f t="shared" ref="AC322:AC327" si="70">SUM(H322,J322,L322,Z322,T322,N322)*$H$3/100</f>
        <v>0</v>
      </c>
      <c r="AD322" s="67">
        <v>0</v>
      </c>
      <c r="AE322" s="95">
        <v>0</v>
      </c>
      <c r="AF322" s="67">
        <f>INT(((AE322*Valores!$C$2)*100)+0.5)/100</f>
        <v>0</v>
      </c>
      <c r="AG322" s="67"/>
      <c r="AH322" s="67"/>
      <c r="AI322" s="123">
        <f t="shared" ref="AI322:AI327" si="71">SUM(H322,J322,L322,N322,O322,P322,Q322,R322,S322,V322,W322,X322,Z322,AA322,AB322,AC322,AD322,AF322,T322,AG322,AH322)</f>
        <v>2492.71</v>
      </c>
      <c r="AJ322" s="69">
        <f>Valores!$C$14</f>
        <v>40</v>
      </c>
      <c r="AK322" s="124">
        <f t="shared" ref="AK322:AK327" si="72">SUM(AJ322:AJ322)</f>
        <v>40</v>
      </c>
      <c r="AL322" s="68">
        <f t="shared" ref="AL322:AL327" si="73">(AI322*(0.16+0.025+0.045)+AK322)</f>
        <v>613.32330000000002</v>
      </c>
      <c r="AM322" s="79">
        <v>0</v>
      </c>
      <c r="AP322" s="9" t="s">
        <v>465</v>
      </c>
    </row>
    <row r="323" spans="1:42" ht="11.25" customHeight="1" x14ac:dyDescent="0.2">
      <c r="A323" s="9">
        <v>322</v>
      </c>
      <c r="B323" s="9"/>
      <c r="C323" s="9"/>
      <c r="D323" s="34" t="s">
        <v>440</v>
      </c>
      <c r="E323" s="24">
        <v>1</v>
      </c>
      <c r="F323" s="8" t="s">
        <v>432</v>
      </c>
      <c r="G323" s="32">
        <f>208+8</f>
        <v>216</v>
      </c>
      <c r="H323" s="7">
        <f>INT((G323*Valores!$C$2*100)+0.5)/100</f>
        <v>974.74</v>
      </c>
      <c r="I323" s="115">
        <v>0</v>
      </c>
      <c r="J323" s="67">
        <f>INT((I323*Valores!$C$2*100)+0.5)/100</f>
        <v>0</v>
      </c>
      <c r="K323" s="131">
        <v>0</v>
      </c>
      <c r="L323" s="67">
        <f>INT((K323*Valores!$C$2*100)+0.5)/100</f>
        <v>0</v>
      </c>
      <c r="M323" s="99">
        <v>0</v>
      </c>
      <c r="N323" s="67">
        <f>INT((M323*Valores!$C$2*100)+0.5)/100</f>
        <v>0</v>
      </c>
      <c r="O323" s="67">
        <f t="shared" si="66"/>
        <v>0</v>
      </c>
      <c r="P323" s="67">
        <f t="shared" si="67"/>
        <v>1229.6879999999999</v>
      </c>
      <c r="Q323" s="53">
        <v>0</v>
      </c>
      <c r="R323" s="53">
        <v>0</v>
      </c>
      <c r="S323" s="67">
        <v>0</v>
      </c>
      <c r="T323" s="69">
        <f>Valores!$C$44</f>
        <v>50</v>
      </c>
      <c r="U323" s="53">
        <v>0</v>
      </c>
      <c r="V323" s="67">
        <f t="shared" si="68"/>
        <v>0</v>
      </c>
      <c r="W323" s="67">
        <v>0</v>
      </c>
      <c r="X323" s="67">
        <v>0</v>
      </c>
      <c r="Y323" s="33">
        <v>0</v>
      </c>
      <c r="Z323" s="67">
        <v>0</v>
      </c>
      <c r="AA323" s="67">
        <v>0</v>
      </c>
      <c r="AB323" s="79">
        <v>0</v>
      </c>
      <c r="AC323" s="67">
        <f t="shared" si="70"/>
        <v>0</v>
      </c>
      <c r="AD323" s="67">
        <v>0</v>
      </c>
      <c r="AE323" s="95">
        <v>0</v>
      </c>
      <c r="AF323" s="67">
        <f>INT(((AE323*Valores!$C$2)*100)+0.5)/100</f>
        <v>0</v>
      </c>
      <c r="AG323" s="67"/>
      <c r="AH323" s="67"/>
      <c r="AI323" s="123">
        <f t="shared" si="71"/>
        <v>2254.4279999999999</v>
      </c>
      <c r="AJ323" s="69">
        <f>Valores!$C$14</f>
        <v>40</v>
      </c>
      <c r="AK323" s="124">
        <f t="shared" si="72"/>
        <v>40</v>
      </c>
      <c r="AL323" s="68">
        <f t="shared" si="73"/>
        <v>558.51843999999994</v>
      </c>
      <c r="AM323" s="79">
        <v>0</v>
      </c>
      <c r="AP323" s="9" t="s">
        <v>465</v>
      </c>
    </row>
    <row r="324" spans="1:42" ht="11.25" customHeight="1" x14ac:dyDescent="0.2">
      <c r="A324" s="9">
        <v>323</v>
      </c>
      <c r="B324" s="9"/>
      <c r="C324" s="9"/>
      <c r="D324" s="34" t="s">
        <v>440</v>
      </c>
      <c r="E324" s="24">
        <v>1</v>
      </c>
      <c r="F324" s="8" t="s">
        <v>433</v>
      </c>
      <c r="G324" s="32">
        <f>194+8</f>
        <v>202</v>
      </c>
      <c r="H324" s="7">
        <f>INT((G324*Valores!$C$2*100)+0.5)/100</f>
        <v>911.57</v>
      </c>
      <c r="I324" s="115">
        <v>0</v>
      </c>
      <c r="J324" s="67">
        <f>INT((I324*Valores!$C$2*100)+0.5)/100</f>
        <v>0</v>
      </c>
      <c r="K324" s="131">
        <v>0</v>
      </c>
      <c r="L324" s="67">
        <f>INT((K324*Valores!$C$2*100)+0.5)/100</f>
        <v>0</v>
      </c>
      <c r="M324" s="99">
        <v>0</v>
      </c>
      <c r="N324" s="67">
        <f>INT((M324*Valores!$C$2*100)+0.5)/100</f>
        <v>0</v>
      </c>
      <c r="O324" s="67">
        <f t="shared" si="66"/>
        <v>0</v>
      </c>
      <c r="P324" s="67">
        <f t="shared" si="67"/>
        <v>1153.884</v>
      </c>
      <c r="Q324" s="53">
        <v>0</v>
      </c>
      <c r="R324" s="53">
        <v>0</v>
      </c>
      <c r="S324" s="67">
        <v>0</v>
      </c>
      <c r="T324" s="69">
        <f>Valores!$C$44</f>
        <v>50</v>
      </c>
      <c r="U324" s="53">
        <v>0</v>
      </c>
      <c r="V324" s="67">
        <f t="shared" si="68"/>
        <v>0</v>
      </c>
      <c r="W324" s="67">
        <v>0</v>
      </c>
      <c r="X324" s="67">
        <v>0</v>
      </c>
      <c r="Y324" s="33">
        <v>0</v>
      </c>
      <c r="Z324" s="67">
        <v>0</v>
      </c>
      <c r="AA324" s="67">
        <v>0</v>
      </c>
      <c r="AB324" s="79">
        <v>0</v>
      </c>
      <c r="AC324" s="67">
        <f t="shared" si="70"/>
        <v>0</v>
      </c>
      <c r="AD324" s="67">
        <v>0</v>
      </c>
      <c r="AE324" s="95">
        <v>0</v>
      </c>
      <c r="AF324" s="67">
        <f>INT(((AE324*Valores!$C$2)*100)+0.5)/100</f>
        <v>0</v>
      </c>
      <c r="AG324" s="67"/>
      <c r="AH324" s="67"/>
      <c r="AI324" s="123">
        <f t="shared" si="71"/>
        <v>2115.4540000000002</v>
      </c>
      <c r="AJ324" s="69">
        <f>Valores!$C$14</f>
        <v>40</v>
      </c>
      <c r="AK324" s="124">
        <f t="shared" si="72"/>
        <v>40</v>
      </c>
      <c r="AL324" s="68">
        <f t="shared" si="73"/>
        <v>526.55441999999994</v>
      </c>
      <c r="AM324" s="79">
        <v>0</v>
      </c>
      <c r="AP324" s="9" t="s">
        <v>465</v>
      </c>
    </row>
    <row r="325" spans="1:42" ht="11.25" customHeight="1" x14ac:dyDescent="0.2">
      <c r="A325" s="9">
        <v>324</v>
      </c>
      <c r="B325" s="9"/>
      <c r="C325" s="9"/>
      <c r="D325" s="34" t="s">
        <v>440</v>
      </c>
      <c r="E325" s="24">
        <v>1</v>
      </c>
      <c r="F325" s="8" t="s">
        <v>434</v>
      </c>
      <c r="G325" s="32">
        <f>208+8</f>
        <v>216</v>
      </c>
      <c r="H325" s="7">
        <f>INT((G325*Valores!$C$2*100)+0.5)/100</f>
        <v>974.74</v>
      </c>
      <c r="I325" s="115">
        <v>0</v>
      </c>
      <c r="J325" s="67">
        <f>INT((I325*Valores!$C$2*100)+0.5)/100</f>
        <v>0</v>
      </c>
      <c r="K325" s="131">
        <v>0</v>
      </c>
      <c r="L325" s="67">
        <f>INT((K325*Valores!$C$2*100)+0.5)/100</f>
        <v>0</v>
      </c>
      <c r="M325" s="99">
        <v>0</v>
      </c>
      <c r="N325" s="67">
        <f>INT((M325*Valores!$C$2*100)+0.5)/100</f>
        <v>0</v>
      </c>
      <c r="O325" s="67">
        <f t="shared" si="66"/>
        <v>0</v>
      </c>
      <c r="P325" s="67">
        <f t="shared" si="67"/>
        <v>1229.6879999999999</v>
      </c>
      <c r="Q325" s="53">
        <v>0</v>
      </c>
      <c r="R325" s="53">
        <v>0</v>
      </c>
      <c r="S325" s="67">
        <v>0</v>
      </c>
      <c r="T325" s="69">
        <f>Valores!$C$44</f>
        <v>50</v>
      </c>
      <c r="U325" s="69">
        <v>0</v>
      </c>
      <c r="V325" s="67">
        <f t="shared" si="68"/>
        <v>0</v>
      </c>
      <c r="W325" s="67">
        <v>0</v>
      </c>
      <c r="X325" s="67">
        <v>0</v>
      </c>
      <c r="Y325" s="33">
        <v>0</v>
      </c>
      <c r="Z325" s="67">
        <v>0</v>
      </c>
      <c r="AA325" s="67">
        <v>0</v>
      </c>
      <c r="AB325" s="79">
        <v>0</v>
      </c>
      <c r="AC325" s="67">
        <f t="shared" si="70"/>
        <v>0</v>
      </c>
      <c r="AD325" s="67">
        <v>0</v>
      </c>
      <c r="AE325" s="95">
        <v>0</v>
      </c>
      <c r="AF325" s="67">
        <f>INT(((AE325*Valores!$C$2)*100)+0.5)/100</f>
        <v>0</v>
      </c>
      <c r="AG325" s="67"/>
      <c r="AH325" s="67"/>
      <c r="AI325" s="123">
        <f t="shared" si="71"/>
        <v>2254.4279999999999</v>
      </c>
      <c r="AJ325" s="69">
        <f>Valores!$C$14</f>
        <v>40</v>
      </c>
      <c r="AK325" s="124">
        <f t="shared" si="72"/>
        <v>40</v>
      </c>
      <c r="AL325" s="68">
        <f t="shared" si="73"/>
        <v>558.51843999999994</v>
      </c>
      <c r="AM325" s="79">
        <v>0</v>
      </c>
      <c r="AO325" s="48"/>
      <c r="AP325" s="9" t="s">
        <v>465</v>
      </c>
    </row>
    <row r="326" spans="1:42" ht="11.25" customHeight="1" x14ac:dyDescent="0.2">
      <c r="A326" s="9">
        <v>325</v>
      </c>
      <c r="B326" s="9" t="s">
        <v>460</v>
      </c>
      <c r="C326" s="9"/>
      <c r="D326" s="26" t="s">
        <v>440</v>
      </c>
      <c r="E326" s="24">
        <v>1</v>
      </c>
      <c r="F326" s="8" t="s">
        <v>435</v>
      </c>
      <c r="G326" s="32">
        <f>192+8</f>
        <v>200</v>
      </c>
      <c r="H326" s="7">
        <f>INT((G326*Valores!$C$2*100)+0.5)/100</f>
        <v>902.54</v>
      </c>
      <c r="I326" s="115">
        <v>0</v>
      </c>
      <c r="J326" s="67">
        <f>INT((I326*Valores!$C$2*100)+0.5)/100</f>
        <v>0</v>
      </c>
      <c r="K326" s="131">
        <v>0</v>
      </c>
      <c r="L326" s="67">
        <f>INT((K326*Valores!$C$2*100)+0.5)/100</f>
        <v>0</v>
      </c>
      <c r="M326" s="99">
        <v>0</v>
      </c>
      <c r="N326" s="67">
        <f>INT((M326*Valores!$C$2*100)+0.5)/100</f>
        <v>0</v>
      </c>
      <c r="O326" s="67">
        <f t="shared" si="66"/>
        <v>0</v>
      </c>
      <c r="P326" s="67">
        <f t="shared" si="67"/>
        <v>1143.048</v>
      </c>
      <c r="Q326" s="53">
        <v>0</v>
      </c>
      <c r="R326" s="53">
        <v>0</v>
      </c>
      <c r="S326" s="67">
        <v>0</v>
      </c>
      <c r="T326" s="69">
        <f>Valores!$C$44</f>
        <v>50</v>
      </c>
      <c r="U326" s="53">
        <v>0</v>
      </c>
      <c r="V326" s="67">
        <f t="shared" si="68"/>
        <v>0</v>
      </c>
      <c r="W326" s="67">
        <v>0</v>
      </c>
      <c r="X326" s="67">
        <v>0</v>
      </c>
      <c r="Y326" s="33">
        <v>0</v>
      </c>
      <c r="Z326" s="67">
        <v>0</v>
      </c>
      <c r="AA326" s="67">
        <v>0</v>
      </c>
      <c r="AB326" s="79">
        <v>0</v>
      </c>
      <c r="AC326" s="67">
        <f t="shared" si="70"/>
        <v>0</v>
      </c>
      <c r="AD326" s="67">
        <v>0</v>
      </c>
      <c r="AE326" s="95">
        <v>0</v>
      </c>
      <c r="AF326" s="67">
        <f>INT(((AE326*Valores!$C$2)*100)+0.5)/100</f>
        <v>0</v>
      </c>
      <c r="AG326" s="67"/>
      <c r="AH326" s="67"/>
      <c r="AI326" s="123">
        <f t="shared" si="71"/>
        <v>2095.5879999999997</v>
      </c>
      <c r="AJ326" s="69">
        <f>Valores!$C$14</f>
        <v>40</v>
      </c>
      <c r="AK326" s="124">
        <f t="shared" si="72"/>
        <v>40</v>
      </c>
      <c r="AL326" s="68">
        <f t="shared" si="73"/>
        <v>521.98523999999998</v>
      </c>
      <c r="AM326" s="79">
        <v>0</v>
      </c>
      <c r="AP326" s="9" t="s">
        <v>465</v>
      </c>
    </row>
    <row r="327" spans="1:42" ht="11.25" customHeight="1" x14ac:dyDescent="0.15">
      <c r="A327" s="9">
        <v>326</v>
      </c>
      <c r="B327" s="9"/>
      <c r="C327" s="9"/>
      <c r="D327" s="26" t="s">
        <v>440</v>
      </c>
      <c r="F327" s="8" t="s">
        <v>436</v>
      </c>
      <c r="G327" s="32">
        <v>192</v>
      </c>
      <c r="H327" s="7">
        <f>INT((G327*Valores!$C$2*100)+0.5)/100</f>
        <v>866.44</v>
      </c>
      <c r="I327" s="115">
        <v>0</v>
      </c>
      <c r="J327" s="67">
        <f>INT((I327*Valores!$C$2*100)+0.5)/100</f>
        <v>0</v>
      </c>
      <c r="K327" s="131">
        <v>0</v>
      </c>
      <c r="L327" s="67">
        <f>INT((K327*Valores!$C$2*100)+0.5)/100</f>
        <v>0</v>
      </c>
      <c r="M327" s="99">
        <v>0</v>
      </c>
      <c r="N327" s="67">
        <f>INT((M327*Valores!$C$2*100)+0.5)/100</f>
        <v>0</v>
      </c>
      <c r="O327" s="67">
        <f t="shared" si="66"/>
        <v>0</v>
      </c>
      <c r="P327" s="67">
        <f t="shared" si="67"/>
        <v>1099.7280000000001</v>
      </c>
      <c r="Q327" s="53">
        <v>0</v>
      </c>
      <c r="R327" s="53">
        <v>0</v>
      </c>
      <c r="S327" s="67">
        <v>0</v>
      </c>
      <c r="T327" s="69">
        <f>Valores!$C$44</f>
        <v>50</v>
      </c>
      <c r="U327" s="53">
        <v>0</v>
      </c>
      <c r="V327" s="67">
        <f t="shared" si="68"/>
        <v>0</v>
      </c>
      <c r="W327" s="67">
        <v>0</v>
      </c>
      <c r="X327" s="67">
        <v>0</v>
      </c>
      <c r="Y327" s="33">
        <v>0</v>
      </c>
      <c r="Z327" s="67">
        <v>0</v>
      </c>
      <c r="AA327" s="67">
        <v>0</v>
      </c>
      <c r="AB327" s="79">
        <v>0</v>
      </c>
      <c r="AC327" s="67">
        <f t="shared" si="70"/>
        <v>0</v>
      </c>
      <c r="AD327" s="67">
        <v>0</v>
      </c>
      <c r="AE327" s="95">
        <v>0</v>
      </c>
      <c r="AF327" s="67">
        <f>INT(((AE327*Valores!$C$2)*100)+0.5)/100</f>
        <v>0</v>
      </c>
      <c r="AG327" s="67"/>
      <c r="AH327" s="67"/>
      <c r="AI327" s="123">
        <f t="shared" si="71"/>
        <v>2016.1680000000001</v>
      </c>
      <c r="AJ327" s="69">
        <f>Valores!$C$14</f>
        <v>40</v>
      </c>
      <c r="AK327" s="124">
        <f t="shared" si="72"/>
        <v>40</v>
      </c>
      <c r="AL327" s="68">
        <f t="shared" si="73"/>
        <v>503.71863999999999</v>
      </c>
      <c r="AM327" s="79">
        <v>0</v>
      </c>
      <c r="AP327" s="9" t="s">
        <v>465</v>
      </c>
    </row>
    <row r="329" spans="1:42" ht="11.25" customHeight="1" x14ac:dyDescent="0.2">
      <c r="J329" s="111"/>
      <c r="P329" s="3"/>
      <c r="Q329" s="3"/>
      <c r="R329" s="3"/>
      <c r="S329" s="3"/>
      <c r="T329" s="3"/>
      <c r="U329" s="111"/>
      <c r="V329" s="3"/>
      <c r="W329" s="3"/>
      <c r="X329" s="3"/>
      <c r="Y329" s="106">
        <f>Y47-Y54</f>
        <v>0</v>
      </c>
      <c r="Z329" s="3"/>
      <c r="AA329" s="3"/>
      <c r="AB329" s="3"/>
      <c r="AC329" s="3"/>
      <c r="AD329" s="3"/>
      <c r="AI329" s="54"/>
    </row>
    <row r="331" spans="1:42" ht="11.25" customHeight="1" x14ac:dyDescent="0.15">
      <c r="J331" s="111"/>
      <c r="P331" s="3"/>
      <c r="Q331" s="3"/>
      <c r="R331" s="3"/>
      <c r="S331" s="3"/>
      <c r="T331" s="3"/>
      <c r="U331" s="111"/>
      <c r="V331" s="3"/>
      <c r="W331" s="3"/>
      <c r="X331" s="3"/>
      <c r="Y331" s="106"/>
      <c r="Z331" s="3"/>
      <c r="AA331" s="3"/>
      <c r="AB331" s="3"/>
      <c r="AC331" s="3"/>
      <c r="AD331" s="3"/>
      <c r="AE331" s="106"/>
      <c r="AF331" s="3"/>
      <c r="AG331" s="3"/>
      <c r="AH331" s="3"/>
    </row>
  </sheetData>
  <sheetProtection formatCells="0" formatColumns="0" formatRows="0" insertColumns="0" insertRows="0" deleteColumns="0" deleteRows="0" selectLockedCells="1" selectUnlockedCells="1"/>
  <autoFilter ref="A6:AP327"/>
  <sortState ref="D7:AO299">
    <sortCondition ref="D7:D299"/>
    <sortCondition ref="E7:E299"/>
  </sortState>
  <mergeCells count="7">
    <mergeCell ref="D1:AK1"/>
    <mergeCell ref="AE5:AF5"/>
    <mergeCell ref="Y5:Z5"/>
    <mergeCell ref="G5:H5"/>
    <mergeCell ref="I5:J5"/>
    <mergeCell ref="K5:L5"/>
    <mergeCell ref="M5:N5"/>
  </mergeCells>
  <phoneticPr fontId="0" type="noConversion"/>
  <conditionalFormatting sqref="D257:AC257 AE257:AJ257 D89:AJ90 D92:AJ92 D94:AJ256 D7:AJ87 AJ192:AJ321 D258:AJ327 AK7:AP327">
    <cfRule type="expression" dxfId="16" priority="226">
      <formula>$AP7="SI"</formula>
    </cfRule>
  </conditionalFormatting>
  <conditionalFormatting sqref="AD257">
    <cfRule type="expression" dxfId="15" priority="231">
      <formula>$AP257="SI"</formula>
    </cfRule>
  </conditionalFormatting>
  <conditionalFormatting sqref="AK93:AN93 AP192:AP321 AP93 D192:AN321 D92:AN92 AO94:AO321">
    <cfRule type="expression" dxfId="14" priority="224">
      <formula>$C1048333="x"</formula>
    </cfRule>
  </conditionalFormatting>
  <conditionalFormatting sqref="AK91:AN91 AP89:AP91 D89:AN90">
    <cfRule type="expression" dxfId="13" priority="233">
      <formula>$C1048331="x"</formula>
    </cfRule>
  </conditionalFormatting>
  <conditionalFormatting sqref="AP92">
    <cfRule type="expression" dxfId="12" priority="234">
      <formula>$C1048333="x"</formula>
    </cfRule>
  </conditionalFormatting>
  <conditionalFormatting sqref="AK88:AN88 AP7:AP88 D7:AN87">
    <cfRule type="expression" dxfId="11" priority="235">
      <formula>$C1048250="x"</formula>
    </cfRule>
  </conditionalFormatting>
  <conditionalFormatting sqref="D88:AJ88">
    <cfRule type="expression" dxfId="10" priority="219">
      <formula>$AP88="SI"</formula>
    </cfRule>
  </conditionalFormatting>
  <conditionalFormatting sqref="D88:AJ88">
    <cfRule type="expression" dxfId="9" priority="220">
      <formula>$C1048331="x"</formula>
    </cfRule>
  </conditionalFormatting>
  <conditionalFormatting sqref="D91:AJ91">
    <cfRule type="expression" dxfId="8" priority="217">
      <formula>$AP91="SI"</formula>
    </cfRule>
  </conditionalFormatting>
  <conditionalFormatting sqref="D91:AJ91">
    <cfRule type="expression" dxfId="7" priority="218">
      <formula>$C1048333="x"</formula>
    </cfRule>
  </conditionalFormatting>
  <conditionalFormatting sqref="D93:AJ93">
    <cfRule type="expression" dxfId="6" priority="215">
      <formula>$AP93="SI"</formula>
    </cfRule>
  </conditionalFormatting>
  <conditionalFormatting sqref="D93:AJ93">
    <cfRule type="expression" dxfId="5" priority="216">
      <formula>$C1048334="x"</formula>
    </cfRule>
  </conditionalFormatting>
  <conditionalFormatting sqref="D94:AN191 AP94:AP191">
    <cfRule type="expression" dxfId="4" priority="236">
      <formula>$C1048334="x"</formula>
    </cfRule>
  </conditionalFormatting>
  <conditionalFormatting sqref="AO7:AO88">
    <cfRule type="expression" dxfId="3" priority="3">
      <formula>$C1048250="x"</formula>
    </cfRule>
  </conditionalFormatting>
  <conditionalFormatting sqref="AO89:AO91">
    <cfRule type="expression" dxfId="2" priority="4">
      <formula>$C1048331="x"</formula>
    </cfRule>
  </conditionalFormatting>
  <conditionalFormatting sqref="AO92:AO93">
    <cfRule type="expression" dxfId="1" priority="5">
      <formula>$C1048333="x"</formula>
    </cfRule>
  </conditionalFormatting>
  <conditionalFormatting sqref="D322:AP327">
    <cfRule type="expression" dxfId="0" priority="246">
      <formula>$C5="x"</formula>
    </cfRule>
  </conditionalFormatting>
  <pageMargins left="0.19685039370078741" right="0.19685039370078741" top="0.35433070866141736" bottom="0.31496062992125984" header="0.19685039370078741" footer="0"/>
  <pageSetup paperSize="9" fitToHeight="0" orientation="landscape" horizontalDpi="4294967294" verticalDpi="4294967294" r:id="rId1"/>
  <headerFooter alignWithMargins="0">
    <oddHeader>&amp;LMinisterio de EducaciónDirección de Recursos Humanos&amp;C&amp;F&amp;RValor del Punto:</oddHeader>
    <oddFooter>&amp;L&amp;D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Valores</vt:lpstr>
      <vt:lpstr>Escala Docente</vt:lpstr>
      <vt:lpstr>'Escala Docente'!Área_de_impresión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Daniel A. Pagiola</cp:lastModifiedBy>
  <cp:lastPrinted>2017-07-28T12:44:22Z</cp:lastPrinted>
  <dcterms:created xsi:type="dcterms:W3CDTF">2005-08-10T23:49:01Z</dcterms:created>
  <dcterms:modified xsi:type="dcterms:W3CDTF">2017-08-04T13:16:40Z</dcterms:modified>
</cp:coreProperties>
</file>